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4" r:id="rId1" sheetId="1"/>
  </sheets>
  <definedNames>
    <definedName localSheetId="0" name="_xlnm.Print_Titles">BO_EM0004!$1:$6</definedName>
  </definedNames>
  <calcPr calcId="145621"/>
</workbook>
</file>

<file path=xl/sharedStrings.xml><?xml version="1.0" encoding="utf-8"?>
<sst xmlns="http://schemas.openxmlformats.org/spreadsheetml/2006/main" count="5137" uniqueCount="1349">
  <si>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</si>
  <si>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eb="1" sb="0">
      <t>トウ</t>
    </rPh>
    <rPh eb="3" sb="2">
      <t>シン</t>
    </rPh>
    <rPh eb="5" sb="4">
      <t>トウ</t>
    </rPh>
    <rPh eb="7" sb="6">
      <t>ソウ</t>
    </rPh>
    <rPh eb="9" sb="8">
      <t>バ</t>
    </rPh>
    <rPh eb="11" sb="10">
      <t>ヒョウ</t>
    </rPh>
    <phoneticPr fontId="3"/>
  </si>
  <si>
    <t>Investment Trust Quotations</t>
    <phoneticPr fontId="3"/>
  </si>
  <si>
    <t>年月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</si>
  <si>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</si>
  <si>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</si>
  <si>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</si>
  <si>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</si>
  <si>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</si>
  <si>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eb="2" sb="0">
      <t>ヒヅケ</t>
    </rPh>
    <phoneticPr fontId="3"/>
  </si>
  <si>
    <t>区分</t>
  </si>
  <si>
    <t>信用・貸借</t>
    <rPh eb="2" sb="0">
      <t>シンヨウ</t>
    </rPh>
    <rPh eb="5" sb="3">
      <t>タイシャク</t>
    </rPh>
    <phoneticPr fontId="3"/>
  </si>
  <si>
    <t>売買単位</t>
    <rPh eb="2" sb="0">
      <t>バイバイ</t>
    </rPh>
    <rPh eb="4" sb="2">
      <t>タンイ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</si>
  <si>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</si>
  <si>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</si>
  <si>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</si>
  <si>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</si>
  <si>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</si>
  <si>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売買高</t>
    <rPh eb="3" sb="0">
      <t>バイバイダカ</t>
    </rPh>
    <phoneticPr fontId="3"/>
  </si>
  <si>
    <t>うちToSTNeT売買高</t>
  </si>
  <si>
    <t>売買代金</t>
    <rPh eb="2" sb="0">
      <t>バイバイ</t>
    </rPh>
    <rPh eb="4" sb="2">
      <t>ダイキン</t>
    </rPh>
    <phoneticPr fontId="3"/>
  </si>
  <si>
    <t>うちToSTNeT売買代金</t>
  </si>
  <si>
    <t>値付日数</t>
    <rPh eb="2" sb="0">
      <t>ネツ</t>
    </rPh>
    <rPh eb="4" sb="2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</si>
  <si>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</si>
  <si>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</si>
  <si>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</si>
  <si>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</si>
  <si>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</si>
  <si>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</si>
  <si>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</si>
  <si>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</si>
  <si>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</si>
  <si>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</si>
  <si>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</si>
  <si>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</si>
  <si>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</si>
  <si>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</si>
  <si>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</si>
  <si>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</si>
  <si>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</si>
  <si>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</si>
  <si>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</si>
  <si>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2024/07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</si>
  <si>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</si>
  <si>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</si>
  <si>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</si>
  <si>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</si>
  <si>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</si>
  <si>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</si>
  <si>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5</t>
  </si>
  <si>
    <t>26</t>
  </si>
  <si>
    <t>31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</si>
  <si>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</si>
  <si>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</si>
  <si>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</si>
  <si>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</si>
  <si>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</si>
  <si>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</si>
  <si>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4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</si>
  <si>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</si>
  <si>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</si>
  <si>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</si>
  <si>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22</t>
  </si>
  <si>
    <t>1311</t>
  </si>
  <si>
    <t>ＮＥＸＴ　ＦＵＮＤＳ　ＴＯＰＩＸ　Ｃｏｒｅ　３０連動型上場投信　受益証券</t>
  </si>
  <si>
    <t>NEXT FUNDS TOPIX Core 30 Exchange Traded Fund</t>
  </si>
  <si>
    <t>11</t>
  </si>
  <si>
    <t>1319</t>
  </si>
  <si>
    <t>ＮＥＸＴ　ＦＵＮＤＳ　日経３００株価指数連動型上場投信　受益証券</t>
  </si>
  <si>
    <t>NEXT FUNDS Nikkei 300 Index Exchange Traded Fund</t>
  </si>
  <si>
    <t>2</t>
  </si>
  <si>
    <t>29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</si>
  <si>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</si>
  <si>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</si>
  <si>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</si>
  <si>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</si>
  <si>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</si>
  <si>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</si>
  <si>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</si>
  <si>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</si>
  <si>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</si>
  <si>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1324</t>
  </si>
  <si>
    <t>ＮＥＸＴ　ＦＵＮＤＳ　ロシア株式指数連動型上場投信　受益証券</t>
  </si>
  <si>
    <t>NEXT FUNDS Russian Equity Index Exchange Traded Fund</t>
  </si>
  <si>
    <t>1325</t>
  </si>
  <si>
    <t>ＮＥＸＴ　ＦＵＮＤＳ　ブラジル株式指数・ボベスパ連動型上場投信　受益証券</t>
  </si>
  <si>
    <t>NEXT FUNDS Ibovespa Linked Exchange Traded Fund</t>
  </si>
  <si>
    <t>1326</t>
  </si>
  <si>
    <t>ＳＰＤＲゴールド・シェア　受益証券</t>
  </si>
  <si>
    <t>SPDR Gold Shares</t>
  </si>
  <si>
    <t>17</t>
  </si>
  <si>
    <t>25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</si>
  <si>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</si>
  <si>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</si>
  <si>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</si>
  <si>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</si>
  <si>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</si>
  <si>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</si>
  <si>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</si>
  <si>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</si>
  <si>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</si>
  <si>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133A</t>
  </si>
  <si>
    <t>グローバルＸ　超短期米国債　ＥＴＦ　受益証券</t>
  </si>
  <si>
    <t>Global X Ultra Short-Term T-Bill ETF</t>
  </si>
  <si>
    <t>3</t>
  </si>
  <si>
    <t>1343</t>
  </si>
  <si>
    <t>ＮＥＸＴ　ＦＵＮＤＳ　東証ＲＥＩＴ　指数連動型上場投信　受益証券</t>
  </si>
  <si>
    <t>NEXT FUNDS REIT INDEX ETF</t>
  </si>
  <si>
    <t>18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</si>
  <si>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</si>
  <si>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</si>
  <si>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</si>
  <si>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9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</si>
  <si>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</si>
  <si>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</si>
  <si>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</si>
  <si>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</si>
  <si>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</si>
  <si>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</si>
  <si>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</si>
  <si>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</si>
  <si>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</si>
  <si>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</si>
  <si>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</si>
  <si>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</si>
  <si>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</si>
  <si>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</si>
  <si>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</si>
  <si>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</si>
  <si>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</si>
  <si>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</si>
  <si>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</si>
  <si>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</si>
  <si>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</si>
  <si>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</si>
  <si>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</si>
  <si>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</si>
  <si>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</si>
  <si>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</si>
  <si>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</si>
  <si>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</si>
  <si>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</si>
  <si>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</si>
  <si>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</si>
  <si>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</si>
  <si>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</si>
  <si>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</si>
  <si>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</si>
  <si>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</si>
  <si>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</si>
  <si>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</si>
  <si>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</si>
  <si>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</si>
  <si>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</si>
  <si>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</si>
  <si>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</si>
  <si>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</si>
  <si>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</si>
  <si>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</si>
  <si>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</si>
  <si>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</si>
  <si>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</si>
  <si>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</si>
  <si>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</si>
  <si>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</si>
  <si>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</si>
  <si>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</si>
  <si>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</si>
  <si>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</si>
  <si>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</si>
  <si>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</si>
  <si>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</si>
  <si>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</si>
  <si>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</si>
  <si>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</si>
  <si>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</si>
  <si>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1464</t>
  </si>
  <si>
    <t>ｉＦｒｅｅＥＴＦ　ＪＰＸ日経４００レバレッジ・インデックス　受益証券</t>
  </si>
  <si>
    <t>iFreeETF JPX-Nikkei400 Leveraged (2x) Index</t>
  </si>
  <si>
    <t>1465</t>
  </si>
  <si>
    <t>ｉＦｒｅｅＥＴＦ　ＪＰＸ日経４００インバース・インデックス　受益証券</t>
  </si>
  <si>
    <t>iFreeETF JPX-Nikkei400 Inverse (-1x)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</si>
  <si>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</si>
  <si>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</si>
  <si>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</si>
  <si>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</si>
  <si>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</si>
  <si>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</si>
  <si>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10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</si>
  <si>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</si>
  <si>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</si>
  <si>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</si>
  <si>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</si>
  <si>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</si>
  <si>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</si>
  <si>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</si>
  <si>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</si>
  <si>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</si>
  <si>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</si>
  <si>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</si>
  <si>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</si>
  <si>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</si>
  <si>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</si>
  <si>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</si>
  <si>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</si>
  <si>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</si>
  <si>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</si>
  <si>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12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</si>
  <si>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</si>
  <si>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</si>
  <si>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</si>
  <si>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</si>
  <si>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</si>
  <si>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</si>
  <si>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</si>
  <si>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</si>
  <si>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</si>
  <si>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</si>
  <si>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</si>
  <si>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</si>
  <si>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16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</si>
  <si>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</si>
  <si>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</si>
  <si>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</si>
  <si>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</si>
  <si>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</si>
  <si>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</si>
  <si>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</si>
  <si>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</si>
  <si>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</si>
  <si>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</si>
  <si>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</si>
  <si>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</si>
  <si>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</si>
  <si>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</si>
  <si>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</si>
  <si>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8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</si>
  <si>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</si>
  <si>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</si>
  <si>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</si>
  <si>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</si>
  <si>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</si>
  <si>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</si>
  <si>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</si>
  <si>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</si>
  <si>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</si>
  <si>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</si>
  <si>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</si>
  <si>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</si>
  <si>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</si>
  <si>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</si>
  <si>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</si>
  <si>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</si>
  <si>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</si>
  <si>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</si>
  <si>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</si>
  <si>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</si>
  <si>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</si>
  <si>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</si>
  <si>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</si>
  <si>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</si>
  <si>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</si>
  <si>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</si>
  <si>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</si>
  <si>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</si>
  <si>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</si>
  <si>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</si>
  <si>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</si>
  <si>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</si>
  <si>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</si>
  <si>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</si>
  <si>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</si>
  <si>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</si>
  <si>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</si>
  <si>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</si>
  <si>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</si>
  <si>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</si>
  <si>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</si>
  <si>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</si>
  <si>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</si>
  <si>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</si>
  <si>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</si>
  <si>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</si>
  <si>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</si>
  <si>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</si>
  <si>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</si>
  <si>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</si>
  <si>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</si>
  <si>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</si>
  <si>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</si>
  <si>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</si>
  <si>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</si>
  <si>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</si>
  <si>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</si>
  <si>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</si>
  <si>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</si>
  <si>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</si>
  <si>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</si>
  <si>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</si>
  <si>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</si>
  <si>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</si>
  <si>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</si>
  <si>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</si>
  <si>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</si>
  <si>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</si>
  <si>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</si>
  <si>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</si>
  <si>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</si>
  <si>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</si>
  <si>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</si>
  <si>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</si>
  <si>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</si>
  <si>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</si>
  <si>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</si>
  <si>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</si>
  <si>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</si>
  <si>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</si>
  <si>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</si>
  <si>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</si>
  <si>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</si>
  <si>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</si>
  <si>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</si>
  <si>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</si>
  <si>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</si>
  <si>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</si>
  <si>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</si>
  <si>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</si>
  <si>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</si>
  <si>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</si>
  <si>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</si>
  <si>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</si>
  <si>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</si>
  <si>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</si>
  <si>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</si>
  <si>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</si>
  <si>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</si>
  <si>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</si>
  <si>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</si>
  <si>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</si>
  <si>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</si>
  <si>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</si>
  <si>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</si>
  <si>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</si>
  <si>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</si>
  <si>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</si>
  <si>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</si>
  <si>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</si>
  <si>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</si>
  <si>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</si>
  <si>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</si>
  <si>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</si>
  <si>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30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</si>
  <si>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</si>
  <si>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</si>
  <si>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</si>
  <si>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</si>
  <si>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</si>
  <si>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</si>
  <si>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</si>
  <si>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</si>
  <si>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</si>
  <si>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</si>
  <si>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</si>
  <si>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</si>
  <si>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</si>
  <si>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</si>
  <si>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</si>
  <si>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</si>
  <si>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</si>
  <si>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</si>
  <si>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</si>
  <si>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</si>
  <si>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</si>
  <si>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</si>
  <si>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</si>
  <si>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</si>
  <si>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</si>
  <si>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</si>
  <si>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</si>
  <si>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</si>
  <si>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</si>
  <si>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</si>
  <si>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</si>
  <si>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</si>
  <si>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</si>
  <si>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19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</si>
  <si>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</si>
  <si>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</si>
  <si>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</si>
  <si>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</si>
  <si>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</si>
  <si>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</si>
  <si>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</si>
  <si>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</si>
  <si>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</si>
  <si>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</si>
  <si>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</si>
  <si>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</si>
  <si>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</si>
  <si>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</si>
  <si>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</si>
  <si>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</si>
  <si>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</si>
  <si>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</si>
  <si>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</si>
  <si>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</si>
  <si>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</si>
  <si>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</si>
  <si>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</si>
  <si>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</si>
  <si>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</si>
  <si>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</si>
  <si>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</si>
  <si>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</si>
  <si>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</si>
  <si>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</si>
  <si>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</si>
  <si>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</si>
  <si>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</si>
  <si>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</si>
  <si>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</si>
  <si>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</si>
  <si>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</si>
  <si>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</si>
  <si>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</si>
  <si>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</si>
  <si>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</si>
  <si>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</si>
  <si>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</si>
  <si>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</si>
  <si>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</si>
  <si>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</si>
  <si>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</si>
  <si>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</si>
  <si>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</si>
  <si>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</si>
  <si>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</si>
  <si>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</si>
  <si>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</si>
  <si>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</si>
  <si>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</si>
  <si>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</si>
  <si>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</si>
  <si>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</si>
  <si>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</si>
  <si>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</si>
  <si>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</si>
  <si>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</si>
  <si>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</si>
  <si>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</si>
  <si>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</si>
  <si>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</si>
  <si>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</si>
  <si>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</si>
  <si>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</si>
  <si>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</si>
  <si>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</si>
  <si>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</si>
  <si>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</si>
  <si>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</si>
  <si>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</si>
  <si>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</si>
  <si>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</si>
  <si>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</si>
  <si>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</si>
  <si>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</si>
  <si>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</si>
  <si>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</si>
  <si>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</si>
  <si>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</si>
  <si>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</si>
  <si>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</si>
  <si>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</si>
  <si>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</si>
  <si>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</si>
  <si>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</si>
  <si>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</si>
  <si>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</si>
  <si>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</si>
  <si>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</si>
  <si>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</si>
  <si>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</si>
  <si>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</si>
  <si>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</si>
  <si>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</si>
  <si>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</si>
  <si>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</si>
  <si>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</si>
  <si>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</si>
  <si>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</si>
  <si>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</si>
  <si>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</si>
  <si>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</si>
  <si>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</si>
  <si>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</si>
  <si>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</si>
  <si>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</si>
  <si>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</si>
  <si>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</si>
  <si>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</si>
  <si>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</si>
  <si>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</si>
  <si>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</si>
  <si>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</si>
  <si>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1682</t>
  </si>
  <si>
    <t>ＮＥＸＴ　ＦＵＮＤＳ　日経・ＪＰＸ白金指数連動型上場投信　受益証券</t>
  </si>
  <si>
    <t>NEXT FUNDS Nikkei-JPX Platinum Index Linked Exchange Traded Fund</t>
  </si>
  <si>
    <t>整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</si>
  <si>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</si>
  <si>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</si>
  <si>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</si>
  <si>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</si>
  <si>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</si>
  <si>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</si>
  <si>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</si>
  <si>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</si>
  <si>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</si>
  <si>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</si>
  <si>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</si>
  <si>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</si>
  <si>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</si>
  <si>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</si>
  <si>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</si>
  <si>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</si>
  <si>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</si>
  <si>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</si>
  <si>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</si>
  <si>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</si>
  <si>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</si>
  <si>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</si>
  <si>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</si>
  <si>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</si>
  <si>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</si>
  <si>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</si>
  <si>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</si>
  <si>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</si>
  <si>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</si>
  <si>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</si>
  <si>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</si>
  <si>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</si>
  <si>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</si>
  <si>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</si>
  <si>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</si>
  <si>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</si>
  <si>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</si>
  <si>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</si>
  <si>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</si>
  <si>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</si>
  <si>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</si>
  <si>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</si>
  <si>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</si>
  <si>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</si>
  <si>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</si>
  <si>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</si>
  <si>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</si>
  <si>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</si>
  <si>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</si>
  <si>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</si>
  <si>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</si>
  <si>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</si>
  <si>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</si>
  <si>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</si>
  <si>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</si>
  <si>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</si>
  <si>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</si>
  <si>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</si>
  <si>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</si>
  <si>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</si>
  <si>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</si>
  <si>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</si>
  <si>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</si>
  <si>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</si>
  <si>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</si>
  <si>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</si>
  <si>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</si>
  <si>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</si>
  <si>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</si>
  <si>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</si>
  <si>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</si>
  <si>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</si>
  <si>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</si>
  <si>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</si>
  <si>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</si>
  <si>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</si>
  <si>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</si>
  <si>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</si>
  <si>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</si>
  <si>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</si>
  <si>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</si>
  <si>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</si>
  <si>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</si>
  <si>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</si>
  <si>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</si>
  <si>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</si>
  <si>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</si>
  <si>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</si>
  <si>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</si>
  <si>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</si>
  <si>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24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</si>
  <si>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</si>
  <si>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</si>
  <si>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</si>
  <si>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</si>
  <si>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</si>
  <si>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</si>
  <si>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</si>
  <si>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</si>
  <si>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</si>
  <si>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</si>
  <si>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</si>
  <si>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</si>
  <si>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</si>
  <si>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</si>
  <si>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</si>
  <si>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</si>
  <si>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</si>
  <si>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</si>
  <si>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</si>
  <si>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</si>
  <si>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</si>
  <si>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</si>
  <si>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</si>
  <si>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</si>
  <si>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</si>
  <si>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</si>
  <si>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</si>
  <si>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</si>
  <si>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</si>
  <si>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</si>
  <si>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</si>
  <si>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</si>
  <si>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</si>
  <si>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</si>
  <si>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</si>
  <si>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</si>
  <si>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</si>
  <si>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</si>
  <si>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</si>
  <si>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</si>
  <si>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</si>
  <si>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</si>
  <si>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</si>
  <si>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</si>
  <si>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</si>
  <si>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</si>
  <si>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</si>
  <si>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</si>
  <si>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</si>
  <si>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</si>
  <si>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</si>
  <si>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</si>
  <si>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</si>
  <si>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</si>
  <si>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</si>
  <si>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</si>
  <si>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</si>
  <si>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</si>
  <si>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</si>
  <si>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</si>
  <si>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</si>
  <si>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</si>
  <si>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</si>
  <si>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</si>
  <si>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</si>
  <si>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</si>
  <si>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</si>
  <si>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</si>
  <si>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</si>
  <si>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</si>
  <si>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</si>
  <si>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</si>
  <si>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</si>
  <si>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</si>
  <si>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</si>
  <si>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</si>
  <si>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</si>
  <si>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</si>
  <si>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</si>
  <si>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</si>
  <si>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</si>
  <si>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</si>
  <si>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</si>
  <si>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</si>
  <si>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</si>
  <si>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</si>
  <si>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</si>
  <si>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</si>
  <si>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</si>
  <si>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</si>
  <si>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</si>
  <si>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</si>
  <si>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</si>
  <si>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</si>
  <si>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</si>
  <si>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</si>
  <si>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</si>
  <si>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</si>
  <si>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</si>
  <si>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</si>
  <si>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</si>
  <si>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</si>
  <si>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</si>
  <si>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</si>
  <si>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</si>
  <si>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</si>
  <si>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</si>
  <si>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</si>
  <si>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</si>
  <si>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</si>
  <si>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</si>
  <si>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</si>
  <si>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</si>
  <si>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</si>
  <si>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</si>
  <si>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</si>
  <si>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</si>
  <si>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</si>
  <si>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</si>
  <si>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</si>
  <si>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</si>
  <si>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</si>
  <si>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</si>
  <si>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</si>
  <si>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</si>
  <si>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</si>
  <si>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</si>
  <si>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</si>
  <si>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</si>
  <si>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</si>
  <si>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</si>
  <si>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</si>
  <si>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</si>
  <si>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</si>
  <si>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</si>
  <si>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</si>
  <si>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</si>
  <si>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</si>
  <si>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</si>
  <si>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</si>
  <si>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</si>
  <si>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</si>
  <si>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</si>
  <si>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</si>
  <si>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</si>
  <si>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</si>
  <si>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</si>
  <si>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</si>
  <si>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</si>
  <si>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</si>
  <si>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23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</si>
  <si>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</si>
  <si>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</si>
  <si>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</si>
  <si>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</si>
  <si>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</si>
  <si>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</si>
  <si>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</si>
  <si>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</si>
  <si>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</si>
  <si>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 xml:space="preserve">新規上場  </t>
  </si>
  <si>
    <t xml:space="preserve">New Listing  </t>
  </si>
  <si>
    <t xml:space="preserve">2024/07/12  </t>
  </si>
  <si>
    <t>221A</t>
  </si>
  <si>
    <t>ＭＡＸＩＳ日経半導体株上場投信　受益証券</t>
  </si>
  <si>
    <t>MAXIS Nikkei Semiconductor Stock (Japan) ETF</t>
  </si>
  <si>
    <t xml:space="preserve">2024/07/19  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</si>
  <si>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</si>
  <si>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</si>
  <si>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</si>
  <si>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</si>
  <si>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</si>
  <si>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</si>
  <si>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</si>
  <si>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</si>
  <si>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</si>
  <si>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</si>
  <si>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</si>
  <si>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</si>
  <si>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</si>
  <si>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</si>
  <si>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</si>
  <si>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</si>
  <si>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</si>
  <si>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</si>
  <si>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 xml:space="preserve">2024/07/25  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</si>
  <si>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</si>
  <si>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</si>
  <si>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</si>
  <si>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</si>
  <si>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</si>
  <si>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</si>
  <si>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</si>
  <si>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</si>
  <si>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</si>
  <si>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</si>
  <si>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</si>
  <si>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</si>
  <si>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</si>
  <si>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</si>
  <si>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</si>
  <si>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</si>
  <si>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</si>
  <si>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</si>
  <si>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</si>
  <si>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</si>
  <si>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</si>
  <si>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</si>
  <si>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</si>
  <si>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</si>
  <si>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</si>
  <si>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</si>
  <si>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</si>
  <si>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</si>
  <si>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</si>
  <si>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</si>
  <si>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</si>
  <si>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</si>
  <si>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</si>
  <si>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</si>
  <si>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</si>
  <si>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</si>
  <si>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</si>
  <si>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</si>
  <si>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</si>
  <si>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</si>
  <si>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</si>
  <si>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</si>
  <si>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</si>
  <si>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</si>
  <si>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</si>
  <si>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</si>
  <si>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</si>
  <si>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</si>
  <si>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</si>
  <si>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</si>
  <si>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</si>
  <si>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</si>
  <si>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</si>
  <si>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</si>
  <si>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</si>
  <si>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</si>
  <si>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</si>
  <si>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</si>
  <si>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</si>
  <si>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</si>
  <si>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</si>
  <si>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</si>
  <si>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</si>
  <si>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</si>
  <si>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</si>
  <si>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</si>
  <si>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</si>
  <si>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</si>
  <si>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</si>
  <si>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</si>
  <si>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</si>
  <si>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</si>
  <si>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</si>
  <si>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</si>
  <si>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</si>
  <si>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</si>
  <si>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</si>
  <si>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</si>
  <si>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</si>
  <si>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</si>
  <si>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</si>
  <si>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</si>
  <si>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</si>
  <si>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</si>
  <si>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</si>
  <si>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</si>
  <si>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</si>
  <si>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</si>
  <si>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</si>
  <si>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</si>
  <si>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</si>
  <si>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</si>
  <si>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</si>
  <si>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</si>
  <si>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</si>
  <si>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</si>
  <si>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</si>
  <si>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</si>
  <si>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</si>
  <si>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</si>
  <si>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</si>
  <si>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</si>
  <si>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</si>
  <si>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</si>
  <si>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</si>
  <si>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</si>
  <si>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</si>
  <si>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</si>
  <si>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</si>
  <si>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</si>
  <si>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</si>
  <si>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</si>
  <si>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</si>
  <si>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</si>
  <si>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</si>
  <si>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</si>
  <si>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</si>
  <si>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</si>
  <si>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</si>
  <si>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</si>
  <si>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</si>
  <si>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</si>
  <si>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</si>
  <si>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</si>
  <si>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</si>
  <si>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</si>
  <si>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</si>
  <si>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</si>
  <si>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</si>
  <si>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</si>
  <si>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</si>
  <si>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</si>
  <si>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</si>
  <si>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</si>
  <si>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</si>
  <si>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</si>
  <si>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</si>
  <si>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</si>
  <si>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</si>
  <si>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</si>
  <si>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</si>
  <si>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</si>
  <si>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</si>
  <si>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</si>
  <si>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</si>
  <si>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</si>
  <si>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</si>
  <si>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</si>
  <si>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</si>
  <si>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</si>
  <si>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</si>
  <si>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</si>
  <si>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</si>
  <si>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</si>
  <si>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</si>
  <si>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</si>
  <si>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</si>
  <si>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</si>
  <si>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</si>
  <si>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</si>
  <si>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</si>
  <si>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</si>
  <si>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</si>
  <si>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</si>
  <si>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</si>
  <si>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</si>
  <si>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</si>
  <si>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</si>
  <si>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</si>
  <si>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</si>
  <si>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</si>
  <si>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</si>
  <si>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</si>
  <si>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</si>
  <si>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</si>
  <si>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</si>
  <si>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</si>
  <si>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</si>
  <si>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</si>
  <si>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</si>
  <si>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</si>
  <si>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</si>
  <si>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</si>
  <si>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</si>
  <si>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</si>
  <si>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</si>
  <si>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</si>
  <si>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</si>
  <si>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</si>
  <si>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</si>
  <si>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</si>
  <si>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</si>
  <si>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</si>
  <si>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</si>
  <si>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</si>
  <si>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</si>
  <si>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</si>
  <si>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</si>
  <si>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</si>
  <si>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</si>
  <si>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</si>
  <si>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</si>
  <si>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</si>
  <si>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</si>
  <si>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</si>
  <si>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</si>
  <si>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</si>
  <si>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</si>
  <si>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</si>
  <si>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</si>
  <si>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</si>
  <si>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</si>
  <si>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</si>
  <si>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</si>
  <si>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</si>
  <si>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</si>
  <si>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</si>
  <si>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</si>
  <si>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</si>
  <si>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</si>
  <si>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</si>
  <si>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</si>
  <si>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</si>
  <si>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</si>
  <si>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</si>
  <si>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</si>
  <si>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</si>
  <si>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</si>
  <si>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</si>
  <si>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</si>
  <si>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</si>
  <si>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</si>
  <si>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</si>
  <si>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</si>
  <si>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</si>
  <si>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</si>
  <si>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</si>
  <si>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</si>
  <si>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</si>
  <si>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</si>
  <si>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</si>
  <si>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</si>
  <si>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</si>
  <si>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</si>
  <si>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</si>
  <si>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</si>
  <si>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</si>
  <si>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</si>
  <si>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</si>
  <si>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</si>
  <si>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</si>
  <si>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</si>
  <si>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</si>
  <si>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</si>
  <si>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</si>
  <si>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</si>
  <si>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</si>
  <si>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</si>
  <si>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</si>
  <si>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</si>
  <si>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</si>
  <si>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</si>
  <si>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</si>
  <si>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</si>
  <si>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</si>
  <si>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</si>
  <si>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</si>
  <si>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</si>
  <si>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</si>
  <si>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</si>
  <si>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</si>
  <si>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</si>
  <si>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</si>
  <si>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</si>
  <si>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</si>
  <si>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</si>
  <si>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</si>
  <si>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</si>
  <si>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</si>
  <si>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</si>
  <si>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</si>
  <si>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</si>
  <si>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</si>
  <si>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</si>
  <si>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</si>
  <si>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</si>
  <si>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</si>
  <si>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</si>
  <si>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</si>
  <si>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</si>
  <si>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</si>
  <si>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</si>
  <si>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</si>
  <si>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</si>
  <si>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</si>
  <si>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</si>
  <si>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</si>
  <si>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</si>
  <si>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</si>
  <si>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</si>
  <si>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</si>
  <si>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</si>
  <si>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</si>
  <si>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</si>
  <si>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</si>
  <si>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</si>
  <si>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</si>
  <si>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</si>
  <si>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</si>
  <si>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</si>
  <si>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</si>
  <si>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</si>
  <si>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</si>
  <si>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</si>
  <si>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</si>
  <si>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</si>
  <si>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</si>
  <si>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</si>
  <si>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</si>
  <si>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</si>
  <si>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</si>
  <si>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</si>
  <si>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</si>
  <si>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</si>
  <si>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</si>
  <si>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</si>
  <si>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</si>
  <si>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</si>
  <si>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</si>
  <si>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</si>
  <si>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</si>
  <si>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</si>
  <si>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</si>
  <si>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</si>
  <si>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</si>
  <si>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</si>
  <si>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</si>
  <si>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</si>
  <si>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</si>
  <si>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</si>
  <si>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</si>
  <si>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</si>
  <si>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</si>
  <si>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</si>
  <si>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</si>
  <si>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</si>
  <si>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</si>
  <si>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</si>
  <si>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</si>
  <si>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</si>
  <si>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</si>
  <si>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</si>
  <si>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</si>
  <si>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</si>
  <si>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</si>
  <si>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</si>
  <si>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</si>
  <si>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</si>
  <si>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</si>
  <si>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</si>
  <si>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</si>
  <si>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</si>
  <si>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</si>
  <si>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</si>
  <si>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</si>
  <si>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</si>
  <si>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</si>
  <si>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</si>
  <si>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</si>
  <si>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</si>
  <si>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</si>
  <si>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</si>
  <si>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</si>
  <si>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</si>
  <si>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</si>
  <si>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</si>
  <si>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</si>
  <si>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</si>
  <si>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</si>
  <si>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</si>
  <si>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</si>
  <si>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</si>
  <si>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</si>
  <si>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</si>
  <si>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</si>
  <si>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</si>
  <si>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</si>
  <si>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</si>
  <si>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</si>
  <si>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</si>
  <si>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</si>
  <si>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</si>
  <si>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</si>
  <si>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</si>
  <si>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</si>
  <si>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</si>
  <si>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</si>
  <si>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</si>
  <si>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</si>
  <si>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</si>
  <si>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</si>
  <si>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</si>
  <si>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</si>
  <si>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</si>
  <si>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</si>
  <si>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</si>
  <si>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</si>
  <si>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</si>
  <si>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</si>
  <si>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</si>
  <si>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</si>
  <si>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</si>
  <si>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</si>
  <si>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</si>
  <si>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</si>
  <si>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</si>
  <si>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</si>
  <si>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</si>
  <si>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</si>
  <si>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</si>
  <si>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</si>
  <si>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</si>
  <si>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</si>
  <si>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</si>
  <si>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</si>
  <si>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</si>
  <si>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</si>
  <si>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</si>
  <si>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</si>
  <si>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</si>
  <si>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</si>
  <si>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</si>
  <si>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</si>
  <si>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</si>
  <si>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</si>
  <si>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</si>
  <si>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</si>
  <si>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</si>
  <si>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</si>
  <si>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</si>
  <si>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</si>
  <si>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</si>
  <si>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</si>
  <si>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</si>
  <si>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</si>
  <si>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</si>
  <si>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</si>
  <si>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</si>
  <si>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</si>
  <si>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</si>
  <si>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</si>
  <si>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</si>
  <si>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</si>
  <si>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</si>
  <si>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</si>
  <si>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</si>
  <si>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</si>
  <si>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</si>
  <si>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</si>
  <si>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</si>
  <si>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</si>
  <si>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</si>
  <si>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</si>
  <si>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</si>
  <si>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</si>
  <si>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</si>
  <si>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</si>
  <si>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</si>
  <si>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</si>
  <si>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</si>
  <si>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</si>
  <si>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3492</t>
  </si>
  <si>
    <t>タカラレーベン不動産投資法人　投資証券</t>
  </si>
  <si>
    <t>Takara Leben Real Estate Investment Corporation</t>
  </si>
  <si>
    <t>3493</t>
  </si>
  <si>
    <t>アドバンス・ロジスティクス投資法人　投資証券</t>
  </si>
  <si>
    <t>Advance Logistics Investment Corporation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</si>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</sst>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8" numFmtId="0"/>
    <xf applyAlignment="0" applyBorder="0" applyFill="0" applyFont="0" applyProtection="0" borderId="0" fillId="0" fontId="2" numFmtId="9"/>
    <xf borderId="0" fillId="0" fontId="12" numFmtId="0"/>
    <xf borderId="0" fillId="0" fontId="8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7" fillId="20" fontId="21" numFmtId="0"/>
    <xf applyAlignment="0" applyNumberFormat="0" applyProtection="0" borderId="28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9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borderId="26" fillId="0" fontId="30" numFmtId="0">
      <alignment horizontal="left" vertical="center"/>
    </xf>
    <xf applyAlignment="0" applyFill="0" applyNumberFormat="0" applyProtection="0" borderId="30" fillId="0" fontId="31" numFmtId="0"/>
    <xf applyAlignment="0" applyFill="0" applyNumberFormat="0" applyProtection="0" borderId="31" fillId="0" fontId="32" numFmtId="0"/>
    <xf applyAlignment="0" applyFill="0" applyNumberFormat="0" applyProtection="0" borderId="32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7" fillId="7" fontId="34" numFmtId="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Border="0" applyNumberFormat="0" applyProtection="0" borderId="21" fillId="24" fontId="28" numFmtId="1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applyAlignment="0" applyNumberFormat="0" applyProtection="0" borderId="27" fillId="7" fontId="34" numFmtId="0"/>
    <xf borderId="0" fillId="0" fontId="7" numFmtId="0"/>
    <xf applyAlignment="0" applyFill="0" applyNumberFormat="0" applyProtection="0" borderId="33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Font="0" applyNumberFormat="0" applyProtection="0" borderId="34" fillId="26" fontId="24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applyAlignment="0" applyNumberFormat="0" applyProtection="0" borderId="35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6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Fill="0" applyNumberFormat="0" applyProtection="0" borderId="37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applyAlignment="0" applyNumberFormat="0" applyProtection="0" borderId="28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8" numFmtId="9"/>
    <xf applyAlignment="0" applyBorder="0" applyFill="0" applyFont="0" applyProtection="0" borderId="0" fillId="0" fontId="8" numFmtId="9">
      <alignment vertical="center"/>
    </xf>
    <xf applyAlignment="0" applyBorder="0" applyFill="0" applyFont="0" applyProtection="0" borderId="0" fillId="0" fontId="8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14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7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ont="0" applyNumberFormat="0" applyProtection="0" borderId="34" fillId="26" fontId="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applyAlignment="0" applyFill="0" applyNumberFormat="0" applyProtection="0" borderId="33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NumberFormat="0" applyProtection="0" borderId="27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8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8" numFmtId="38"/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0" fillId="0" fontId="67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1" fillId="0" fontId="68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Fill="0" applyNumberFormat="0" applyProtection="0" borderId="3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7" fillId="27" fontId="71" numFmtId="49"/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Fill="0" applyNumberFormat="0" applyProtection="0" borderId="37" fillId="0" fontId="72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applyAlignment="0" applyNumberFormat="0" applyProtection="0" borderId="35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8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8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8" numFmtId="6"/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applyAlignment="0" applyNumberFormat="0" applyProtection="0" borderId="27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64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9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8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8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/>
    <xf borderId="0" fillId="0" fontId="8" numFmtId="0"/>
    <xf borderId="0" fillId="0" fontId="14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" numFmtId="0"/>
    <xf borderId="0" fillId="0" fontId="8" numFmtId="0"/>
    <xf borderId="0" fillId="0" fontId="83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3" numFmtId="0"/>
    <xf borderId="0" fillId="0" fontId="83" numFmtId="0"/>
    <xf borderId="0" fillId="0" fontId="8" numFmtId="0"/>
    <xf borderId="0" fillId="0" fontId="83" numFmtId="0"/>
    <xf borderId="0" fillId="0" fontId="14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4" numFmtId="0">
      <alignment vertical="center"/>
    </xf>
    <xf borderId="0" fillId="0" fontId="8" numFmtId="0"/>
    <xf borderId="0" fillId="0" fontId="8" numFmtId="0"/>
    <xf borderId="0" fillId="0" fontId="66" numFmtId="0"/>
    <xf borderId="0" fillId="0" fontId="66" numFmtId="0"/>
    <xf borderId="0" fillId="0" fontId="8" numFmtId="0"/>
    <xf borderId="0" fillId="0" fontId="8" numFmtId="0"/>
    <xf borderId="0" fillId="0" fontId="7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8" numFmtId="0"/>
    <xf borderId="0" fillId="0" fontId="8" numFmtId="0"/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8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/>
    <xf borderId="0" fillId="0" fontId="8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8" numFmtId="0"/>
    <xf borderId="0" fillId="0" fontId="66" numFmtId="0">
      <alignment vertical="center"/>
    </xf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2" numFmtId="0">
      <alignment vertical="center"/>
    </xf>
    <xf borderId="0" fillId="0" fontId="8" numFmtId="0"/>
    <xf borderId="0" fillId="0" fontId="8" numFmtId="0">
      <alignment vertical="center"/>
    </xf>
    <xf borderId="0" fillId="0" fontId="82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8" numFmtId="0">
      <alignment vertical="center"/>
    </xf>
    <xf borderId="0" fillId="0" fontId="87" numFmtId="0">
      <alignment vertical="center"/>
    </xf>
    <xf borderId="0" fillId="0" fontId="8" numFmtId="0"/>
    <xf borderId="0" fillId="0" fontId="8" numFmtId="0">
      <alignment vertical="center"/>
    </xf>
    <xf borderId="0" fillId="0" fontId="8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8" numFmtId="0">
      <alignment vertical="center"/>
    </xf>
    <xf borderId="0" fillId="0" fontId="8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8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Font="1" applyNumberFormat="1" borderId="0" fillId="0" fontId="4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1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2" fillId="0" fontId="7" numFmtId="0" xfId="1">
      <alignment horizontal="center" vertical="center"/>
    </xf>
    <xf applyAlignment="1" applyBorder="1" applyFill="1" applyFont="1" applyNumberFormat="1" borderId="9" fillId="0" fontId="7" numFmtId="49" xfId="2">
      <alignment horizontal="center" vertical="center"/>
    </xf>
    <xf applyAlignment="1" applyBorder="1" applyFill="1" applyFont="1" borderId="13" fillId="0" fontId="2" numFmtId="0" xfId="1">
      <alignment horizontal="center" vertical="center"/>
    </xf>
    <xf applyAlignment="1" applyBorder="1" applyFill="1" applyFont="1" applyNumberFormat="1" borderId="4" fillId="0" fontId="2" numFmtId="0" xfId="1">
      <alignment horizontal="center" vertical="center"/>
    </xf>
    <xf applyAlignment="1" applyBorder="1" applyFill="1" applyFont="1" applyNumberFormat="1" borderId="14" fillId="0" fontId="2" numFmtId="0" xfId="1">
      <alignment horizontal="center" vertical="center"/>
    </xf>
    <xf applyAlignment="1" applyBorder="1" applyFill="1" applyFont="1" applyNumberFormat="1" borderId="15" fillId="0" fontId="2" numFmtId="49" xfId="2">
      <alignment horizontal="center" vertical="center"/>
    </xf>
    <xf applyAlignment="1" applyBorder="1" applyFill="1" applyFont="1" applyNumberFormat="1" borderId="13" fillId="0" fontId="7" numFmtId="49" xfId="2">
      <alignment horizontal="center" vertical="center"/>
    </xf>
    <xf applyAlignment="1" applyBorder="1" applyFill="1" applyFont="1" applyNumberFormat="1" borderId="16" fillId="0" fontId="2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borderId="17" fillId="0" fontId="2" numFmtId="0" xfId="1">
      <alignment horizontal="right" vertical="center"/>
    </xf>
    <xf applyAlignment="1" applyBorder="1" applyFill="1" applyFont="1" applyNumberFormat="1" borderId="6" fillId="0" fontId="2" numFmtId="0" xfId="1">
      <alignment horizontal="right" vertical="center"/>
    </xf>
    <xf applyAlignment="1" applyBorder="1" applyFill="1" applyFont="1" applyNumberFormat="1" borderId="18" fillId="0" fontId="2" numFmtId="0" xfId="1">
      <alignment horizontal="right" vertical="center"/>
    </xf>
    <xf applyAlignment="1" applyBorder="1" applyFill="1" applyFont="1" applyNumberFormat="1" borderId="19" fillId="0" fontId="2" numFmtId="0" xfId="1">
      <alignment horizontal="right" vertical="center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20" fillId="0" fontId="11" numFmtId="49" xfId="2">
      <alignment horizontal="right"/>
    </xf>
    <xf applyAlignment="1" applyBorder="1" applyFill="1" applyFont="1" applyNumberFormat="1" borderId="19" fillId="0" fontId="11" numFmtId="49" xfId="2">
      <alignment horizontal="right"/>
    </xf>
    <xf applyAlignment="1" applyBorder="1" applyFill="1" applyFont="1" applyNumberFormat="1" borderId="21" fillId="0" fontId="7" numFmtId="49" xfId="1">
      <alignment horizontal="left" vertical="center"/>
    </xf>
    <xf applyAlignment="1" applyBorder="1" applyFill="1" applyFont="1" applyNumberFormat="1" borderId="22" fillId="0" fontId="7" numFmtId="49" xfId="1">
      <alignment horizontal="left" vertical="center"/>
    </xf>
    <xf applyAlignment="1" applyBorder="1" applyFill="1" applyFont="1" applyNumberFormat="1" borderId="23" fillId="0" fontId="7" numFmtId="49" xfId="1">
      <alignment horizontal="left" vertical="center"/>
    </xf>
    <xf applyAlignment="1" applyBorder="1" applyFill="1" applyFont="1" applyNumberFormat="1" borderId="24" fillId="0" fontId="7" numFmtId="49" xfId="1">
      <alignment horizontal="left" vertical="center"/>
    </xf>
    <xf applyAlignment="1" applyBorder="1" applyFill="1" applyFont="1" applyNumberFormat="1" borderId="21" fillId="0" fontId="7" numFmtId="49" xfId="2">
      <alignment horizontal="left"/>
    </xf>
    <xf applyAlignment="1" applyBorder="1" applyFill="1" applyFont="1" applyNumberFormat="1" borderId="21" fillId="0" fontId="7" numFmtId="3" xfId="2">
      <alignment horizontal="right"/>
    </xf>
    <xf applyAlignment="1" applyBorder="1" applyFill="1" applyFont="1" applyNumberFormat="1" borderId="25" fillId="0" fontId="7" numFmtId="4" xfId="2">
      <alignment horizontal="right"/>
    </xf>
    <xf applyAlignment="1" applyBorder="1" applyFill="1" applyFont="1" applyNumberFormat="1" borderId="24" fillId="0" fontId="7" numFmtId="49" xfId="2">
      <alignment horizontal="right"/>
    </xf>
    <xf applyAlignment="1" applyBorder="1" applyFill="1" applyFont="1" applyNumberFormat="1" borderId="21" fillId="0" fontId="7" numFmtId="4" xfId="2">
      <alignment horizontal="right"/>
    </xf>
    <xf applyAlignment="1" applyBorder="1" applyFill="1" applyFont="1" applyNumberFormat="1" borderId="21" fillId="0" fontId="7" numFmtId="189" xfId="2">
      <alignment horizontal="right"/>
    </xf>
    <xf applyAlignment="1" applyBorder="1" applyFill="1" applyFont="1" borderId="2" fillId="0" fontId="2" numFmtId="0" xfId="1">
      <alignment horizontal="left" vertical="top" wrapText="1"/>
    </xf>
    <xf applyAlignment="1" applyBorder="1" applyFill="1" applyFont="1" borderId="3" fillId="0" fontId="2" numFmtId="0" xfId="1">
      <alignment horizontal="left" vertical="top" wrapText="1"/>
    </xf>
    <xf applyAlignment="1" applyBorder="1" applyFill="1" applyFont="1" borderId="0" fillId="0" fontId="2" numFmtId="0" xfId="1">
      <alignment horizontal="left" vertical="top" wrapText="1"/>
    </xf>
    <xf applyAlignment="1" applyBorder="1" applyFill="1" applyFont="1" borderId="5" fillId="0" fontId="2" numFmtId="0" xfId="1">
      <alignment horizontal="left" vertical="top" wrapText="1"/>
    </xf>
    <xf applyAlignment="1" applyBorder="1" applyFill="1" applyFont="1" borderId="7" fillId="0" fontId="2" numFmtId="0" xfId="1">
      <alignment horizontal="left" vertical="top" wrapText="1"/>
    </xf>
    <xf applyAlignment="1" applyBorder="1" applyFill="1" applyFont="1" borderId="8" fillId="0" fontId="2" numFmtId="0" xfId="1">
      <alignment horizontal="left"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Y431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customHeight="1" ht="13.5" r="1" spans="1:24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customHeight="1" ht="99" r="2" spans="1:24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customHeight="1" ht="39" r="3" spans="1:24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customFormat="1" customHeight="1" ht="13.5" r="4" s="2" spans="1:24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customFormat="1" customHeight="1" ht="13.5" r="7" s="2" spans="1:24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3026</f>
        <v>3026.0</v>
      </c>
      <c r="L7" s="34" t="s">
        <v>48</v>
      </c>
      <c r="M7" s="33" t="n">
        <f>3110</f>
        <v>3110.0</v>
      </c>
      <c r="N7" s="34" t="s">
        <v>49</v>
      </c>
      <c r="O7" s="33" t="n">
        <f>2828</f>
        <v>2828.0</v>
      </c>
      <c r="P7" s="34" t="s">
        <v>50</v>
      </c>
      <c r="Q7" s="33" t="n">
        <f>2942</f>
        <v>2942.0</v>
      </c>
      <c r="R7" s="34" t="s">
        <v>51</v>
      </c>
      <c r="S7" s="35" t="n">
        <f>3000.61</f>
        <v>3000.61</v>
      </c>
      <c r="T7" s="32" t="n">
        <f>12704120</f>
        <v>1.270412E7</v>
      </c>
      <c r="U7" s="32" t="n">
        <f>8080790</f>
        <v>8080790.0</v>
      </c>
      <c r="V7" s="32" t="n">
        <f>38088509483</f>
        <v>3.8088509483E10</v>
      </c>
      <c r="W7" s="32" t="n">
        <f>24378673768</f>
        <v>2.4378673768E10</v>
      </c>
      <c r="X7" s="36" t="n">
        <f>22</f>
        <v>22.0</v>
      </c>
    </row>
    <row r="8">
      <c r="A8" s="27" t="s">
        <v>42</v>
      </c>
      <c r="B8" s="27" t="s">
        <v>52</v>
      </c>
      <c r="C8" s="27" t="s">
        <v>53</v>
      </c>
      <c r="D8" s="27" t="s">
        <v>54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2995</f>
        <v>2995.0</v>
      </c>
      <c r="L8" s="34" t="s">
        <v>48</v>
      </c>
      <c r="M8" s="33" t="n">
        <f>3075</f>
        <v>3075.0</v>
      </c>
      <c r="N8" s="34" t="s">
        <v>49</v>
      </c>
      <c r="O8" s="33" t="n">
        <f>2797</f>
        <v>2797.0</v>
      </c>
      <c r="P8" s="34" t="s">
        <v>50</v>
      </c>
      <c r="Q8" s="33" t="n">
        <f>2900.5</f>
        <v>2900.5</v>
      </c>
      <c r="R8" s="34" t="s">
        <v>51</v>
      </c>
      <c r="S8" s="35" t="n">
        <f>2967.55</f>
        <v>2967.55</v>
      </c>
      <c r="T8" s="32" t="n">
        <f>56255270</f>
        <v>5.625527E7</v>
      </c>
      <c r="U8" s="32" t="n">
        <f>6946050</f>
        <v>6946050.0</v>
      </c>
      <c r="V8" s="32" t="n">
        <f>166096046508</f>
        <v>1.66096046508E11</v>
      </c>
      <c r="W8" s="32" t="n">
        <f>20680997413</f>
        <v>2.0680997413E10</v>
      </c>
      <c r="X8" s="36" t="n">
        <f>22</f>
        <v>22.0</v>
      </c>
    </row>
    <row r="9">
      <c r="A9" s="27" t="s">
        <v>42</v>
      </c>
      <c r="B9" s="27" t="s">
        <v>55</v>
      </c>
      <c r="C9" s="27" t="s">
        <v>56</v>
      </c>
      <c r="D9" s="27" t="s">
        <v>57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2959</f>
        <v>2959.0</v>
      </c>
      <c r="L9" s="34" t="s">
        <v>48</v>
      </c>
      <c r="M9" s="33" t="n">
        <f>3035</f>
        <v>3035.0</v>
      </c>
      <c r="N9" s="34" t="s">
        <v>58</v>
      </c>
      <c r="O9" s="33" t="n">
        <f>2764</f>
        <v>2764.0</v>
      </c>
      <c r="P9" s="34" t="s">
        <v>50</v>
      </c>
      <c r="Q9" s="33" t="n">
        <f>2873</f>
        <v>2873.0</v>
      </c>
      <c r="R9" s="34" t="s">
        <v>51</v>
      </c>
      <c r="S9" s="35" t="n">
        <f>2929.27</f>
        <v>2929.27</v>
      </c>
      <c r="T9" s="32" t="n">
        <f>26603162</f>
        <v>2.6603162E7</v>
      </c>
      <c r="U9" s="32" t="n">
        <f>13106505</f>
        <v>1.3106505E7</v>
      </c>
      <c r="V9" s="32" t="n">
        <f>78169946780</f>
        <v>7.816994678E10</v>
      </c>
      <c r="W9" s="32" t="n">
        <f>38683147967</f>
        <v>3.8683147967E10</v>
      </c>
      <c r="X9" s="36" t="n">
        <f>22</f>
        <v>22.0</v>
      </c>
    </row>
    <row r="10">
      <c r="A10" s="27" t="s">
        <v>42</v>
      </c>
      <c r="B10" s="27" t="s">
        <v>59</v>
      </c>
      <c r="C10" s="27" t="s">
        <v>60</v>
      </c>
      <c r="D10" s="27" t="s">
        <v>61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41250</f>
        <v>41250.0</v>
      </c>
      <c r="L10" s="34" t="s">
        <v>48</v>
      </c>
      <c r="M10" s="33" t="n">
        <f>42200</f>
        <v>42200.0</v>
      </c>
      <c r="N10" s="34" t="s">
        <v>62</v>
      </c>
      <c r="O10" s="33" t="n">
        <f>38900</f>
        <v>38900.0</v>
      </c>
      <c r="P10" s="34" t="s">
        <v>51</v>
      </c>
      <c r="Q10" s="33" t="n">
        <f>40000</f>
        <v>40000.0</v>
      </c>
      <c r="R10" s="34" t="s">
        <v>51</v>
      </c>
      <c r="S10" s="35" t="n">
        <f>40868.18</f>
        <v>40868.18</v>
      </c>
      <c r="T10" s="32" t="n">
        <f>2268</f>
        <v>2268.0</v>
      </c>
      <c r="U10" s="32" t="str">
        <f>"－"</f>
        <v>－</v>
      </c>
      <c r="V10" s="32" t="n">
        <f>92824450</f>
        <v>9.282445E7</v>
      </c>
      <c r="W10" s="32" t="str">
        <f>"－"</f>
        <v>－</v>
      </c>
      <c r="X10" s="36" t="n">
        <f>22</f>
        <v>22.0</v>
      </c>
    </row>
    <row r="11">
      <c r="A11" s="27" t="s">
        <v>42</v>
      </c>
      <c r="B11" s="27" t="s">
        <v>63</v>
      </c>
      <c r="C11" s="27" t="s">
        <v>64</v>
      </c>
      <c r="D11" s="27" t="s">
        <v>65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1528</f>
        <v>1528.0</v>
      </c>
      <c r="L11" s="34" t="s">
        <v>48</v>
      </c>
      <c r="M11" s="33" t="n">
        <f>1633.5</f>
        <v>1633.5</v>
      </c>
      <c r="N11" s="34" t="s">
        <v>66</v>
      </c>
      <c r="O11" s="33" t="n">
        <f>1408</f>
        <v>1408.0</v>
      </c>
      <c r="P11" s="34" t="s">
        <v>50</v>
      </c>
      <c r="Q11" s="33" t="n">
        <f>1465</f>
        <v>1465.0</v>
      </c>
      <c r="R11" s="34" t="s">
        <v>51</v>
      </c>
      <c r="S11" s="35" t="n">
        <f>1522.02</f>
        <v>1522.02</v>
      </c>
      <c r="T11" s="32" t="n">
        <f>1497060</f>
        <v>1497060.0</v>
      </c>
      <c r="U11" s="32" t="n">
        <f>860010</f>
        <v>860010.0</v>
      </c>
      <c r="V11" s="32" t="n">
        <f>2288013527</f>
        <v>2.288013527E9</v>
      </c>
      <c r="W11" s="32" t="n">
        <f>1313571402</f>
        <v>1.313571402E9</v>
      </c>
      <c r="X11" s="36" t="n">
        <f>22</f>
        <v>22.0</v>
      </c>
    </row>
    <row r="12">
      <c r="A12" s="27" t="s">
        <v>42</v>
      </c>
      <c r="B12" s="27" t="s">
        <v>67</v>
      </c>
      <c r="C12" s="27" t="s">
        <v>68</v>
      </c>
      <c r="D12" s="27" t="s">
        <v>69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481.9</f>
        <v>481.9</v>
      </c>
      <c r="L12" s="34" t="s">
        <v>70</v>
      </c>
      <c r="M12" s="33" t="n">
        <f>500</f>
        <v>500.0</v>
      </c>
      <c r="N12" s="34" t="s">
        <v>66</v>
      </c>
      <c r="O12" s="33" t="n">
        <f>471.1</f>
        <v>471.1</v>
      </c>
      <c r="P12" s="34" t="s">
        <v>71</v>
      </c>
      <c r="Q12" s="33" t="n">
        <f>471.1</f>
        <v>471.1</v>
      </c>
      <c r="R12" s="34" t="s">
        <v>51</v>
      </c>
      <c r="S12" s="35" t="n">
        <f>484.81</f>
        <v>484.81</v>
      </c>
      <c r="T12" s="32" t="n">
        <f>120000</f>
        <v>120000.0</v>
      </c>
      <c r="U12" s="32" t="n">
        <f>2000</f>
        <v>2000.0</v>
      </c>
      <c r="V12" s="32" t="n">
        <f>58450800</f>
        <v>5.84508E7</v>
      </c>
      <c r="W12" s="32" t="n">
        <f>977800</f>
        <v>977800.0</v>
      </c>
      <c r="X12" s="36" t="n">
        <f>19</f>
        <v>19.0</v>
      </c>
    </row>
    <row r="13">
      <c r="A13" s="27" t="s">
        <v>42</v>
      </c>
      <c r="B13" s="27" t="s">
        <v>72</v>
      </c>
      <c r="C13" s="27" t="s">
        <v>73</v>
      </c>
      <c r="D13" s="27" t="s">
        <v>74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41480</f>
        <v>41480.0</v>
      </c>
      <c r="L13" s="34" t="s">
        <v>48</v>
      </c>
      <c r="M13" s="33" t="n">
        <f>43570</f>
        <v>43570.0</v>
      </c>
      <c r="N13" s="34" t="s">
        <v>66</v>
      </c>
      <c r="O13" s="33" t="n">
        <f>38620</f>
        <v>38620.0</v>
      </c>
      <c r="P13" s="34" t="s">
        <v>50</v>
      </c>
      <c r="Q13" s="33" t="n">
        <f>40130</f>
        <v>40130.0</v>
      </c>
      <c r="R13" s="34" t="s">
        <v>51</v>
      </c>
      <c r="S13" s="35" t="n">
        <f>41337.73</f>
        <v>41337.73</v>
      </c>
      <c r="T13" s="32" t="n">
        <f>1210440</f>
        <v>1210440.0</v>
      </c>
      <c r="U13" s="32" t="n">
        <f>189511</f>
        <v>189511.0</v>
      </c>
      <c r="V13" s="32" t="n">
        <f>49491759718</f>
        <v>4.9491759718E10</v>
      </c>
      <c r="W13" s="32" t="n">
        <f>7761800008</f>
        <v>7.761800008E9</v>
      </c>
      <c r="X13" s="36" t="n">
        <f>22</f>
        <v>22.0</v>
      </c>
    </row>
    <row r="14">
      <c r="A14" s="27" t="s">
        <v>42</v>
      </c>
      <c r="B14" s="27" t="s">
        <v>75</v>
      </c>
      <c r="C14" s="27" t="s">
        <v>76</v>
      </c>
      <c r="D14" s="27" t="s">
        <v>77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41620</f>
        <v>41620.0</v>
      </c>
      <c r="L14" s="34" t="s">
        <v>48</v>
      </c>
      <c r="M14" s="33" t="n">
        <f>43710</f>
        <v>43710.0</v>
      </c>
      <c r="N14" s="34" t="s">
        <v>66</v>
      </c>
      <c r="O14" s="33" t="n">
        <f>38760</f>
        <v>38760.0</v>
      </c>
      <c r="P14" s="34" t="s">
        <v>50</v>
      </c>
      <c r="Q14" s="33" t="n">
        <f>40300</f>
        <v>40300.0</v>
      </c>
      <c r="R14" s="34" t="s">
        <v>51</v>
      </c>
      <c r="S14" s="35" t="n">
        <f>41417.27</f>
        <v>41417.27</v>
      </c>
      <c r="T14" s="32" t="n">
        <f>9139868</f>
        <v>9139868.0</v>
      </c>
      <c r="U14" s="32" t="n">
        <f>518887</f>
        <v>518887.0</v>
      </c>
      <c r="V14" s="32" t="n">
        <f>375769784615</f>
        <v>3.75769784615E11</v>
      </c>
      <c r="W14" s="32" t="n">
        <f>21519656935</f>
        <v>2.1519656935E10</v>
      </c>
      <c r="X14" s="36" t="n">
        <f>22</f>
        <v>22.0</v>
      </c>
    </row>
    <row r="15">
      <c r="A15" s="27" t="s">
        <v>42</v>
      </c>
      <c r="B15" s="27" t="s">
        <v>78</v>
      </c>
      <c r="C15" s="27" t="s">
        <v>79</v>
      </c>
      <c r="D15" s="27" t="s">
        <v>80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10.0</v>
      </c>
      <c r="K15" s="33" t="n">
        <f>7889</f>
        <v>7889.0</v>
      </c>
      <c r="L15" s="34" t="s">
        <v>48</v>
      </c>
      <c r="M15" s="33" t="n">
        <f>7979</f>
        <v>7979.0</v>
      </c>
      <c r="N15" s="34" t="s">
        <v>58</v>
      </c>
      <c r="O15" s="33" t="n">
        <f>7388</f>
        <v>7388.0</v>
      </c>
      <c r="P15" s="34" t="s">
        <v>51</v>
      </c>
      <c r="Q15" s="33" t="n">
        <f>7451</f>
        <v>7451.0</v>
      </c>
      <c r="R15" s="34" t="s">
        <v>51</v>
      </c>
      <c r="S15" s="35" t="n">
        <f>7759.36</f>
        <v>7759.36</v>
      </c>
      <c r="T15" s="32" t="n">
        <f>12820</f>
        <v>12820.0</v>
      </c>
      <c r="U15" s="32" t="str">
        <f>"－"</f>
        <v>－</v>
      </c>
      <c r="V15" s="32" t="n">
        <f>99679210</f>
        <v>9.967921E7</v>
      </c>
      <c r="W15" s="32" t="str">
        <f>"－"</f>
        <v>－</v>
      </c>
      <c r="X15" s="36" t="n">
        <f>22</f>
        <v>22.0</v>
      </c>
    </row>
    <row r="16">
      <c r="A16" s="27" t="s">
        <v>42</v>
      </c>
      <c r="B16" s="27" t="s">
        <v>81</v>
      </c>
      <c r="C16" s="27" t="s">
        <v>82</v>
      </c>
      <c r="D16" s="27" t="s">
        <v>83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str">
        <f>"－"</f>
        <v>－</v>
      </c>
      <c r="L16" s="34"/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5" t="str">
        <f>"－"</f>
        <v>－</v>
      </c>
      <c r="T16" s="32" t="str">
        <f>"－"</f>
        <v>－</v>
      </c>
      <c r="U16" s="32" t="str">
        <f>"－"</f>
        <v>－</v>
      </c>
      <c r="V16" s="32" t="str">
        <f>"－"</f>
        <v>－</v>
      </c>
      <c r="W16" s="32" t="str">
        <f>"－"</f>
        <v>－</v>
      </c>
      <c r="X16" s="36" t="str">
        <f>"－"</f>
        <v>－</v>
      </c>
    </row>
    <row r="17">
      <c r="A17" s="27" t="s">
        <v>42</v>
      </c>
      <c r="B17" s="27" t="s">
        <v>84</v>
      </c>
      <c r="C17" s="27" t="s">
        <v>85</v>
      </c>
      <c r="D17" s="27" t="s">
        <v>86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100.0</v>
      </c>
      <c r="K17" s="33" t="n">
        <f>235.8</f>
        <v>235.8</v>
      </c>
      <c r="L17" s="34" t="s">
        <v>48</v>
      </c>
      <c r="M17" s="33" t="n">
        <f>236</f>
        <v>236.0</v>
      </c>
      <c r="N17" s="34" t="s">
        <v>48</v>
      </c>
      <c r="O17" s="33" t="n">
        <f>204</f>
        <v>204.0</v>
      </c>
      <c r="P17" s="34" t="s">
        <v>50</v>
      </c>
      <c r="Q17" s="33" t="n">
        <f>210</f>
        <v>210.0</v>
      </c>
      <c r="R17" s="34" t="s">
        <v>51</v>
      </c>
      <c r="S17" s="35" t="n">
        <f>220.22</f>
        <v>220.22</v>
      </c>
      <c r="T17" s="32" t="n">
        <f>1125100</f>
        <v>1125100.0</v>
      </c>
      <c r="U17" s="32" t="n">
        <f>11900</f>
        <v>11900.0</v>
      </c>
      <c r="V17" s="32" t="n">
        <f>249642530</f>
        <v>2.4964253E8</v>
      </c>
      <c r="W17" s="32" t="n">
        <f>2654500</f>
        <v>2654500.0</v>
      </c>
      <c r="X17" s="36" t="n">
        <f>22</f>
        <v>22.0</v>
      </c>
    </row>
    <row r="18">
      <c r="A18" s="27" t="s">
        <v>42</v>
      </c>
      <c r="B18" s="27" t="s">
        <v>87</v>
      </c>
      <c r="C18" s="27" t="s">
        <v>88</v>
      </c>
      <c r="D18" s="27" t="s">
        <v>89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1.0</v>
      </c>
      <c r="K18" s="33" t="n">
        <f>34640</f>
        <v>34640.0</v>
      </c>
      <c r="L18" s="34" t="s">
        <v>48</v>
      </c>
      <c r="M18" s="33" t="n">
        <f>36430</f>
        <v>36430.0</v>
      </c>
      <c r="N18" s="34" t="s">
        <v>90</v>
      </c>
      <c r="O18" s="33" t="n">
        <f>33210</f>
        <v>33210.0</v>
      </c>
      <c r="P18" s="34" t="s">
        <v>91</v>
      </c>
      <c r="Q18" s="33" t="n">
        <f>34200</f>
        <v>34200.0</v>
      </c>
      <c r="R18" s="34" t="s">
        <v>51</v>
      </c>
      <c r="S18" s="35" t="n">
        <f>34924.09</f>
        <v>34924.09</v>
      </c>
      <c r="T18" s="32" t="n">
        <f>261858</f>
        <v>261858.0</v>
      </c>
      <c r="U18" s="32" t="n">
        <f>640</f>
        <v>640.0</v>
      </c>
      <c r="V18" s="32" t="n">
        <f>9082975128</f>
        <v>9.082975128E9</v>
      </c>
      <c r="W18" s="32" t="n">
        <f>23163868</f>
        <v>2.3163868E7</v>
      </c>
      <c r="X18" s="36" t="n">
        <f>22</f>
        <v>22.0</v>
      </c>
    </row>
    <row r="19">
      <c r="A19" s="27" t="s">
        <v>42</v>
      </c>
      <c r="B19" s="27" t="s">
        <v>92</v>
      </c>
      <c r="C19" s="27" t="s">
        <v>93</v>
      </c>
      <c r="D19" s="27" t="s">
        <v>94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10.0</v>
      </c>
      <c r="K19" s="33" t="n">
        <f>9148</f>
        <v>9148.0</v>
      </c>
      <c r="L19" s="34" t="s">
        <v>48</v>
      </c>
      <c r="M19" s="33" t="n">
        <f>9618</f>
        <v>9618.0</v>
      </c>
      <c r="N19" s="34" t="s">
        <v>90</v>
      </c>
      <c r="O19" s="33" t="n">
        <f>8811</f>
        <v>8811.0</v>
      </c>
      <c r="P19" s="34" t="s">
        <v>91</v>
      </c>
      <c r="Q19" s="33" t="n">
        <f>9088</f>
        <v>9088.0</v>
      </c>
      <c r="R19" s="34" t="s">
        <v>51</v>
      </c>
      <c r="S19" s="35" t="n">
        <f>9231.59</f>
        <v>9231.59</v>
      </c>
      <c r="T19" s="32" t="n">
        <f>586120</f>
        <v>586120.0</v>
      </c>
      <c r="U19" s="32" t="n">
        <f>157530</f>
        <v>157530.0</v>
      </c>
      <c r="V19" s="32" t="n">
        <f>5434430908</f>
        <v>5.434430908E9</v>
      </c>
      <c r="W19" s="32" t="n">
        <f>1469894668</f>
        <v>1.469894668E9</v>
      </c>
      <c r="X19" s="36" t="n">
        <f>22</f>
        <v>22.0</v>
      </c>
    </row>
    <row r="20">
      <c r="A20" s="27" t="s">
        <v>42</v>
      </c>
      <c r="B20" s="27" t="s">
        <v>95</v>
      </c>
      <c r="C20" s="27" t="s">
        <v>96</v>
      </c>
      <c r="D20" s="27" t="s">
        <v>97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41520</f>
        <v>41520.0</v>
      </c>
      <c r="L20" s="34" t="s">
        <v>48</v>
      </c>
      <c r="M20" s="33" t="n">
        <f>44250</f>
        <v>44250.0</v>
      </c>
      <c r="N20" s="34" t="s">
        <v>66</v>
      </c>
      <c r="O20" s="33" t="n">
        <f>39240</f>
        <v>39240.0</v>
      </c>
      <c r="P20" s="34" t="s">
        <v>50</v>
      </c>
      <c r="Q20" s="33" t="n">
        <f>40830</f>
        <v>40830.0</v>
      </c>
      <c r="R20" s="34" t="s">
        <v>51</v>
      </c>
      <c r="S20" s="35" t="n">
        <f>41838.64</f>
        <v>41838.64</v>
      </c>
      <c r="T20" s="32" t="n">
        <f>2092087</f>
        <v>2092087.0</v>
      </c>
      <c r="U20" s="32" t="n">
        <f>1107336</f>
        <v>1107336.0</v>
      </c>
      <c r="V20" s="32" t="n">
        <f>86981491129</f>
        <v>8.6981491129E10</v>
      </c>
      <c r="W20" s="32" t="n">
        <f>46419154629</f>
        <v>4.6419154629E10</v>
      </c>
      <c r="X20" s="36" t="n">
        <f>22</f>
        <v>22.0</v>
      </c>
    </row>
    <row r="21">
      <c r="A21" s="27" t="s">
        <v>42</v>
      </c>
      <c r="B21" s="27" t="s">
        <v>98</v>
      </c>
      <c r="C21" s="27" t="s">
        <v>99</v>
      </c>
      <c r="D21" s="27" t="s">
        <v>100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41700</f>
        <v>41700.0</v>
      </c>
      <c r="L21" s="34" t="s">
        <v>48</v>
      </c>
      <c r="M21" s="33" t="n">
        <f>43750</f>
        <v>43750.0</v>
      </c>
      <c r="N21" s="34" t="s">
        <v>66</v>
      </c>
      <c r="O21" s="33" t="n">
        <f>38800</f>
        <v>38800.0</v>
      </c>
      <c r="P21" s="34" t="s">
        <v>50</v>
      </c>
      <c r="Q21" s="33" t="n">
        <f>40300</f>
        <v>40300.0</v>
      </c>
      <c r="R21" s="34" t="s">
        <v>51</v>
      </c>
      <c r="S21" s="35" t="n">
        <f>41469.09</f>
        <v>41469.09</v>
      </c>
      <c r="T21" s="32" t="n">
        <f>1691436</f>
        <v>1691436.0</v>
      </c>
      <c r="U21" s="32" t="n">
        <f>374098</f>
        <v>374098.0</v>
      </c>
      <c r="V21" s="32" t="n">
        <f>69409588314</f>
        <v>6.9409588314E10</v>
      </c>
      <c r="W21" s="32" t="n">
        <f>15514995614</f>
        <v>1.5514995614E10</v>
      </c>
      <c r="X21" s="36" t="n">
        <f>22</f>
        <v>22.0</v>
      </c>
    </row>
    <row r="22">
      <c r="A22" s="27" t="s">
        <v>42</v>
      </c>
      <c r="B22" s="27" t="s">
        <v>101</v>
      </c>
      <c r="C22" s="27" t="s">
        <v>102</v>
      </c>
      <c r="D22" s="27" t="s">
        <v>103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1.0</v>
      </c>
      <c r="K22" s="33" t="n">
        <f>1100</f>
        <v>1100.0</v>
      </c>
      <c r="L22" s="34" t="s">
        <v>48</v>
      </c>
      <c r="M22" s="33" t="n">
        <f>1107</f>
        <v>1107.0</v>
      </c>
      <c r="N22" s="34" t="s">
        <v>104</v>
      </c>
      <c r="O22" s="33" t="n">
        <f>1034</f>
        <v>1034.0</v>
      </c>
      <c r="P22" s="34" t="s">
        <v>51</v>
      </c>
      <c r="Q22" s="33" t="n">
        <f>1043</f>
        <v>1043.0</v>
      </c>
      <c r="R22" s="34" t="s">
        <v>51</v>
      </c>
      <c r="S22" s="35" t="n">
        <f>1079.77</f>
        <v>1079.77</v>
      </c>
      <c r="T22" s="32" t="n">
        <f>15417192</f>
        <v>1.5417192E7</v>
      </c>
      <c r="U22" s="32" t="n">
        <f>14521702</f>
        <v>1.4521702E7</v>
      </c>
      <c r="V22" s="32" t="n">
        <f>16657350533</f>
        <v>1.6657350533E10</v>
      </c>
      <c r="W22" s="32" t="n">
        <f>15693766004</f>
        <v>1.5693766004E10</v>
      </c>
      <c r="X22" s="36" t="n">
        <f>22</f>
        <v>22.0</v>
      </c>
    </row>
    <row r="23">
      <c r="A23" s="27" t="s">
        <v>42</v>
      </c>
      <c r="B23" s="27" t="s">
        <v>105</v>
      </c>
      <c r="C23" s="27" t="s">
        <v>106</v>
      </c>
      <c r="D23" s="27" t="s">
        <v>107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10.0</v>
      </c>
      <c r="K23" s="33" t="n">
        <f>1867</f>
        <v>1867.0</v>
      </c>
      <c r="L23" s="34" t="s">
        <v>48</v>
      </c>
      <c r="M23" s="33" t="n">
        <f>1895</f>
        <v>1895.0</v>
      </c>
      <c r="N23" s="34" t="s">
        <v>108</v>
      </c>
      <c r="O23" s="33" t="n">
        <f>1836</f>
        <v>1836.0</v>
      </c>
      <c r="P23" s="34" t="s">
        <v>104</v>
      </c>
      <c r="Q23" s="33" t="n">
        <f>1867</f>
        <v>1867.0</v>
      </c>
      <c r="R23" s="34" t="s">
        <v>51</v>
      </c>
      <c r="S23" s="35" t="n">
        <f>1858.16</f>
        <v>1858.16</v>
      </c>
      <c r="T23" s="32" t="n">
        <f>20725500</f>
        <v>2.07255E7</v>
      </c>
      <c r="U23" s="32" t="n">
        <f>11608540</f>
        <v>1.160854E7</v>
      </c>
      <c r="V23" s="32" t="n">
        <f>38448836005</f>
        <v>3.8448836005E10</v>
      </c>
      <c r="W23" s="32" t="n">
        <f>21528392585</f>
        <v>2.1528392585E10</v>
      </c>
      <c r="X23" s="36" t="n">
        <f>22</f>
        <v>22.0</v>
      </c>
    </row>
    <row r="24">
      <c r="A24" s="27" t="s">
        <v>42</v>
      </c>
      <c r="B24" s="27" t="s">
        <v>109</v>
      </c>
      <c r="C24" s="27" t="s">
        <v>110</v>
      </c>
      <c r="D24" s="27" t="s">
        <v>111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100.0</v>
      </c>
      <c r="K24" s="33" t="n">
        <f>1758</f>
        <v>1758.0</v>
      </c>
      <c r="L24" s="34" t="s">
        <v>48</v>
      </c>
      <c r="M24" s="33" t="n">
        <f>1775</f>
        <v>1775.0</v>
      </c>
      <c r="N24" s="34" t="s">
        <v>108</v>
      </c>
      <c r="O24" s="33" t="n">
        <f>1720</f>
        <v>1720.0</v>
      </c>
      <c r="P24" s="34" t="s">
        <v>112</v>
      </c>
      <c r="Q24" s="33" t="n">
        <f>1750.5</f>
        <v>1750.5</v>
      </c>
      <c r="R24" s="34" t="s">
        <v>51</v>
      </c>
      <c r="S24" s="35" t="n">
        <f>1744.23</f>
        <v>1744.23</v>
      </c>
      <c r="T24" s="32" t="n">
        <f>3247200</f>
        <v>3247200.0</v>
      </c>
      <c r="U24" s="32" t="n">
        <f>1903900</f>
        <v>1903900.0</v>
      </c>
      <c r="V24" s="32" t="n">
        <f>5665558947</f>
        <v>5.665558947E9</v>
      </c>
      <c r="W24" s="32" t="n">
        <f>3321810347</f>
        <v>3.321810347E9</v>
      </c>
      <c r="X24" s="36" t="n">
        <f>22</f>
        <v>22.0</v>
      </c>
    </row>
    <row r="25">
      <c r="A25" s="27" t="s">
        <v>42</v>
      </c>
      <c r="B25" s="27" t="s">
        <v>113</v>
      </c>
      <c r="C25" s="27" t="s">
        <v>114</v>
      </c>
      <c r="D25" s="27" t="s">
        <v>115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1.0</v>
      </c>
      <c r="K25" s="33" t="n">
        <f>41450</f>
        <v>41450.0</v>
      </c>
      <c r="L25" s="34" t="s">
        <v>48</v>
      </c>
      <c r="M25" s="33" t="n">
        <f>44120</f>
        <v>44120.0</v>
      </c>
      <c r="N25" s="34" t="s">
        <v>66</v>
      </c>
      <c r="O25" s="33" t="n">
        <f>38830</f>
        <v>38830.0</v>
      </c>
      <c r="P25" s="34" t="s">
        <v>50</v>
      </c>
      <c r="Q25" s="33" t="n">
        <f>40380</f>
        <v>40380.0</v>
      </c>
      <c r="R25" s="34" t="s">
        <v>51</v>
      </c>
      <c r="S25" s="35" t="n">
        <f>41525.91</f>
        <v>41525.91</v>
      </c>
      <c r="T25" s="32" t="n">
        <f>830059</f>
        <v>830059.0</v>
      </c>
      <c r="U25" s="32" t="n">
        <f>187787</f>
        <v>187787.0</v>
      </c>
      <c r="V25" s="32" t="n">
        <f>34082603518</f>
        <v>3.4082603518E10</v>
      </c>
      <c r="W25" s="32" t="n">
        <f>7643017978</f>
        <v>7.643017978E9</v>
      </c>
      <c r="X25" s="36" t="n">
        <f>22</f>
        <v>22.0</v>
      </c>
    </row>
    <row r="26">
      <c r="A26" s="27" t="s">
        <v>42</v>
      </c>
      <c r="B26" s="27" t="s">
        <v>116</v>
      </c>
      <c r="C26" s="27" t="s">
        <v>117</v>
      </c>
      <c r="D26" s="27" t="s">
        <v>118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10.0</v>
      </c>
      <c r="K26" s="33" t="n">
        <f>2962</f>
        <v>2962.0</v>
      </c>
      <c r="L26" s="34" t="s">
        <v>48</v>
      </c>
      <c r="M26" s="33" t="n">
        <f>3081</f>
        <v>3081.0</v>
      </c>
      <c r="N26" s="34" t="s">
        <v>66</v>
      </c>
      <c r="O26" s="33" t="n">
        <f>2789</f>
        <v>2789.0</v>
      </c>
      <c r="P26" s="34" t="s">
        <v>50</v>
      </c>
      <c r="Q26" s="33" t="n">
        <f>2898.5</f>
        <v>2898.5</v>
      </c>
      <c r="R26" s="34" t="s">
        <v>51</v>
      </c>
      <c r="S26" s="35" t="n">
        <f>2958.43</f>
        <v>2958.43</v>
      </c>
      <c r="T26" s="32" t="n">
        <f>6523950</f>
        <v>6523950.0</v>
      </c>
      <c r="U26" s="32" t="n">
        <f>2462510</f>
        <v>2462510.0</v>
      </c>
      <c r="V26" s="32" t="n">
        <f>18885136182</f>
        <v>1.8885136182E10</v>
      </c>
      <c r="W26" s="32" t="n">
        <f>6968956492</f>
        <v>6.968956492E9</v>
      </c>
      <c r="X26" s="36" t="n">
        <f>22</f>
        <v>22.0</v>
      </c>
    </row>
    <row r="27">
      <c r="A27" s="27" t="s">
        <v>42</v>
      </c>
      <c r="B27" s="27" t="s">
        <v>119</v>
      </c>
      <c r="C27" s="27" t="s">
        <v>120</v>
      </c>
      <c r="D27" s="27" t="s">
        <v>121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1.0</v>
      </c>
      <c r="K27" s="33" t="n">
        <f>17100</f>
        <v>17100.0</v>
      </c>
      <c r="L27" s="34" t="s">
        <v>48</v>
      </c>
      <c r="M27" s="33" t="n">
        <f>17315</f>
        <v>17315.0</v>
      </c>
      <c r="N27" s="34" t="s">
        <v>66</v>
      </c>
      <c r="O27" s="33" t="n">
        <f>16020</f>
        <v>16020.0</v>
      </c>
      <c r="P27" s="34" t="s">
        <v>91</v>
      </c>
      <c r="Q27" s="33" t="n">
        <f>16290</f>
        <v>16290.0</v>
      </c>
      <c r="R27" s="34" t="s">
        <v>51</v>
      </c>
      <c r="S27" s="35" t="n">
        <f>16790.91</f>
        <v>16790.91</v>
      </c>
      <c r="T27" s="32" t="n">
        <f>875</f>
        <v>875.0</v>
      </c>
      <c r="U27" s="32" t="str">
        <f>"－"</f>
        <v>－</v>
      </c>
      <c r="V27" s="32" t="n">
        <f>14768090</f>
        <v>1.476809E7</v>
      </c>
      <c r="W27" s="32" t="str">
        <f>"－"</f>
        <v>－</v>
      </c>
      <c r="X27" s="36" t="n">
        <f>22</f>
        <v>22.0</v>
      </c>
    </row>
    <row r="28">
      <c r="A28" s="27" t="s">
        <v>42</v>
      </c>
      <c r="B28" s="27" t="s">
        <v>122</v>
      </c>
      <c r="C28" s="27" t="s">
        <v>123</v>
      </c>
      <c r="D28" s="27" t="s">
        <v>124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10.0</v>
      </c>
      <c r="K28" s="33" t="n">
        <f>355.7</f>
        <v>355.7</v>
      </c>
      <c r="L28" s="34" t="s">
        <v>48</v>
      </c>
      <c r="M28" s="33" t="n">
        <f>391.1</f>
        <v>391.1</v>
      </c>
      <c r="N28" s="34" t="s">
        <v>50</v>
      </c>
      <c r="O28" s="33" t="n">
        <f>328.4</f>
        <v>328.4</v>
      </c>
      <c r="P28" s="34" t="s">
        <v>66</v>
      </c>
      <c r="Q28" s="33" t="n">
        <f>361.9</f>
        <v>361.9</v>
      </c>
      <c r="R28" s="34" t="s">
        <v>51</v>
      </c>
      <c r="S28" s="35" t="n">
        <f>353.11</f>
        <v>353.11</v>
      </c>
      <c r="T28" s="32" t="n">
        <f>46169690</f>
        <v>4.616969E7</v>
      </c>
      <c r="U28" s="32" t="n">
        <f>5550</f>
        <v>5550.0</v>
      </c>
      <c r="V28" s="32" t="n">
        <f>16348540306</f>
        <v>1.6348540306E10</v>
      </c>
      <c r="W28" s="32" t="n">
        <f>1888442</f>
        <v>1888442.0</v>
      </c>
      <c r="X28" s="36" t="n">
        <f>22</f>
        <v>22.0</v>
      </c>
    </row>
    <row r="29">
      <c r="A29" s="27" t="s">
        <v>42</v>
      </c>
      <c r="B29" s="27" t="s">
        <v>125</v>
      </c>
      <c r="C29" s="27" t="s">
        <v>126</v>
      </c>
      <c r="D29" s="27" t="s">
        <v>127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137</f>
        <v>137.0</v>
      </c>
      <c r="L29" s="34" t="s">
        <v>48</v>
      </c>
      <c r="M29" s="33" t="n">
        <f>153</f>
        <v>153.0</v>
      </c>
      <c r="N29" s="34" t="s">
        <v>50</v>
      </c>
      <c r="O29" s="33" t="n">
        <f>121</f>
        <v>121.0</v>
      </c>
      <c r="P29" s="34" t="s">
        <v>66</v>
      </c>
      <c r="Q29" s="33" t="n">
        <f>141</f>
        <v>141.0</v>
      </c>
      <c r="R29" s="34" t="s">
        <v>51</v>
      </c>
      <c r="S29" s="35" t="n">
        <f>135.5</f>
        <v>135.5</v>
      </c>
      <c r="T29" s="32" t="n">
        <f>1864229241</f>
        <v>1.864229241E9</v>
      </c>
      <c r="U29" s="32" t="n">
        <f>33195002</f>
        <v>3.3195002E7</v>
      </c>
      <c r="V29" s="32" t="n">
        <f>257337951145</f>
        <v>2.57337951145E11</v>
      </c>
      <c r="W29" s="32" t="n">
        <f>4446251172</f>
        <v>4.446251172E9</v>
      </c>
      <c r="X29" s="36" t="n">
        <f>22</f>
        <v>22.0</v>
      </c>
    </row>
    <row r="30">
      <c r="A30" s="27" t="s">
        <v>42</v>
      </c>
      <c r="B30" s="27" t="s">
        <v>128</v>
      </c>
      <c r="C30" s="27" t="s">
        <v>129</v>
      </c>
      <c r="D30" s="27" t="s">
        <v>130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1.0</v>
      </c>
      <c r="K30" s="33" t="n">
        <f>55300</f>
        <v>55300.0</v>
      </c>
      <c r="L30" s="34" t="s">
        <v>48</v>
      </c>
      <c r="M30" s="33" t="n">
        <f>62420</f>
        <v>62420.0</v>
      </c>
      <c r="N30" s="34" t="s">
        <v>66</v>
      </c>
      <c r="O30" s="33" t="n">
        <f>48900</f>
        <v>48900.0</v>
      </c>
      <c r="P30" s="34" t="s">
        <v>50</v>
      </c>
      <c r="Q30" s="33" t="n">
        <f>52640</f>
        <v>52640.0</v>
      </c>
      <c r="R30" s="34" t="s">
        <v>51</v>
      </c>
      <c r="S30" s="35" t="n">
        <f>55790.91</f>
        <v>55790.91</v>
      </c>
      <c r="T30" s="32" t="n">
        <f>430442</f>
        <v>430442.0</v>
      </c>
      <c r="U30" s="32" t="n">
        <f>21</f>
        <v>21.0</v>
      </c>
      <c r="V30" s="32" t="n">
        <f>23922250730</f>
        <v>2.392225073E10</v>
      </c>
      <c r="W30" s="32" t="n">
        <f>1256100</f>
        <v>1256100.0</v>
      </c>
      <c r="X30" s="36" t="n">
        <f>22</f>
        <v>22.0</v>
      </c>
    </row>
    <row r="31">
      <c r="A31" s="27" t="s">
        <v>42</v>
      </c>
      <c r="B31" s="27" t="s">
        <v>131</v>
      </c>
      <c r="C31" s="27" t="s">
        <v>132</v>
      </c>
      <c r="D31" s="27" t="s">
        <v>133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10.0</v>
      </c>
      <c r="K31" s="33" t="n">
        <f>337</f>
        <v>337.0</v>
      </c>
      <c r="L31" s="34" t="s">
        <v>48</v>
      </c>
      <c r="M31" s="33" t="n">
        <f>373.6</f>
        <v>373.6</v>
      </c>
      <c r="N31" s="34" t="s">
        <v>50</v>
      </c>
      <c r="O31" s="33" t="n">
        <f>296</f>
        <v>296.0</v>
      </c>
      <c r="P31" s="34" t="s">
        <v>66</v>
      </c>
      <c r="Q31" s="33" t="n">
        <f>344.7</f>
        <v>344.7</v>
      </c>
      <c r="R31" s="34" t="s">
        <v>51</v>
      </c>
      <c r="S31" s="35" t="n">
        <f>331.4</f>
        <v>331.4</v>
      </c>
      <c r="T31" s="32" t="n">
        <f>853418400</f>
        <v>8.534184E8</v>
      </c>
      <c r="U31" s="32" t="n">
        <f>9483770</f>
        <v>9483770.0</v>
      </c>
      <c r="V31" s="32" t="n">
        <f>284938274535</f>
        <v>2.84938274535E11</v>
      </c>
      <c r="W31" s="32" t="n">
        <f>3129569387</f>
        <v>3.129569387E9</v>
      </c>
      <c r="X31" s="36" t="n">
        <f>22</f>
        <v>22.0</v>
      </c>
    </row>
    <row r="32">
      <c r="A32" s="27" t="s">
        <v>42</v>
      </c>
      <c r="B32" s="27" t="s">
        <v>134</v>
      </c>
      <c r="C32" s="27" t="s">
        <v>135</v>
      </c>
      <c r="D32" s="27" t="s">
        <v>136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26720</f>
        <v>26720.0</v>
      </c>
      <c r="L32" s="34" t="s">
        <v>48</v>
      </c>
      <c r="M32" s="33" t="n">
        <f>28180</f>
        <v>28180.0</v>
      </c>
      <c r="N32" s="34" t="s">
        <v>66</v>
      </c>
      <c r="O32" s="33" t="n">
        <f>25465</f>
        <v>25465.0</v>
      </c>
      <c r="P32" s="34" t="s">
        <v>50</v>
      </c>
      <c r="Q32" s="33" t="n">
        <f>26400</f>
        <v>26400.0</v>
      </c>
      <c r="R32" s="34" t="s">
        <v>51</v>
      </c>
      <c r="S32" s="35" t="n">
        <f>26910.68</f>
        <v>26910.68</v>
      </c>
      <c r="T32" s="32" t="n">
        <f>23507</f>
        <v>23507.0</v>
      </c>
      <c r="U32" s="32" t="n">
        <f>771</f>
        <v>771.0</v>
      </c>
      <c r="V32" s="32" t="n">
        <f>633453470</f>
        <v>6.3345347E8</v>
      </c>
      <c r="W32" s="32" t="n">
        <f>19957475</f>
        <v>1.9957475E7</v>
      </c>
      <c r="X32" s="36" t="n">
        <f>22</f>
        <v>22.0</v>
      </c>
    </row>
    <row r="33">
      <c r="A33" s="27" t="s">
        <v>42</v>
      </c>
      <c r="B33" s="27" t="s">
        <v>137</v>
      </c>
      <c r="C33" s="27" t="s">
        <v>138</v>
      </c>
      <c r="D33" s="27" t="s">
        <v>139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45870</f>
        <v>45870.0</v>
      </c>
      <c r="L33" s="34" t="s">
        <v>48</v>
      </c>
      <c r="M33" s="33" t="n">
        <f>51960</f>
        <v>51960.0</v>
      </c>
      <c r="N33" s="34" t="s">
        <v>66</v>
      </c>
      <c r="O33" s="33" t="n">
        <f>40630</f>
        <v>40630.0</v>
      </c>
      <c r="P33" s="34" t="s">
        <v>50</v>
      </c>
      <c r="Q33" s="33" t="n">
        <f>43870</f>
        <v>43870.0</v>
      </c>
      <c r="R33" s="34" t="s">
        <v>51</v>
      </c>
      <c r="S33" s="35" t="n">
        <f>46380.45</f>
        <v>46380.45</v>
      </c>
      <c r="T33" s="32" t="n">
        <f>1476149</f>
        <v>1476149.0</v>
      </c>
      <c r="U33" s="32" t="n">
        <f>18986</f>
        <v>18986.0</v>
      </c>
      <c r="V33" s="32" t="n">
        <f>66837559794</f>
        <v>6.6837559794E10</v>
      </c>
      <c r="W33" s="32" t="n">
        <f>870881154</f>
        <v>8.70881154E8</v>
      </c>
      <c r="X33" s="36" t="n">
        <f>22</f>
        <v>22.0</v>
      </c>
    </row>
    <row r="34">
      <c r="A34" s="27" t="s">
        <v>42</v>
      </c>
      <c r="B34" s="27" t="s">
        <v>140</v>
      </c>
      <c r="C34" s="27" t="s">
        <v>141</v>
      </c>
      <c r="D34" s="27" t="s">
        <v>142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358</f>
        <v>358.0</v>
      </c>
      <c r="L34" s="34" t="s">
        <v>48</v>
      </c>
      <c r="M34" s="33" t="n">
        <f>397</f>
        <v>397.0</v>
      </c>
      <c r="N34" s="34" t="s">
        <v>50</v>
      </c>
      <c r="O34" s="33" t="n">
        <f>314</f>
        <v>314.0</v>
      </c>
      <c r="P34" s="34" t="s">
        <v>66</v>
      </c>
      <c r="Q34" s="33" t="n">
        <f>367</f>
        <v>367.0</v>
      </c>
      <c r="R34" s="34" t="s">
        <v>51</v>
      </c>
      <c r="S34" s="35" t="n">
        <f>351.95</f>
        <v>351.95</v>
      </c>
      <c r="T34" s="32" t="n">
        <f>51977810</f>
        <v>5.197781E7</v>
      </c>
      <c r="U34" s="32" t="n">
        <f>946564</f>
        <v>946564.0</v>
      </c>
      <c r="V34" s="32" t="n">
        <f>18560077225</f>
        <v>1.8560077225E10</v>
      </c>
      <c r="W34" s="32" t="n">
        <f>329937373</f>
        <v>3.29937373E8</v>
      </c>
      <c r="X34" s="36" t="n">
        <f>22</f>
        <v>22.0</v>
      </c>
    </row>
    <row r="35">
      <c r="A35" s="27" t="s">
        <v>42</v>
      </c>
      <c r="B35" s="27" t="s">
        <v>143</v>
      </c>
      <c r="C35" s="27" t="s">
        <v>144</v>
      </c>
      <c r="D35" s="27" t="s">
        <v>145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40670</f>
        <v>40670.0</v>
      </c>
      <c r="L35" s="34" t="s">
        <v>48</v>
      </c>
      <c r="M35" s="33" t="n">
        <f>43950</f>
        <v>43950.0</v>
      </c>
      <c r="N35" s="34" t="s">
        <v>66</v>
      </c>
      <c r="O35" s="33" t="n">
        <f>36650</f>
        <v>36650.0</v>
      </c>
      <c r="P35" s="34" t="s">
        <v>50</v>
      </c>
      <c r="Q35" s="33" t="n">
        <f>39590</f>
        <v>39590.0</v>
      </c>
      <c r="R35" s="34" t="s">
        <v>51</v>
      </c>
      <c r="S35" s="35" t="n">
        <f>40903.18</f>
        <v>40903.18</v>
      </c>
      <c r="T35" s="32" t="n">
        <f>190400</f>
        <v>190400.0</v>
      </c>
      <c r="U35" s="32" t="n">
        <f>3435</f>
        <v>3435.0</v>
      </c>
      <c r="V35" s="32" t="n">
        <f>7739886765</f>
        <v>7.739886765E9</v>
      </c>
      <c r="W35" s="32" t="n">
        <f>139273515</f>
        <v>1.39273515E8</v>
      </c>
      <c r="X35" s="36" t="n">
        <f>22</f>
        <v>22.0</v>
      </c>
    </row>
    <row r="36">
      <c r="A36" s="27" t="s">
        <v>42</v>
      </c>
      <c r="B36" s="27" t="s">
        <v>146</v>
      </c>
      <c r="C36" s="27" t="s">
        <v>147</v>
      </c>
      <c r="D36" s="27" t="s">
        <v>148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515</f>
        <v>515.0</v>
      </c>
      <c r="L36" s="34" t="s">
        <v>48</v>
      </c>
      <c r="M36" s="33" t="n">
        <f>567</f>
        <v>567.0</v>
      </c>
      <c r="N36" s="34" t="s">
        <v>50</v>
      </c>
      <c r="O36" s="33" t="n">
        <f>476</f>
        <v>476.0</v>
      </c>
      <c r="P36" s="34" t="s">
        <v>66</v>
      </c>
      <c r="Q36" s="33" t="n">
        <f>523</f>
        <v>523.0</v>
      </c>
      <c r="R36" s="34" t="s">
        <v>51</v>
      </c>
      <c r="S36" s="35" t="n">
        <f>511.64</f>
        <v>511.64</v>
      </c>
      <c r="T36" s="32" t="n">
        <f>4063522</f>
        <v>4063522.0</v>
      </c>
      <c r="U36" s="32" t="n">
        <f>5826</f>
        <v>5826.0</v>
      </c>
      <c r="V36" s="32" t="n">
        <f>2105752967</f>
        <v>2.105752967E9</v>
      </c>
      <c r="W36" s="32" t="n">
        <f>3007480</f>
        <v>3007480.0</v>
      </c>
      <c r="X36" s="36" t="n">
        <f>22</f>
        <v>22.0</v>
      </c>
    </row>
    <row r="37">
      <c r="A37" s="27" t="s">
        <v>42</v>
      </c>
      <c r="B37" s="27" t="s">
        <v>149</v>
      </c>
      <c r="C37" s="27" t="s">
        <v>150</v>
      </c>
      <c r="D37" s="27" t="s">
        <v>151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40150</f>
        <v>40150.0</v>
      </c>
      <c r="L37" s="34" t="s">
        <v>48</v>
      </c>
      <c r="M37" s="33" t="n">
        <f>42510</f>
        <v>42510.0</v>
      </c>
      <c r="N37" s="34" t="s">
        <v>66</v>
      </c>
      <c r="O37" s="33" t="n">
        <f>37720</f>
        <v>37720.0</v>
      </c>
      <c r="P37" s="34" t="s">
        <v>50</v>
      </c>
      <c r="Q37" s="33" t="n">
        <f>39180</f>
        <v>39180.0</v>
      </c>
      <c r="R37" s="34" t="s">
        <v>51</v>
      </c>
      <c r="S37" s="35" t="n">
        <f>40246.36</f>
        <v>40246.36</v>
      </c>
      <c r="T37" s="32" t="n">
        <f>659914</f>
        <v>659914.0</v>
      </c>
      <c r="U37" s="32" t="n">
        <f>547556</f>
        <v>547556.0</v>
      </c>
      <c r="V37" s="32" t="n">
        <f>26945729329</f>
        <v>2.6945729329E10</v>
      </c>
      <c r="W37" s="32" t="n">
        <f>22434105519</f>
        <v>2.2434105519E10</v>
      </c>
      <c r="X37" s="36" t="n">
        <f>22</f>
        <v>22.0</v>
      </c>
    </row>
    <row r="38">
      <c r="A38" s="27" t="s">
        <v>42</v>
      </c>
      <c r="B38" s="27" t="s">
        <v>152</v>
      </c>
      <c r="C38" s="27" t="s">
        <v>153</v>
      </c>
      <c r="D38" s="27" t="s">
        <v>154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1.0</v>
      </c>
      <c r="K38" s="33" t="n">
        <f>40300</f>
        <v>40300.0</v>
      </c>
      <c r="L38" s="34" t="s">
        <v>48</v>
      </c>
      <c r="M38" s="33" t="n">
        <f>42890</f>
        <v>42890.0</v>
      </c>
      <c r="N38" s="34" t="s">
        <v>66</v>
      </c>
      <c r="O38" s="33" t="n">
        <f>38060</f>
        <v>38060.0</v>
      </c>
      <c r="P38" s="34" t="s">
        <v>50</v>
      </c>
      <c r="Q38" s="33" t="n">
        <f>39580</f>
        <v>39580.0</v>
      </c>
      <c r="R38" s="34" t="s">
        <v>51</v>
      </c>
      <c r="S38" s="35" t="n">
        <f>40578.18</f>
        <v>40578.18</v>
      </c>
      <c r="T38" s="32" t="n">
        <f>391772</f>
        <v>391772.0</v>
      </c>
      <c r="U38" s="32" t="n">
        <f>283893</f>
        <v>283893.0</v>
      </c>
      <c r="V38" s="32" t="n">
        <f>15358287554</f>
        <v>1.5358287554E10</v>
      </c>
      <c r="W38" s="32" t="n">
        <f>10999516194</f>
        <v>1.0999516194E10</v>
      </c>
      <c r="X38" s="36" t="n">
        <f>22</f>
        <v>22.0</v>
      </c>
    </row>
    <row r="39">
      <c r="A39" s="27" t="s">
        <v>42</v>
      </c>
      <c r="B39" s="27" t="s">
        <v>155</v>
      </c>
      <c r="C39" s="27" t="s">
        <v>156</v>
      </c>
      <c r="D39" s="27" t="s">
        <v>157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10.0</v>
      </c>
      <c r="K39" s="33" t="n">
        <f>1774</f>
        <v>1774.0</v>
      </c>
      <c r="L39" s="34" t="s">
        <v>48</v>
      </c>
      <c r="M39" s="33" t="n">
        <f>1802</f>
        <v>1802.0</v>
      </c>
      <c r="N39" s="34" t="s">
        <v>108</v>
      </c>
      <c r="O39" s="33" t="n">
        <f>1747.5</f>
        <v>1747.5</v>
      </c>
      <c r="P39" s="34" t="s">
        <v>104</v>
      </c>
      <c r="Q39" s="33" t="n">
        <f>1778.5</f>
        <v>1778.5</v>
      </c>
      <c r="R39" s="34" t="s">
        <v>51</v>
      </c>
      <c r="S39" s="35" t="n">
        <f>1768.25</f>
        <v>1768.25</v>
      </c>
      <c r="T39" s="32" t="n">
        <f>1261500</f>
        <v>1261500.0</v>
      </c>
      <c r="U39" s="32" t="n">
        <f>574990</f>
        <v>574990.0</v>
      </c>
      <c r="V39" s="32" t="n">
        <f>2225845270</f>
        <v>2.22584527E9</v>
      </c>
      <c r="W39" s="32" t="n">
        <f>1012747250</f>
        <v>1.01274725E9</v>
      </c>
      <c r="X39" s="36" t="n">
        <f>22</f>
        <v>22.0</v>
      </c>
    </row>
    <row r="40">
      <c r="A40" s="27" t="s">
        <v>42</v>
      </c>
      <c r="B40" s="27" t="s">
        <v>158</v>
      </c>
      <c r="C40" s="27" t="s">
        <v>159</v>
      </c>
      <c r="D40" s="27" t="s">
        <v>160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10.0</v>
      </c>
      <c r="K40" s="33" t="n">
        <f>2225.5</f>
        <v>2225.5</v>
      </c>
      <c r="L40" s="34" t="s">
        <v>48</v>
      </c>
      <c r="M40" s="33" t="n">
        <f>2287.5</f>
        <v>2287.5</v>
      </c>
      <c r="N40" s="34" t="s">
        <v>108</v>
      </c>
      <c r="O40" s="33" t="n">
        <f>2190</f>
        <v>2190.0</v>
      </c>
      <c r="P40" s="34" t="s">
        <v>50</v>
      </c>
      <c r="Q40" s="33" t="n">
        <f>2218</f>
        <v>2218.0</v>
      </c>
      <c r="R40" s="34" t="s">
        <v>51</v>
      </c>
      <c r="S40" s="35" t="n">
        <f>2235.79</f>
        <v>2235.79</v>
      </c>
      <c r="T40" s="32" t="n">
        <f>9640</f>
        <v>9640.0</v>
      </c>
      <c r="U40" s="32" t="n">
        <f>20</f>
        <v>20.0</v>
      </c>
      <c r="V40" s="32" t="n">
        <f>21452465</f>
        <v>2.1452465E7</v>
      </c>
      <c r="W40" s="32" t="n">
        <f>44260</f>
        <v>44260.0</v>
      </c>
      <c r="X40" s="36" t="n">
        <f>21</f>
        <v>21.0</v>
      </c>
    </row>
    <row r="41">
      <c r="A41" s="27" t="s">
        <v>42</v>
      </c>
      <c r="B41" s="27" t="s">
        <v>161</v>
      </c>
      <c r="C41" s="27" t="s">
        <v>162</v>
      </c>
      <c r="D41" s="27" t="s">
        <v>163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2005</f>
        <v>2005.0</v>
      </c>
      <c r="L41" s="34" t="s">
        <v>48</v>
      </c>
      <c r="M41" s="33" t="n">
        <f>2014</f>
        <v>2014.0</v>
      </c>
      <c r="N41" s="34" t="s">
        <v>104</v>
      </c>
      <c r="O41" s="33" t="n">
        <f>1970</f>
        <v>1970.0</v>
      </c>
      <c r="P41" s="34" t="s">
        <v>51</v>
      </c>
      <c r="Q41" s="33" t="n">
        <f>1975</f>
        <v>1975.0</v>
      </c>
      <c r="R41" s="34" t="s">
        <v>51</v>
      </c>
      <c r="S41" s="35" t="n">
        <f>1988.55</f>
        <v>1988.55</v>
      </c>
      <c r="T41" s="32" t="n">
        <f>9835</f>
        <v>9835.0</v>
      </c>
      <c r="U41" s="32" t="str">
        <f>"－"</f>
        <v>－</v>
      </c>
      <c r="V41" s="32" t="n">
        <f>19512217</f>
        <v>1.9512217E7</v>
      </c>
      <c r="W41" s="32" t="str">
        <f>"－"</f>
        <v>－</v>
      </c>
      <c r="X41" s="36" t="n">
        <f>22</f>
        <v>22.0</v>
      </c>
    </row>
    <row r="42">
      <c r="A42" s="27" t="s">
        <v>42</v>
      </c>
      <c r="B42" s="27" t="s">
        <v>164</v>
      </c>
      <c r="C42" s="27" t="s">
        <v>165</v>
      </c>
      <c r="D42" s="27" t="s">
        <v>166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2601</f>
        <v>2601.0</v>
      </c>
      <c r="L42" s="34" t="s">
        <v>48</v>
      </c>
      <c r="M42" s="33" t="n">
        <f>2741</f>
        <v>2741.0</v>
      </c>
      <c r="N42" s="34" t="s">
        <v>50</v>
      </c>
      <c r="O42" s="33" t="n">
        <f>2438</f>
        <v>2438.0</v>
      </c>
      <c r="P42" s="34" t="s">
        <v>66</v>
      </c>
      <c r="Q42" s="33" t="n">
        <f>2636</f>
        <v>2636.0</v>
      </c>
      <c r="R42" s="34" t="s">
        <v>51</v>
      </c>
      <c r="S42" s="35" t="n">
        <f>2579.18</f>
        <v>2579.18</v>
      </c>
      <c r="T42" s="32" t="n">
        <f>6615123</f>
        <v>6615123.0</v>
      </c>
      <c r="U42" s="32" t="n">
        <f>531430</f>
        <v>531430.0</v>
      </c>
      <c r="V42" s="32" t="n">
        <f>16949683874</f>
        <v>1.6949683874E10</v>
      </c>
      <c r="W42" s="32" t="n">
        <f>1322099204</f>
        <v>1.322099204E9</v>
      </c>
      <c r="X42" s="36" t="n">
        <f>22</f>
        <v>22.0</v>
      </c>
    </row>
    <row r="43">
      <c r="A43" s="27" t="s">
        <v>42</v>
      </c>
      <c r="B43" s="27" t="s">
        <v>167</v>
      </c>
      <c r="C43" s="27" t="s">
        <v>168</v>
      </c>
      <c r="D43" s="27" t="s">
        <v>169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3040</f>
        <v>3040.0</v>
      </c>
      <c r="L43" s="34" t="s">
        <v>48</v>
      </c>
      <c r="M43" s="33" t="n">
        <f>3195</f>
        <v>3195.0</v>
      </c>
      <c r="N43" s="34" t="s">
        <v>50</v>
      </c>
      <c r="O43" s="33" t="n">
        <f>2929</f>
        <v>2929.0</v>
      </c>
      <c r="P43" s="34" t="s">
        <v>66</v>
      </c>
      <c r="Q43" s="33" t="n">
        <f>3080</f>
        <v>3080.0</v>
      </c>
      <c r="R43" s="34" t="s">
        <v>51</v>
      </c>
      <c r="S43" s="35" t="n">
        <f>3031.77</f>
        <v>3031.77</v>
      </c>
      <c r="T43" s="32" t="n">
        <f>1796799</f>
        <v>1796799.0</v>
      </c>
      <c r="U43" s="32" t="n">
        <f>671730</f>
        <v>671730.0</v>
      </c>
      <c r="V43" s="32" t="n">
        <f>5475400505</f>
        <v>5.475400505E9</v>
      </c>
      <c r="W43" s="32" t="n">
        <f>2003710430</f>
        <v>2.00371043E9</v>
      </c>
      <c r="X43" s="36" t="n">
        <f>22</f>
        <v>22.0</v>
      </c>
    </row>
    <row r="44">
      <c r="A44" s="27" t="s">
        <v>42</v>
      </c>
      <c r="B44" s="27" t="s">
        <v>170</v>
      </c>
      <c r="C44" s="27" t="s">
        <v>171</v>
      </c>
      <c r="D44" s="27" t="s">
        <v>172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35060</f>
        <v>35060.0</v>
      </c>
      <c r="L44" s="34" t="s">
        <v>48</v>
      </c>
      <c r="M44" s="33" t="n">
        <f>39720</f>
        <v>39720.0</v>
      </c>
      <c r="N44" s="34" t="s">
        <v>66</v>
      </c>
      <c r="O44" s="33" t="n">
        <f>31080</f>
        <v>31080.0</v>
      </c>
      <c r="P44" s="34" t="s">
        <v>50</v>
      </c>
      <c r="Q44" s="33" t="n">
        <f>33560</f>
        <v>33560.0</v>
      </c>
      <c r="R44" s="34" t="s">
        <v>51</v>
      </c>
      <c r="S44" s="35" t="n">
        <f>35479.09</f>
        <v>35479.09</v>
      </c>
      <c r="T44" s="32" t="n">
        <f>7924973</f>
        <v>7924973.0</v>
      </c>
      <c r="U44" s="32" t="n">
        <f>135867</f>
        <v>135867.0</v>
      </c>
      <c r="V44" s="32" t="n">
        <f>278808309741</f>
        <v>2.78808309741E11</v>
      </c>
      <c r="W44" s="32" t="n">
        <f>4832446691</f>
        <v>4.832446691E9</v>
      </c>
      <c r="X44" s="36" t="n">
        <f>22</f>
        <v>22.0</v>
      </c>
    </row>
    <row r="45">
      <c r="A45" s="27" t="s">
        <v>42</v>
      </c>
      <c r="B45" s="27" t="s">
        <v>173</v>
      </c>
      <c r="C45" s="27" t="s">
        <v>174</v>
      </c>
      <c r="D45" s="27" t="s">
        <v>175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555</f>
        <v>555.0</v>
      </c>
      <c r="L45" s="34" t="s">
        <v>48</v>
      </c>
      <c r="M45" s="33" t="n">
        <f>617</f>
        <v>617.0</v>
      </c>
      <c r="N45" s="34" t="s">
        <v>50</v>
      </c>
      <c r="O45" s="33" t="n">
        <f>488</f>
        <v>488.0</v>
      </c>
      <c r="P45" s="34" t="s">
        <v>66</v>
      </c>
      <c r="Q45" s="33" t="n">
        <f>569</f>
        <v>569.0</v>
      </c>
      <c r="R45" s="34" t="s">
        <v>51</v>
      </c>
      <c r="S45" s="35" t="n">
        <f>546.77</f>
        <v>546.77</v>
      </c>
      <c r="T45" s="32" t="n">
        <f>296864699</f>
        <v>2.96864699E8</v>
      </c>
      <c r="U45" s="32" t="n">
        <f>2710707</f>
        <v>2710707.0</v>
      </c>
      <c r="V45" s="32" t="n">
        <f>164124942108</f>
        <v>1.64124942108E11</v>
      </c>
      <c r="W45" s="32" t="n">
        <f>1469981256</f>
        <v>1.469981256E9</v>
      </c>
      <c r="X45" s="36" t="n">
        <f>22</f>
        <v>22.0</v>
      </c>
    </row>
    <row r="46">
      <c r="A46" s="27" t="s">
        <v>42</v>
      </c>
      <c r="B46" s="27" t="s">
        <v>176</v>
      </c>
      <c r="C46" s="27" t="s">
        <v>177</v>
      </c>
      <c r="D46" s="27" t="s">
        <v>178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1.0</v>
      </c>
      <c r="K46" s="33" t="n">
        <f>33400</f>
        <v>33400.0</v>
      </c>
      <c r="L46" s="34" t="s">
        <v>48</v>
      </c>
      <c r="M46" s="33" t="n">
        <f>36420</f>
        <v>36420.0</v>
      </c>
      <c r="N46" s="34" t="s">
        <v>66</v>
      </c>
      <c r="O46" s="33" t="n">
        <f>30140</f>
        <v>30140.0</v>
      </c>
      <c r="P46" s="34" t="s">
        <v>50</v>
      </c>
      <c r="Q46" s="33" t="n">
        <f>32520</f>
        <v>32520.0</v>
      </c>
      <c r="R46" s="34" t="s">
        <v>51</v>
      </c>
      <c r="S46" s="35" t="n">
        <f>33769.09</f>
        <v>33769.09</v>
      </c>
      <c r="T46" s="32" t="n">
        <f>7805</f>
        <v>7805.0</v>
      </c>
      <c r="U46" s="32" t="n">
        <f>13</f>
        <v>13.0</v>
      </c>
      <c r="V46" s="32" t="n">
        <f>258308890</f>
        <v>2.5830889E8</v>
      </c>
      <c r="W46" s="32" t="n">
        <f>415800</f>
        <v>415800.0</v>
      </c>
      <c r="X46" s="36" t="n">
        <f>22</f>
        <v>22.0</v>
      </c>
    </row>
    <row r="47">
      <c r="A47" s="27" t="s">
        <v>42</v>
      </c>
      <c r="B47" s="27" t="s">
        <v>179</v>
      </c>
      <c r="C47" s="27" t="s">
        <v>180</v>
      </c>
      <c r="D47" s="27" t="s">
        <v>181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2927</f>
        <v>2927.0</v>
      </c>
      <c r="L47" s="34" t="s">
        <v>48</v>
      </c>
      <c r="M47" s="33" t="n">
        <f>3060</f>
        <v>3060.0</v>
      </c>
      <c r="N47" s="34" t="s">
        <v>50</v>
      </c>
      <c r="O47" s="33" t="n">
        <f>2698</f>
        <v>2698.0</v>
      </c>
      <c r="P47" s="34" t="s">
        <v>108</v>
      </c>
      <c r="Q47" s="33" t="n">
        <f>2950</f>
        <v>2950.0</v>
      </c>
      <c r="R47" s="34" t="s">
        <v>51</v>
      </c>
      <c r="S47" s="35" t="n">
        <f>2893.37</f>
        <v>2893.37</v>
      </c>
      <c r="T47" s="32" t="n">
        <f>8751</f>
        <v>8751.0</v>
      </c>
      <c r="U47" s="32" t="str">
        <f>"－"</f>
        <v>－</v>
      </c>
      <c r="V47" s="32" t="n">
        <f>25041244</f>
        <v>2.5041244E7</v>
      </c>
      <c r="W47" s="32" t="str">
        <f>"－"</f>
        <v>－</v>
      </c>
      <c r="X47" s="36" t="n">
        <f>19</f>
        <v>19.0</v>
      </c>
    </row>
    <row r="48">
      <c r="A48" s="27" t="s">
        <v>42</v>
      </c>
      <c r="B48" s="27" t="s">
        <v>182</v>
      </c>
      <c r="C48" s="27" t="s">
        <v>183</v>
      </c>
      <c r="D48" s="27" t="s">
        <v>184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1.0</v>
      </c>
      <c r="K48" s="33" t="n">
        <f>660</f>
        <v>660.0</v>
      </c>
      <c r="L48" s="34" t="s">
        <v>48</v>
      </c>
      <c r="M48" s="33" t="n">
        <f>705</f>
        <v>705.0</v>
      </c>
      <c r="N48" s="34" t="s">
        <v>51</v>
      </c>
      <c r="O48" s="33" t="n">
        <f>591</f>
        <v>591.0</v>
      </c>
      <c r="P48" s="34" t="s">
        <v>66</v>
      </c>
      <c r="Q48" s="33" t="n">
        <f>671</f>
        <v>671.0</v>
      </c>
      <c r="R48" s="34" t="s">
        <v>51</v>
      </c>
      <c r="S48" s="35" t="n">
        <f>639.32</f>
        <v>639.32</v>
      </c>
      <c r="T48" s="32" t="n">
        <f>113234</f>
        <v>113234.0</v>
      </c>
      <c r="U48" s="32" t="str">
        <f>"－"</f>
        <v>－</v>
      </c>
      <c r="V48" s="32" t="n">
        <f>73505894</f>
        <v>7.3505894E7</v>
      </c>
      <c r="W48" s="32" t="str">
        <f>"－"</f>
        <v>－</v>
      </c>
      <c r="X48" s="36" t="n">
        <f>22</f>
        <v>22.0</v>
      </c>
    </row>
    <row r="49">
      <c r="A49" s="27" t="s">
        <v>42</v>
      </c>
      <c r="B49" s="27" t="s">
        <v>185</v>
      </c>
      <c r="C49" s="27" t="s">
        <v>186</v>
      </c>
      <c r="D49" s="27" t="s">
        <v>187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10.0</v>
      </c>
      <c r="K49" s="33" t="n">
        <f>632.3</f>
        <v>632.3</v>
      </c>
      <c r="L49" s="34" t="s">
        <v>48</v>
      </c>
      <c r="M49" s="33" t="n">
        <f>681.4</f>
        <v>681.4</v>
      </c>
      <c r="N49" s="34" t="s">
        <v>50</v>
      </c>
      <c r="O49" s="33" t="n">
        <f>572</f>
        <v>572.0</v>
      </c>
      <c r="P49" s="34" t="s">
        <v>188</v>
      </c>
      <c r="Q49" s="33" t="n">
        <f>634</f>
        <v>634.0</v>
      </c>
      <c r="R49" s="34" t="s">
        <v>51</v>
      </c>
      <c r="S49" s="35" t="n">
        <f>616.57</f>
        <v>616.57</v>
      </c>
      <c r="T49" s="32" t="n">
        <f>300240</f>
        <v>300240.0</v>
      </c>
      <c r="U49" s="32" t="str">
        <f>"－"</f>
        <v>－</v>
      </c>
      <c r="V49" s="32" t="n">
        <f>187391364</f>
        <v>1.87391364E8</v>
      </c>
      <c r="W49" s="32" t="str">
        <f>"－"</f>
        <v>－</v>
      </c>
      <c r="X49" s="36" t="n">
        <f>22</f>
        <v>22.0</v>
      </c>
    </row>
    <row r="50">
      <c r="A50" s="27" t="s">
        <v>42</v>
      </c>
      <c r="B50" s="27" t="s">
        <v>189</v>
      </c>
      <c r="C50" s="27" t="s">
        <v>190</v>
      </c>
      <c r="D50" s="27" t="s">
        <v>191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1.0</v>
      </c>
      <c r="K50" s="33" t="n">
        <f>261</f>
        <v>261.0</v>
      </c>
      <c r="L50" s="34" t="s">
        <v>48</v>
      </c>
      <c r="M50" s="33" t="n">
        <f>297</f>
        <v>297.0</v>
      </c>
      <c r="N50" s="34" t="s">
        <v>50</v>
      </c>
      <c r="O50" s="33" t="n">
        <f>229</f>
        <v>229.0</v>
      </c>
      <c r="P50" s="34" t="s">
        <v>112</v>
      </c>
      <c r="Q50" s="33" t="n">
        <f>261</f>
        <v>261.0</v>
      </c>
      <c r="R50" s="34" t="s">
        <v>51</v>
      </c>
      <c r="S50" s="35" t="n">
        <f>255.05</f>
        <v>255.05</v>
      </c>
      <c r="T50" s="32" t="n">
        <f>150605</f>
        <v>150605.0</v>
      </c>
      <c r="U50" s="32" t="str">
        <f>"－"</f>
        <v>－</v>
      </c>
      <c r="V50" s="32" t="n">
        <f>39618430</f>
        <v>3.961843E7</v>
      </c>
      <c r="W50" s="32" t="str">
        <f>"－"</f>
        <v>－</v>
      </c>
      <c r="X50" s="36" t="n">
        <f>22</f>
        <v>22.0</v>
      </c>
    </row>
    <row r="51">
      <c r="A51" s="27" t="s">
        <v>42</v>
      </c>
      <c r="B51" s="27" t="s">
        <v>192</v>
      </c>
      <c r="C51" s="27" t="s">
        <v>193</v>
      </c>
      <c r="D51" s="27" t="s">
        <v>194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10.0</v>
      </c>
      <c r="K51" s="33" t="n">
        <f>2889</f>
        <v>2889.0</v>
      </c>
      <c r="L51" s="34" t="s">
        <v>48</v>
      </c>
      <c r="M51" s="33" t="n">
        <f>2985</f>
        <v>2985.0</v>
      </c>
      <c r="N51" s="34" t="s">
        <v>66</v>
      </c>
      <c r="O51" s="33" t="n">
        <f>2738</f>
        <v>2738.0</v>
      </c>
      <c r="P51" s="34" t="s">
        <v>50</v>
      </c>
      <c r="Q51" s="33" t="n">
        <f>2837</f>
        <v>2837.0</v>
      </c>
      <c r="R51" s="34" t="s">
        <v>51</v>
      </c>
      <c r="S51" s="35" t="n">
        <f>2892.86</f>
        <v>2892.86</v>
      </c>
      <c r="T51" s="32" t="n">
        <f>3928040</f>
        <v>3928040.0</v>
      </c>
      <c r="U51" s="32" t="n">
        <f>3712290</f>
        <v>3712290.0</v>
      </c>
      <c r="V51" s="32" t="n">
        <f>11234967474</f>
        <v>1.1234967474E10</v>
      </c>
      <c r="W51" s="32" t="n">
        <f>10607551324</f>
        <v>1.0607551324E10</v>
      </c>
      <c r="X51" s="36" t="n">
        <f>22</f>
        <v>22.0</v>
      </c>
    </row>
    <row r="52">
      <c r="A52" s="27" t="s">
        <v>42</v>
      </c>
      <c r="B52" s="27" t="s">
        <v>195</v>
      </c>
      <c r="C52" s="27" t="s">
        <v>196</v>
      </c>
      <c r="D52" s="27" t="s">
        <v>197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26440</f>
        <v>26440.0</v>
      </c>
      <c r="L52" s="34" t="s">
        <v>48</v>
      </c>
      <c r="M52" s="33" t="n">
        <f>27310</f>
        <v>27310.0</v>
      </c>
      <c r="N52" s="34" t="s">
        <v>66</v>
      </c>
      <c r="O52" s="33" t="n">
        <f>24965</f>
        <v>24965.0</v>
      </c>
      <c r="P52" s="34" t="s">
        <v>50</v>
      </c>
      <c r="Q52" s="33" t="n">
        <f>25760</f>
        <v>25760.0</v>
      </c>
      <c r="R52" s="34" t="s">
        <v>51</v>
      </c>
      <c r="S52" s="35" t="n">
        <f>26367.73</f>
        <v>26367.73</v>
      </c>
      <c r="T52" s="32" t="n">
        <f>11197</f>
        <v>11197.0</v>
      </c>
      <c r="U52" s="32" t="n">
        <f>4500</f>
        <v>4500.0</v>
      </c>
      <c r="V52" s="32" t="n">
        <f>296172535</f>
        <v>2.96172535E8</v>
      </c>
      <c r="W52" s="32" t="n">
        <f>118623200</f>
        <v>1.186232E8</v>
      </c>
      <c r="X52" s="36" t="n">
        <f>22</f>
        <v>22.0</v>
      </c>
    </row>
    <row r="53">
      <c r="A53" s="27" t="s">
        <v>42</v>
      </c>
      <c r="B53" s="27" t="s">
        <v>198</v>
      </c>
      <c r="C53" s="27" t="s">
        <v>199</v>
      </c>
      <c r="D53" s="27" t="s">
        <v>200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2932</f>
        <v>2932.0</v>
      </c>
      <c r="L53" s="34" t="s">
        <v>48</v>
      </c>
      <c r="M53" s="33" t="n">
        <f>3055</f>
        <v>3055.0</v>
      </c>
      <c r="N53" s="34" t="s">
        <v>66</v>
      </c>
      <c r="O53" s="33" t="n">
        <f>2792</f>
        <v>2792.0</v>
      </c>
      <c r="P53" s="34" t="s">
        <v>50</v>
      </c>
      <c r="Q53" s="33" t="n">
        <f>2896</f>
        <v>2896.0</v>
      </c>
      <c r="R53" s="34" t="s">
        <v>51</v>
      </c>
      <c r="S53" s="35" t="n">
        <f>2947.73</f>
        <v>2947.73</v>
      </c>
      <c r="T53" s="32" t="n">
        <f>25736557</f>
        <v>2.5736557E7</v>
      </c>
      <c r="U53" s="32" t="n">
        <f>10723330</f>
        <v>1.072333E7</v>
      </c>
      <c r="V53" s="32" t="n">
        <f>75778397845</f>
        <v>7.5778397845E10</v>
      </c>
      <c r="W53" s="32" t="n">
        <f>31446310647</f>
        <v>3.1446310647E10</v>
      </c>
      <c r="X53" s="36" t="n">
        <f>22</f>
        <v>22.0</v>
      </c>
    </row>
    <row r="54">
      <c r="A54" s="27" t="s">
        <v>42</v>
      </c>
      <c r="B54" s="27" t="s">
        <v>201</v>
      </c>
      <c r="C54" s="27" t="s">
        <v>202</v>
      </c>
      <c r="D54" s="27" t="s">
        <v>203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1790</f>
        <v>1790.0</v>
      </c>
      <c r="L54" s="34" t="s">
        <v>48</v>
      </c>
      <c r="M54" s="33" t="n">
        <f>1818</f>
        <v>1818.0</v>
      </c>
      <c r="N54" s="34" t="s">
        <v>108</v>
      </c>
      <c r="O54" s="33" t="n">
        <f>1761</f>
        <v>1761.0</v>
      </c>
      <c r="P54" s="34" t="s">
        <v>112</v>
      </c>
      <c r="Q54" s="33" t="n">
        <f>1792</f>
        <v>1792.0</v>
      </c>
      <c r="R54" s="34" t="s">
        <v>51</v>
      </c>
      <c r="S54" s="35" t="n">
        <f>1785.05</f>
        <v>1785.05</v>
      </c>
      <c r="T54" s="32" t="n">
        <f>4035741</f>
        <v>4035741.0</v>
      </c>
      <c r="U54" s="32" t="n">
        <f>1619726</f>
        <v>1619726.0</v>
      </c>
      <c r="V54" s="32" t="n">
        <f>7179922113</f>
        <v>7.179922113E9</v>
      </c>
      <c r="W54" s="32" t="n">
        <f>2875719900</f>
        <v>2.8757199E9</v>
      </c>
      <c r="X54" s="36" t="n">
        <f>22</f>
        <v>22.0</v>
      </c>
    </row>
    <row r="55">
      <c r="A55" s="27" t="s">
        <v>42</v>
      </c>
      <c r="B55" s="27" t="s">
        <v>204</v>
      </c>
      <c r="C55" s="27" t="s">
        <v>205</v>
      </c>
      <c r="D55" s="27" t="s">
        <v>206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2619</f>
        <v>2619.0</v>
      </c>
      <c r="L55" s="34" t="s">
        <v>48</v>
      </c>
      <c r="M55" s="33" t="n">
        <f>2708</f>
        <v>2708.0</v>
      </c>
      <c r="N55" s="34" t="s">
        <v>207</v>
      </c>
      <c r="O55" s="33" t="n">
        <f>2561</f>
        <v>2561.0</v>
      </c>
      <c r="P55" s="34" t="s">
        <v>50</v>
      </c>
      <c r="Q55" s="33" t="n">
        <f>2637</f>
        <v>2637.0</v>
      </c>
      <c r="R55" s="34" t="s">
        <v>51</v>
      </c>
      <c r="S55" s="35" t="n">
        <f>2643.95</f>
        <v>2643.95</v>
      </c>
      <c r="T55" s="32" t="n">
        <f>188428</f>
        <v>188428.0</v>
      </c>
      <c r="U55" s="32" t="n">
        <f>163047</f>
        <v>163047.0</v>
      </c>
      <c r="V55" s="32" t="n">
        <f>488179533</f>
        <v>4.88179533E8</v>
      </c>
      <c r="W55" s="32" t="n">
        <f>420620209</f>
        <v>4.20620209E8</v>
      </c>
      <c r="X55" s="36" t="n">
        <f>22</f>
        <v>22.0</v>
      </c>
    </row>
    <row r="56">
      <c r="A56" s="27" t="s">
        <v>42</v>
      </c>
      <c r="B56" s="27" t="s">
        <v>208</v>
      </c>
      <c r="C56" s="27" t="s">
        <v>209</v>
      </c>
      <c r="D56" s="27" t="s">
        <v>210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3780</f>
        <v>3780.0</v>
      </c>
      <c r="L56" s="34" t="s">
        <v>48</v>
      </c>
      <c r="M56" s="33" t="n">
        <f>3925</f>
        <v>3925.0</v>
      </c>
      <c r="N56" s="34" t="s">
        <v>66</v>
      </c>
      <c r="O56" s="33" t="n">
        <f>3665</f>
        <v>3665.0</v>
      </c>
      <c r="P56" s="34" t="s">
        <v>50</v>
      </c>
      <c r="Q56" s="33" t="n">
        <f>3775</f>
        <v>3775.0</v>
      </c>
      <c r="R56" s="34" t="s">
        <v>51</v>
      </c>
      <c r="S56" s="35" t="n">
        <f>3828.86</f>
        <v>3828.86</v>
      </c>
      <c r="T56" s="32" t="n">
        <f>1474766</f>
        <v>1474766.0</v>
      </c>
      <c r="U56" s="32" t="n">
        <f>596638</f>
        <v>596638.0</v>
      </c>
      <c r="V56" s="32" t="n">
        <f>5608000670</f>
        <v>5.60800067E9</v>
      </c>
      <c r="W56" s="32" t="n">
        <f>2261661965</f>
        <v>2.261661965E9</v>
      </c>
      <c r="X56" s="36" t="n">
        <f>22</f>
        <v>22.0</v>
      </c>
    </row>
    <row r="57">
      <c r="A57" s="27" t="s">
        <v>42</v>
      </c>
      <c r="B57" s="27" t="s">
        <v>211</v>
      </c>
      <c r="C57" s="27" t="s">
        <v>212</v>
      </c>
      <c r="D57" s="27" t="s">
        <v>213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36820</f>
        <v>36820.0</v>
      </c>
      <c r="L57" s="34" t="s">
        <v>48</v>
      </c>
      <c r="M57" s="33" t="n">
        <f>38760</f>
        <v>38760.0</v>
      </c>
      <c r="N57" s="34" t="s">
        <v>104</v>
      </c>
      <c r="O57" s="33" t="n">
        <f>35200</f>
        <v>35200.0</v>
      </c>
      <c r="P57" s="34" t="s">
        <v>91</v>
      </c>
      <c r="Q57" s="33" t="n">
        <f>36160</f>
        <v>36160.0</v>
      </c>
      <c r="R57" s="34" t="s">
        <v>51</v>
      </c>
      <c r="S57" s="35" t="n">
        <f>37293.08</f>
        <v>37293.08</v>
      </c>
      <c r="T57" s="32" t="n">
        <f>274</f>
        <v>274.0</v>
      </c>
      <c r="U57" s="32" t="str">
        <f>"－"</f>
        <v>－</v>
      </c>
      <c r="V57" s="32" t="n">
        <f>10068420</f>
        <v>1.006842E7</v>
      </c>
      <c r="W57" s="32" t="str">
        <f>"－"</f>
        <v>－</v>
      </c>
      <c r="X57" s="36" t="n">
        <f>13</f>
        <v>13.0</v>
      </c>
    </row>
    <row r="58">
      <c r="A58" s="27" t="s">
        <v>42</v>
      </c>
      <c r="B58" s="27" t="s">
        <v>214</v>
      </c>
      <c r="C58" s="27" t="s">
        <v>215</v>
      </c>
      <c r="D58" s="27" t="s">
        <v>216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28360</f>
        <v>28360.0</v>
      </c>
      <c r="L58" s="34" t="s">
        <v>48</v>
      </c>
      <c r="M58" s="33" t="n">
        <f>29200</f>
        <v>29200.0</v>
      </c>
      <c r="N58" s="34" t="s">
        <v>112</v>
      </c>
      <c r="O58" s="33" t="n">
        <f>27150</f>
        <v>27150.0</v>
      </c>
      <c r="P58" s="34" t="s">
        <v>91</v>
      </c>
      <c r="Q58" s="33" t="n">
        <f>27490</f>
        <v>27490.0</v>
      </c>
      <c r="R58" s="34" t="s">
        <v>51</v>
      </c>
      <c r="S58" s="35" t="n">
        <f>28443.5</f>
        <v>28443.5</v>
      </c>
      <c r="T58" s="32" t="n">
        <f>805</f>
        <v>805.0</v>
      </c>
      <c r="U58" s="32" t="str">
        <f>"－"</f>
        <v>－</v>
      </c>
      <c r="V58" s="32" t="n">
        <f>23152775</f>
        <v>2.3152775E7</v>
      </c>
      <c r="W58" s="32" t="str">
        <f>"－"</f>
        <v>－</v>
      </c>
      <c r="X58" s="36" t="n">
        <f>10</f>
        <v>10.0</v>
      </c>
    </row>
    <row r="59">
      <c r="A59" s="27" t="s">
        <v>42</v>
      </c>
      <c r="B59" s="27" t="s">
        <v>217</v>
      </c>
      <c r="C59" s="27" t="s">
        <v>218</v>
      </c>
      <c r="D59" s="27" t="s">
        <v>219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1.0</v>
      </c>
      <c r="K59" s="33" t="n">
        <f>2951</f>
        <v>2951.0</v>
      </c>
      <c r="L59" s="34" t="s">
        <v>48</v>
      </c>
      <c r="M59" s="33" t="n">
        <f>3435</f>
        <v>3435.0</v>
      </c>
      <c r="N59" s="34" t="s">
        <v>220</v>
      </c>
      <c r="O59" s="33" t="n">
        <f>2857</f>
        <v>2857.0</v>
      </c>
      <c r="P59" s="34" t="s">
        <v>50</v>
      </c>
      <c r="Q59" s="33" t="n">
        <f>2985</f>
        <v>2985.0</v>
      </c>
      <c r="R59" s="34" t="s">
        <v>51</v>
      </c>
      <c r="S59" s="35" t="n">
        <f>3060.91</f>
        <v>3060.91</v>
      </c>
      <c r="T59" s="32" t="n">
        <f>11300</f>
        <v>11300.0</v>
      </c>
      <c r="U59" s="32" t="n">
        <f>5</f>
        <v>5.0</v>
      </c>
      <c r="V59" s="32" t="n">
        <f>35255509</f>
        <v>3.5255509E7</v>
      </c>
      <c r="W59" s="32" t="n">
        <f>15227</f>
        <v>15227.0</v>
      </c>
      <c r="X59" s="36" t="n">
        <f>22</f>
        <v>22.0</v>
      </c>
    </row>
    <row r="60">
      <c r="A60" s="27" t="s">
        <v>42</v>
      </c>
      <c r="B60" s="27" t="s">
        <v>221</v>
      </c>
      <c r="C60" s="27" t="s">
        <v>222</v>
      </c>
      <c r="D60" s="27" t="s">
        <v>223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n">
        <f>1714</f>
        <v>1714.0</v>
      </c>
      <c r="L60" s="34" t="s">
        <v>48</v>
      </c>
      <c r="M60" s="33" t="n">
        <f>1728</f>
        <v>1728.0</v>
      </c>
      <c r="N60" s="34" t="s">
        <v>207</v>
      </c>
      <c r="O60" s="33" t="n">
        <f>1699</f>
        <v>1699.0</v>
      </c>
      <c r="P60" s="34" t="s">
        <v>70</v>
      </c>
      <c r="Q60" s="33" t="n">
        <f>1726</f>
        <v>1726.0</v>
      </c>
      <c r="R60" s="34" t="s">
        <v>51</v>
      </c>
      <c r="S60" s="35" t="n">
        <f>1714.82</f>
        <v>1714.82</v>
      </c>
      <c r="T60" s="32" t="n">
        <f>9480195</f>
        <v>9480195.0</v>
      </c>
      <c r="U60" s="32" t="n">
        <f>7246615</f>
        <v>7246615.0</v>
      </c>
      <c r="V60" s="32" t="n">
        <f>16255696162</f>
        <v>1.6255696162E10</v>
      </c>
      <c r="W60" s="32" t="n">
        <f>12425314759</f>
        <v>1.2425314759E10</v>
      </c>
      <c r="X60" s="36" t="n">
        <f>22</f>
        <v>22.0</v>
      </c>
    </row>
    <row r="61">
      <c r="A61" s="27" t="s">
        <v>42</v>
      </c>
      <c r="B61" s="27" t="s">
        <v>224</v>
      </c>
      <c r="C61" s="27" t="s">
        <v>225</v>
      </c>
      <c r="D61" s="27" t="s">
        <v>226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2899</f>
        <v>2899.0</v>
      </c>
      <c r="L61" s="34" t="s">
        <v>48</v>
      </c>
      <c r="M61" s="33" t="n">
        <f>3090</f>
        <v>3090.0</v>
      </c>
      <c r="N61" s="34" t="s">
        <v>66</v>
      </c>
      <c r="O61" s="33" t="n">
        <f>2801</f>
        <v>2801.0</v>
      </c>
      <c r="P61" s="34" t="s">
        <v>91</v>
      </c>
      <c r="Q61" s="33" t="n">
        <f>2925</f>
        <v>2925.0</v>
      </c>
      <c r="R61" s="34" t="s">
        <v>51</v>
      </c>
      <c r="S61" s="35" t="n">
        <f>2970.77</f>
        <v>2970.77</v>
      </c>
      <c r="T61" s="32" t="n">
        <f>2389</f>
        <v>2389.0</v>
      </c>
      <c r="U61" s="32" t="str">
        <f>"－"</f>
        <v>－</v>
      </c>
      <c r="V61" s="32" t="n">
        <f>7155361</f>
        <v>7155361.0</v>
      </c>
      <c r="W61" s="32" t="str">
        <f>"－"</f>
        <v>－</v>
      </c>
      <c r="X61" s="36" t="n">
        <f>22</f>
        <v>22.0</v>
      </c>
    </row>
    <row r="62">
      <c r="A62" s="27" t="s">
        <v>42</v>
      </c>
      <c r="B62" s="27" t="s">
        <v>227</v>
      </c>
      <c r="C62" s="27" t="s">
        <v>228</v>
      </c>
      <c r="D62" s="27" t="s">
        <v>229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10.0</v>
      </c>
      <c r="K62" s="33" t="n">
        <f>2942</f>
        <v>2942.0</v>
      </c>
      <c r="L62" s="34" t="s">
        <v>48</v>
      </c>
      <c r="M62" s="33" t="n">
        <f>3022</f>
        <v>3022.0</v>
      </c>
      <c r="N62" s="34" t="s">
        <v>66</v>
      </c>
      <c r="O62" s="33" t="n">
        <f>2819.5</f>
        <v>2819.5</v>
      </c>
      <c r="P62" s="34" t="s">
        <v>91</v>
      </c>
      <c r="Q62" s="33" t="n">
        <f>2889</f>
        <v>2889.0</v>
      </c>
      <c r="R62" s="34" t="s">
        <v>51</v>
      </c>
      <c r="S62" s="35" t="n">
        <f>2940.73</f>
        <v>2940.73</v>
      </c>
      <c r="T62" s="32" t="n">
        <f>8580</f>
        <v>8580.0</v>
      </c>
      <c r="U62" s="32" t="str">
        <f>"－"</f>
        <v>－</v>
      </c>
      <c r="V62" s="32" t="n">
        <f>25257850</f>
        <v>2.525785E7</v>
      </c>
      <c r="W62" s="32" t="str">
        <f>"－"</f>
        <v>－</v>
      </c>
      <c r="X62" s="36" t="n">
        <f>22</f>
        <v>22.0</v>
      </c>
    </row>
    <row r="63">
      <c r="A63" s="27" t="s">
        <v>42</v>
      </c>
      <c r="B63" s="27" t="s">
        <v>230</v>
      </c>
      <c r="C63" s="27" t="s">
        <v>231</v>
      </c>
      <c r="D63" s="27" t="s">
        <v>232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42460</f>
        <v>42460.0</v>
      </c>
      <c r="L63" s="34" t="s">
        <v>207</v>
      </c>
      <c r="M63" s="33" t="n">
        <f>42680</f>
        <v>42680.0</v>
      </c>
      <c r="N63" s="34" t="s">
        <v>220</v>
      </c>
      <c r="O63" s="33" t="n">
        <f>41460</f>
        <v>41460.0</v>
      </c>
      <c r="P63" s="34" t="s">
        <v>62</v>
      </c>
      <c r="Q63" s="33" t="n">
        <f>41460</f>
        <v>41460.0</v>
      </c>
      <c r="R63" s="34" t="s">
        <v>62</v>
      </c>
      <c r="S63" s="35" t="n">
        <f>42145</f>
        <v>42145.0</v>
      </c>
      <c r="T63" s="32" t="n">
        <f>41</f>
        <v>41.0</v>
      </c>
      <c r="U63" s="32" t="str">
        <f>"－"</f>
        <v>－</v>
      </c>
      <c r="V63" s="32" t="n">
        <f>1723410</f>
        <v>1723410.0</v>
      </c>
      <c r="W63" s="32" t="str">
        <f>"－"</f>
        <v>－</v>
      </c>
      <c r="X63" s="36" t="n">
        <f>4</f>
        <v>4.0</v>
      </c>
    </row>
    <row r="64">
      <c r="A64" s="27" t="s">
        <v>42</v>
      </c>
      <c r="B64" s="27" t="s">
        <v>233</v>
      </c>
      <c r="C64" s="27" t="s">
        <v>234</v>
      </c>
      <c r="D64" s="27" t="s">
        <v>235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25100</f>
        <v>25100.0</v>
      </c>
      <c r="L64" s="34" t="s">
        <v>48</v>
      </c>
      <c r="M64" s="33" t="n">
        <f>25585</f>
        <v>25585.0</v>
      </c>
      <c r="N64" s="34" t="s">
        <v>236</v>
      </c>
      <c r="O64" s="33" t="n">
        <f>23000</f>
        <v>23000.0</v>
      </c>
      <c r="P64" s="34" t="s">
        <v>51</v>
      </c>
      <c r="Q64" s="33" t="n">
        <f>23875</f>
        <v>23875.0</v>
      </c>
      <c r="R64" s="34" t="s">
        <v>51</v>
      </c>
      <c r="S64" s="35" t="n">
        <f>24523.41</f>
        <v>24523.41</v>
      </c>
      <c r="T64" s="32" t="n">
        <f>75977</f>
        <v>75977.0</v>
      </c>
      <c r="U64" s="32" t="n">
        <f>39500</f>
        <v>39500.0</v>
      </c>
      <c r="V64" s="32" t="n">
        <f>1865334023</f>
        <v>1.865334023E9</v>
      </c>
      <c r="W64" s="32" t="n">
        <f>967913348</f>
        <v>9.67913348E8</v>
      </c>
      <c r="X64" s="36" t="n">
        <f>22</f>
        <v>22.0</v>
      </c>
    </row>
    <row r="65">
      <c r="A65" s="27" t="s">
        <v>42</v>
      </c>
      <c r="B65" s="27" t="s">
        <v>237</v>
      </c>
      <c r="C65" s="27" t="s">
        <v>238</v>
      </c>
      <c r="D65" s="27" t="s">
        <v>239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13240</f>
        <v>13240.0</v>
      </c>
      <c r="L65" s="34" t="s">
        <v>48</v>
      </c>
      <c r="M65" s="33" t="n">
        <f>13305</f>
        <v>13305.0</v>
      </c>
      <c r="N65" s="34" t="s">
        <v>236</v>
      </c>
      <c r="O65" s="33" t="n">
        <f>13025</f>
        <v>13025.0</v>
      </c>
      <c r="P65" s="34" t="s">
        <v>91</v>
      </c>
      <c r="Q65" s="33" t="n">
        <f>13265</f>
        <v>13265.0</v>
      </c>
      <c r="R65" s="34" t="s">
        <v>51</v>
      </c>
      <c r="S65" s="35" t="n">
        <f>13187.95</f>
        <v>13187.95</v>
      </c>
      <c r="T65" s="32" t="n">
        <f>87935</f>
        <v>87935.0</v>
      </c>
      <c r="U65" s="32" t="n">
        <f>41993</f>
        <v>41993.0</v>
      </c>
      <c r="V65" s="32" t="n">
        <f>1161552368</f>
        <v>1.161552368E9</v>
      </c>
      <c r="W65" s="32" t="n">
        <f>555002043</f>
        <v>5.55002043E8</v>
      </c>
      <c r="X65" s="36" t="n">
        <f>22</f>
        <v>22.0</v>
      </c>
    </row>
    <row r="66">
      <c r="A66" s="27" t="s">
        <v>42</v>
      </c>
      <c r="B66" s="27" t="s">
        <v>240</v>
      </c>
      <c r="C66" s="27" t="s">
        <v>241</v>
      </c>
      <c r="D66" s="27" t="s">
        <v>242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1789</f>
        <v>1789.0</v>
      </c>
      <c r="L66" s="34" t="s">
        <v>48</v>
      </c>
      <c r="M66" s="33" t="n">
        <f>1813</f>
        <v>1813.0</v>
      </c>
      <c r="N66" s="34" t="s">
        <v>108</v>
      </c>
      <c r="O66" s="33" t="n">
        <f>1757</f>
        <v>1757.0</v>
      </c>
      <c r="P66" s="34" t="s">
        <v>104</v>
      </c>
      <c r="Q66" s="33" t="n">
        <f>1800</f>
        <v>1800.0</v>
      </c>
      <c r="R66" s="34" t="s">
        <v>51</v>
      </c>
      <c r="S66" s="35" t="n">
        <f>1779.18</f>
        <v>1779.18</v>
      </c>
      <c r="T66" s="32" t="n">
        <f>1956464</f>
        <v>1956464.0</v>
      </c>
      <c r="U66" s="32" t="n">
        <f>798180</f>
        <v>798180.0</v>
      </c>
      <c r="V66" s="32" t="n">
        <f>3485575136</f>
        <v>3.485575136E9</v>
      </c>
      <c r="W66" s="32" t="n">
        <f>1424632748</f>
        <v>1.424632748E9</v>
      </c>
      <c r="X66" s="36" t="n">
        <f>22</f>
        <v>22.0</v>
      </c>
    </row>
    <row r="67">
      <c r="A67" s="27" t="s">
        <v>42</v>
      </c>
      <c r="B67" s="27" t="s">
        <v>243</v>
      </c>
      <c r="C67" s="27" t="s">
        <v>244</v>
      </c>
      <c r="D67" s="27" t="s">
        <v>245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2422</f>
        <v>2422.0</v>
      </c>
      <c r="L67" s="34" t="s">
        <v>48</v>
      </c>
      <c r="M67" s="33" t="n">
        <f>2495</f>
        <v>2495.0</v>
      </c>
      <c r="N67" s="34" t="s">
        <v>58</v>
      </c>
      <c r="O67" s="33" t="n">
        <f>2306</f>
        <v>2306.0</v>
      </c>
      <c r="P67" s="34" t="s">
        <v>50</v>
      </c>
      <c r="Q67" s="33" t="n">
        <f>2395</f>
        <v>2395.0</v>
      </c>
      <c r="R67" s="34" t="s">
        <v>51</v>
      </c>
      <c r="S67" s="35" t="n">
        <f>2423.55</f>
        <v>2423.55</v>
      </c>
      <c r="T67" s="32" t="n">
        <f>15835523</f>
        <v>1.5835523E7</v>
      </c>
      <c r="U67" s="32" t="n">
        <f>2167610</f>
        <v>2167610.0</v>
      </c>
      <c r="V67" s="32" t="n">
        <f>38235288675</f>
        <v>3.8235288675E10</v>
      </c>
      <c r="W67" s="32" t="n">
        <f>5226734687</f>
        <v>5.226734687E9</v>
      </c>
      <c r="X67" s="36" t="n">
        <f>22</f>
        <v>22.0</v>
      </c>
    </row>
    <row r="68">
      <c r="A68" s="27" t="s">
        <v>42</v>
      </c>
      <c r="B68" s="27" t="s">
        <v>246</v>
      </c>
      <c r="C68" s="27" t="s">
        <v>247</v>
      </c>
      <c r="D68" s="27" t="s">
        <v>248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10.0</v>
      </c>
      <c r="K68" s="33" t="n">
        <f>7450</f>
        <v>7450.0</v>
      </c>
      <c r="L68" s="34" t="s">
        <v>207</v>
      </c>
      <c r="M68" s="33" t="n">
        <f>7556</f>
        <v>7556.0</v>
      </c>
      <c r="N68" s="34" t="s">
        <v>50</v>
      </c>
      <c r="O68" s="33" t="n">
        <f>7417</f>
        <v>7417.0</v>
      </c>
      <c r="P68" s="34" t="s">
        <v>207</v>
      </c>
      <c r="Q68" s="33" t="n">
        <f>7556</f>
        <v>7556.0</v>
      </c>
      <c r="R68" s="34" t="s">
        <v>50</v>
      </c>
      <c r="S68" s="35" t="n">
        <f>7473.75</f>
        <v>7473.75</v>
      </c>
      <c r="T68" s="32" t="n">
        <f>6770</f>
        <v>6770.0</v>
      </c>
      <c r="U68" s="32" t="n">
        <f>5680</f>
        <v>5680.0</v>
      </c>
      <c r="V68" s="32" t="n">
        <f>50170102</f>
        <v>5.0170102E7</v>
      </c>
      <c r="W68" s="32" t="n">
        <f>42069902</f>
        <v>4.2069902E7</v>
      </c>
      <c r="X68" s="36" t="n">
        <f>4</f>
        <v>4.0</v>
      </c>
    </row>
    <row r="69">
      <c r="A69" s="27" t="s">
        <v>42</v>
      </c>
      <c r="B69" s="27" t="s">
        <v>249</v>
      </c>
      <c r="C69" s="27" t="s">
        <v>250</v>
      </c>
      <c r="D69" s="27" t="s">
        <v>251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20505</f>
        <v>20505.0</v>
      </c>
      <c r="L69" s="34" t="s">
        <v>48</v>
      </c>
      <c r="M69" s="33" t="n">
        <f>20540</f>
        <v>20540.0</v>
      </c>
      <c r="N69" s="34" t="s">
        <v>58</v>
      </c>
      <c r="O69" s="33" t="n">
        <f>19110</f>
        <v>19110.0</v>
      </c>
      <c r="P69" s="34" t="s">
        <v>50</v>
      </c>
      <c r="Q69" s="33" t="n">
        <f>19590</f>
        <v>19590.0</v>
      </c>
      <c r="R69" s="34" t="s">
        <v>51</v>
      </c>
      <c r="S69" s="35" t="n">
        <f>19960.23</f>
        <v>19960.23</v>
      </c>
      <c r="T69" s="32" t="n">
        <f>8977</f>
        <v>8977.0</v>
      </c>
      <c r="U69" s="32" t="str">
        <f>"－"</f>
        <v>－</v>
      </c>
      <c r="V69" s="32" t="n">
        <f>179098625</f>
        <v>1.79098625E8</v>
      </c>
      <c r="W69" s="32" t="str">
        <f>"－"</f>
        <v>－</v>
      </c>
      <c r="X69" s="36" t="n">
        <f>22</f>
        <v>22.0</v>
      </c>
    </row>
    <row r="70">
      <c r="A70" s="27" t="s">
        <v>42</v>
      </c>
      <c r="B70" s="27" t="s">
        <v>252</v>
      </c>
      <c r="C70" s="27" t="s">
        <v>253</v>
      </c>
      <c r="D70" s="27" t="s">
        <v>254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31700</f>
        <v>31700.0</v>
      </c>
      <c r="L70" s="34" t="s">
        <v>48</v>
      </c>
      <c r="M70" s="33" t="n">
        <f>32580</f>
        <v>32580.0</v>
      </c>
      <c r="N70" s="34" t="s">
        <v>91</v>
      </c>
      <c r="O70" s="33" t="n">
        <f>30580</f>
        <v>30580.0</v>
      </c>
      <c r="P70" s="34" t="s">
        <v>50</v>
      </c>
      <c r="Q70" s="33" t="n">
        <f>31880</f>
        <v>31880.0</v>
      </c>
      <c r="R70" s="34" t="s">
        <v>51</v>
      </c>
      <c r="S70" s="35" t="n">
        <f>31822.73</f>
        <v>31822.73</v>
      </c>
      <c r="T70" s="32" t="n">
        <f>46021</f>
        <v>46021.0</v>
      </c>
      <c r="U70" s="32" t="n">
        <f>27011</f>
        <v>27011.0</v>
      </c>
      <c r="V70" s="32" t="n">
        <f>1441032374</f>
        <v>1.441032374E9</v>
      </c>
      <c r="W70" s="32" t="n">
        <f>841231614</f>
        <v>8.41231614E8</v>
      </c>
      <c r="X70" s="36" t="n">
        <f>22</f>
        <v>22.0</v>
      </c>
    </row>
    <row r="71">
      <c r="A71" s="27" t="s">
        <v>42</v>
      </c>
      <c r="B71" s="27" t="s">
        <v>255</v>
      </c>
      <c r="C71" s="27" t="s">
        <v>256</v>
      </c>
      <c r="D71" s="27" t="s">
        <v>257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10.0</v>
      </c>
      <c r="K71" s="33" t="n">
        <f>10105</f>
        <v>10105.0</v>
      </c>
      <c r="L71" s="34" t="s">
        <v>48</v>
      </c>
      <c r="M71" s="33" t="n">
        <f>10725</f>
        <v>10725.0</v>
      </c>
      <c r="N71" s="34" t="s">
        <v>90</v>
      </c>
      <c r="O71" s="33" t="n">
        <f>10100</f>
        <v>10100.0</v>
      </c>
      <c r="P71" s="34" t="s">
        <v>91</v>
      </c>
      <c r="Q71" s="33" t="n">
        <f>10160</f>
        <v>10160.0</v>
      </c>
      <c r="R71" s="34" t="s">
        <v>51</v>
      </c>
      <c r="S71" s="35" t="n">
        <f>10334.77</f>
        <v>10334.77</v>
      </c>
      <c r="T71" s="32" t="n">
        <f>11780</f>
        <v>11780.0</v>
      </c>
      <c r="U71" s="32" t="n">
        <f>40</f>
        <v>40.0</v>
      </c>
      <c r="V71" s="32" t="n">
        <f>122589100</f>
        <v>1.225891E8</v>
      </c>
      <c r="W71" s="32" t="n">
        <f>411200</f>
        <v>411200.0</v>
      </c>
      <c r="X71" s="36" t="n">
        <f>22</f>
        <v>22.0</v>
      </c>
    </row>
    <row r="72">
      <c r="A72" s="27" t="s">
        <v>42</v>
      </c>
      <c r="B72" s="27" t="s">
        <v>258</v>
      </c>
      <c r="C72" s="27" t="s">
        <v>259</v>
      </c>
      <c r="D72" s="27" t="s">
        <v>260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1830</f>
        <v>1830.0</v>
      </c>
      <c r="L72" s="34" t="s">
        <v>48</v>
      </c>
      <c r="M72" s="33" t="n">
        <f>1849</f>
        <v>1849.0</v>
      </c>
      <c r="N72" s="34" t="s">
        <v>236</v>
      </c>
      <c r="O72" s="33" t="n">
        <f>1810</f>
        <v>1810.0</v>
      </c>
      <c r="P72" s="34" t="s">
        <v>91</v>
      </c>
      <c r="Q72" s="33" t="n">
        <f>1829</f>
        <v>1829.0</v>
      </c>
      <c r="R72" s="34" t="s">
        <v>51</v>
      </c>
      <c r="S72" s="35" t="n">
        <f>1826.68</f>
        <v>1826.68</v>
      </c>
      <c r="T72" s="32" t="n">
        <f>1501393</f>
        <v>1501393.0</v>
      </c>
      <c r="U72" s="32" t="n">
        <f>988180</f>
        <v>988180.0</v>
      </c>
      <c r="V72" s="32" t="n">
        <f>2728341044</f>
        <v>2.728341044E9</v>
      </c>
      <c r="W72" s="32" t="n">
        <f>1790389630</f>
        <v>1.79038963E9</v>
      </c>
      <c r="X72" s="36" t="n">
        <f>22</f>
        <v>22.0</v>
      </c>
    </row>
    <row r="73">
      <c r="A73" s="27" t="s">
        <v>42</v>
      </c>
      <c r="B73" s="27" t="s">
        <v>261</v>
      </c>
      <c r="C73" s="27" t="s">
        <v>262</v>
      </c>
      <c r="D73" s="27" t="s">
        <v>263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1858</f>
        <v>1858.0</v>
      </c>
      <c r="L73" s="34" t="s">
        <v>48</v>
      </c>
      <c r="M73" s="33" t="n">
        <f>1880</f>
        <v>1880.0</v>
      </c>
      <c r="N73" s="34" t="s">
        <v>112</v>
      </c>
      <c r="O73" s="33" t="n">
        <f>1842</f>
        <v>1842.0</v>
      </c>
      <c r="P73" s="34" t="s">
        <v>188</v>
      </c>
      <c r="Q73" s="33" t="n">
        <f>1861</f>
        <v>1861.0</v>
      </c>
      <c r="R73" s="34" t="s">
        <v>51</v>
      </c>
      <c r="S73" s="35" t="n">
        <f>1858.59</f>
        <v>1858.59</v>
      </c>
      <c r="T73" s="32" t="n">
        <f>489918</f>
        <v>489918.0</v>
      </c>
      <c r="U73" s="32" t="n">
        <f>46</f>
        <v>46.0</v>
      </c>
      <c r="V73" s="32" t="n">
        <f>909511994</f>
        <v>9.09511994E8</v>
      </c>
      <c r="W73" s="32" t="n">
        <f>85972</f>
        <v>85972.0</v>
      </c>
      <c r="X73" s="36" t="n">
        <f>22</f>
        <v>22.0</v>
      </c>
    </row>
    <row r="74">
      <c r="A74" s="27" t="s">
        <v>42</v>
      </c>
      <c r="B74" s="27" t="s">
        <v>264</v>
      </c>
      <c r="C74" s="27" t="s">
        <v>265</v>
      </c>
      <c r="D74" s="27" t="s">
        <v>266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22850</f>
        <v>22850.0</v>
      </c>
      <c r="L74" s="34" t="s">
        <v>48</v>
      </c>
      <c r="M74" s="33" t="n">
        <f>23420</f>
        <v>23420.0</v>
      </c>
      <c r="N74" s="34" t="s">
        <v>66</v>
      </c>
      <c r="O74" s="33" t="n">
        <f>21345</f>
        <v>21345.0</v>
      </c>
      <c r="P74" s="34" t="s">
        <v>50</v>
      </c>
      <c r="Q74" s="33" t="n">
        <f>21910</f>
        <v>21910.0</v>
      </c>
      <c r="R74" s="34" t="s">
        <v>51</v>
      </c>
      <c r="S74" s="35" t="n">
        <f>22614.32</f>
        <v>22614.32</v>
      </c>
      <c r="T74" s="32" t="n">
        <f>10829</f>
        <v>10829.0</v>
      </c>
      <c r="U74" s="32" t="n">
        <f>5000</f>
        <v>5000.0</v>
      </c>
      <c r="V74" s="32" t="n">
        <f>246609315</f>
        <v>2.46609315E8</v>
      </c>
      <c r="W74" s="32" t="n">
        <f>114261800</f>
        <v>1.142618E8</v>
      </c>
      <c r="X74" s="36" t="n">
        <f>22</f>
        <v>22.0</v>
      </c>
    </row>
    <row r="75">
      <c r="A75" s="27" t="s">
        <v>42</v>
      </c>
      <c r="B75" s="27" t="s">
        <v>267</v>
      </c>
      <c r="C75" s="27" t="s">
        <v>268</v>
      </c>
      <c r="D75" s="27" t="s">
        <v>269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9462</f>
        <v>9462.0</v>
      </c>
      <c r="L75" s="34" t="s">
        <v>48</v>
      </c>
      <c r="M75" s="33" t="n">
        <f>9500</f>
        <v>9500.0</v>
      </c>
      <c r="N75" s="34" t="s">
        <v>50</v>
      </c>
      <c r="O75" s="33" t="n">
        <f>9300</f>
        <v>9300.0</v>
      </c>
      <c r="P75" s="34" t="s">
        <v>220</v>
      </c>
      <c r="Q75" s="33" t="n">
        <f>9463</f>
        <v>9463.0</v>
      </c>
      <c r="R75" s="34" t="s">
        <v>51</v>
      </c>
      <c r="S75" s="35" t="n">
        <f>9444.36</f>
        <v>9444.36</v>
      </c>
      <c r="T75" s="32" t="n">
        <f>1925</f>
        <v>1925.0</v>
      </c>
      <c r="U75" s="32" t="str">
        <f>"－"</f>
        <v>－</v>
      </c>
      <c r="V75" s="32" t="n">
        <f>18150680</f>
        <v>1.815068E7</v>
      </c>
      <c r="W75" s="32" t="str">
        <f>"－"</f>
        <v>－</v>
      </c>
      <c r="X75" s="36" t="n">
        <f>22</f>
        <v>22.0</v>
      </c>
    </row>
    <row r="76">
      <c r="A76" s="27" t="s">
        <v>42</v>
      </c>
      <c r="B76" s="27" t="s">
        <v>270</v>
      </c>
      <c r="C76" s="27" t="s">
        <v>271</v>
      </c>
      <c r="D76" s="27" t="s">
        <v>272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11380</f>
        <v>11380.0</v>
      </c>
      <c r="L76" s="34" t="s">
        <v>48</v>
      </c>
      <c r="M76" s="33" t="n">
        <f>11915</f>
        <v>11915.0</v>
      </c>
      <c r="N76" s="34" t="s">
        <v>90</v>
      </c>
      <c r="O76" s="33" t="n">
        <f>10905</f>
        <v>10905.0</v>
      </c>
      <c r="P76" s="34" t="s">
        <v>91</v>
      </c>
      <c r="Q76" s="33" t="n">
        <f>11210</f>
        <v>11210.0</v>
      </c>
      <c r="R76" s="34" t="s">
        <v>51</v>
      </c>
      <c r="S76" s="35" t="n">
        <f>11450.45</f>
        <v>11450.45</v>
      </c>
      <c r="T76" s="32" t="n">
        <f>3631781</f>
        <v>3631781.0</v>
      </c>
      <c r="U76" s="32" t="n">
        <f>424831</f>
        <v>424831.0</v>
      </c>
      <c r="V76" s="32" t="n">
        <f>41539276872</f>
        <v>4.1539276872E10</v>
      </c>
      <c r="W76" s="32" t="n">
        <f>4882865442</f>
        <v>4.882865442E9</v>
      </c>
      <c r="X76" s="36" t="n">
        <f>22</f>
        <v>22.0</v>
      </c>
    </row>
    <row r="77">
      <c r="A77" s="27" t="s">
        <v>42</v>
      </c>
      <c r="B77" s="27" t="s">
        <v>273</v>
      </c>
      <c r="C77" s="27" t="s">
        <v>274</v>
      </c>
      <c r="D77" s="27" t="s">
        <v>275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4740</f>
        <v>4740.0</v>
      </c>
      <c r="L77" s="34" t="s">
        <v>48</v>
      </c>
      <c r="M77" s="33" t="n">
        <f>4860</f>
        <v>4860.0</v>
      </c>
      <c r="N77" s="34" t="s">
        <v>236</v>
      </c>
      <c r="O77" s="33" t="n">
        <f>4230</f>
        <v>4230.0</v>
      </c>
      <c r="P77" s="34" t="s">
        <v>91</v>
      </c>
      <c r="Q77" s="33" t="n">
        <f>4435</f>
        <v>4435.0</v>
      </c>
      <c r="R77" s="34" t="s">
        <v>51</v>
      </c>
      <c r="S77" s="35" t="n">
        <f>4617.95</f>
        <v>4617.95</v>
      </c>
      <c r="T77" s="32" t="n">
        <f>451884</f>
        <v>451884.0</v>
      </c>
      <c r="U77" s="32" t="n">
        <f>25</f>
        <v>25.0</v>
      </c>
      <c r="V77" s="32" t="n">
        <f>2075415555</f>
        <v>2.075415555E9</v>
      </c>
      <c r="W77" s="32" t="n">
        <f>112345</f>
        <v>112345.0</v>
      </c>
      <c r="X77" s="36" t="n">
        <f>22</f>
        <v>22.0</v>
      </c>
    </row>
    <row r="78">
      <c r="A78" s="27" t="s">
        <v>42</v>
      </c>
      <c r="B78" s="27" t="s">
        <v>276</v>
      </c>
      <c r="C78" s="27" t="s">
        <v>277</v>
      </c>
      <c r="D78" s="27" t="s">
        <v>278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13955</f>
        <v>13955.0</v>
      </c>
      <c r="L78" s="34" t="s">
        <v>48</v>
      </c>
      <c r="M78" s="33" t="n">
        <f>15010</f>
        <v>15010.0</v>
      </c>
      <c r="N78" s="34" t="s">
        <v>66</v>
      </c>
      <c r="O78" s="33" t="n">
        <f>12505</f>
        <v>12505.0</v>
      </c>
      <c r="P78" s="34" t="s">
        <v>91</v>
      </c>
      <c r="Q78" s="33" t="n">
        <f>13030</f>
        <v>13030.0</v>
      </c>
      <c r="R78" s="34" t="s">
        <v>51</v>
      </c>
      <c r="S78" s="35" t="n">
        <f>13985.68</f>
        <v>13985.68</v>
      </c>
      <c r="T78" s="32" t="n">
        <f>372236</f>
        <v>372236.0</v>
      </c>
      <c r="U78" s="32" t="n">
        <f>341</f>
        <v>341.0</v>
      </c>
      <c r="V78" s="32" t="n">
        <f>5192378050</f>
        <v>5.19237805E9</v>
      </c>
      <c r="W78" s="32" t="n">
        <f>4703650</f>
        <v>4703650.0</v>
      </c>
      <c r="X78" s="36" t="n">
        <f>22</f>
        <v>22.0</v>
      </c>
    </row>
    <row r="79">
      <c r="A79" s="27" t="s">
        <v>42</v>
      </c>
      <c r="B79" s="27" t="s">
        <v>279</v>
      </c>
      <c r="C79" s="27" t="s">
        <v>280</v>
      </c>
      <c r="D79" s="27" t="s">
        <v>281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44680</f>
        <v>44680.0</v>
      </c>
      <c r="L79" s="34" t="s">
        <v>48</v>
      </c>
      <c r="M79" s="33" t="n">
        <f>49500</f>
        <v>49500.0</v>
      </c>
      <c r="N79" s="34" t="s">
        <v>236</v>
      </c>
      <c r="O79" s="33" t="n">
        <f>41580</f>
        <v>41580.0</v>
      </c>
      <c r="P79" s="34" t="s">
        <v>51</v>
      </c>
      <c r="Q79" s="33" t="n">
        <f>41910</f>
        <v>41910.0</v>
      </c>
      <c r="R79" s="34" t="s">
        <v>51</v>
      </c>
      <c r="S79" s="35" t="n">
        <f>44993.18</f>
        <v>44993.18</v>
      </c>
      <c r="T79" s="32" t="n">
        <f>19154</f>
        <v>19154.0</v>
      </c>
      <c r="U79" s="32" t="n">
        <f>30</f>
        <v>30.0</v>
      </c>
      <c r="V79" s="32" t="n">
        <f>870480810</f>
        <v>8.7048081E8</v>
      </c>
      <c r="W79" s="32" t="n">
        <f>1413890</f>
        <v>1413890.0</v>
      </c>
      <c r="X79" s="36" t="n">
        <f>22</f>
        <v>22.0</v>
      </c>
    </row>
    <row r="80">
      <c r="A80" s="27" t="s">
        <v>42</v>
      </c>
      <c r="B80" s="27" t="s">
        <v>282</v>
      </c>
      <c r="C80" s="27" t="s">
        <v>283</v>
      </c>
      <c r="D80" s="27" t="s">
        <v>284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1.0</v>
      </c>
      <c r="K80" s="33" t="n">
        <f>32210</f>
        <v>32210.0</v>
      </c>
      <c r="L80" s="34" t="s">
        <v>48</v>
      </c>
      <c r="M80" s="33" t="n">
        <f>34000</f>
        <v>34000.0</v>
      </c>
      <c r="N80" s="34" t="s">
        <v>66</v>
      </c>
      <c r="O80" s="33" t="n">
        <f>29150</f>
        <v>29150.0</v>
      </c>
      <c r="P80" s="34" t="s">
        <v>51</v>
      </c>
      <c r="Q80" s="33" t="n">
        <f>29565</f>
        <v>29565.0</v>
      </c>
      <c r="R80" s="34" t="s">
        <v>51</v>
      </c>
      <c r="S80" s="35" t="n">
        <f>31862.5</f>
        <v>31862.5</v>
      </c>
      <c r="T80" s="32" t="n">
        <f>1427736</f>
        <v>1427736.0</v>
      </c>
      <c r="U80" s="32" t="n">
        <f>47448</f>
        <v>47448.0</v>
      </c>
      <c r="V80" s="32" t="n">
        <f>45510225130</f>
        <v>4.551022513E10</v>
      </c>
      <c r="W80" s="32" t="n">
        <f>1510652020</f>
        <v>1.51065202E9</v>
      </c>
      <c r="X80" s="36" t="n">
        <f>22</f>
        <v>22.0</v>
      </c>
    </row>
    <row r="81">
      <c r="A81" s="27" t="s">
        <v>42</v>
      </c>
      <c r="B81" s="27" t="s">
        <v>285</v>
      </c>
      <c r="C81" s="27" t="s">
        <v>286</v>
      </c>
      <c r="D81" s="27" t="s">
        <v>287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1.0</v>
      </c>
      <c r="K81" s="33" t="n">
        <f>61770</f>
        <v>61770.0</v>
      </c>
      <c r="L81" s="34" t="s">
        <v>48</v>
      </c>
      <c r="M81" s="33" t="n">
        <f>63790</f>
        <v>63790.0</v>
      </c>
      <c r="N81" s="34" t="s">
        <v>90</v>
      </c>
      <c r="O81" s="33" t="n">
        <f>59760</f>
        <v>59760.0</v>
      </c>
      <c r="P81" s="34" t="s">
        <v>91</v>
      </c>
      <c r="Q81" s="33" t="n">
        <f>61580</f>
        <v>61580.0</v>
      </c>
      <c r="R81" s="34" t="s">
        <v>51</v>
      </c>
      <c r="S81" s="35" t="n">
        <f>62102.73</f>
        <v>62102.73</v>
      </c>
      <c r="T81" s="32" t="n">
        <f>98158</f>
        <v>98158.0</v>
      </c>
      <c r="U81" s="32" t="n">
        <f>5707</f>
        <v>5707.0</v>
      </c>
      <c r="V81" s="32" t="n">
        <f>6141523914</f>
        <v>6.141523914E9</v>
      </c>
      <c r="W81" s="32" t="n">
        <f>354363404</f>
        <v>3.54363404E8</v>
      </c>
      <c r="X81" s="36" t="n">
        <f>22</f>
        <v>22.0</v>
      </c>
    </row>
    <row r="82">
      <c r="A82" s="27" t="s">
        <v>42</v>
      </c>
      <c r="B82" s="27" t="s">
        <v>288</v>
      </c>
      <c r="C82" s="27" t="s">
        <v>289</v>
      </c>
      <c r="D82" s="27" t="s">
        <v>290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10.0</v>
      </c>
      <c r="K82" s="33" t="n">
        <f>9586</f>
        <v>9586.0</v>
      </c>
      <c r="L82" s="34" t="s">
        <v>48</v>
      </c>
      <c r="M82" s="33" t="n">
        <f>9925</f>
        <v>9925.0</v>
      </c>
      <c r="N82" s="34" t="s">
        <v>66</v>
      </c>
      <c r="O82" s="33" t="n">
        <f>9013</f>
        <v>9013.0</v>
      </c>
      <c r="P82" s="34" t="s">
        <v>51</v>
      </c>
      <c r="Q82" s="33" t="n">
        <f>9124</f>
        <v>9124.0</v>
      </c>
      <c r="R82" s="34" t="s">
        <v>51</v>
      </c>
      <c r="S82" s="35" t="n">
        <f>9537.82</f>
        <v>9537.82</v>
      </c>
      <c r="T82" s="32" t="n">
        <f>1768530</f>
        <v>1768530.0</v>
      </c>
      <c r="U82" s="32" t="n">
        <f>541870</f>
        <v>541870.0</v>
      </c>
      <c r="V82" s="32" t="n">
        <f>16797880916</f>
        <v>1.6797880916E10</v>
      </c>
      <c r="W82" s="32" t="n">
        <f>5114450096</f>
        <v>5.114450096E9</v>
      </c>
      <c r="X82" s="36" t="n">
        <f>22</f>
        <v>22.0</v>
      </c>
    </row>
    <row r="83">
      <c r="A83" s="27" t="s">
        <v>42</v>
      </c>
      <c r="B83" s="27" t="s">
        <v>291</v>
      </c>
      <c r="C83" s="27" t="s">
        <v>292</v>
      </c>
      <c r="D83" s="27" t="s">
        <v>293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10.0</v>
      </c>
      <c r="K83" s="33" t="n">
        <f>5890</f>
        <v>5890.0</v>
      </c>
      <c r="L83" s="34" t="s">
        <v>48</v>
      </c>
      <c r="M83" s="33" t="n">
        <f>6089</f>
        <v>6089.0</v>
      </c>
      <c r="N83" s="34" t="s">
        <v>66</v>
      </c>
      <c r="O83" s="33" t="n">
        <f>5563</f>
        <v>5563.0</v>
      </c>
      <c r="P83" s="34" t="s">
        <v>91</v>
      </c>
      <c r="Q83" s="33" t="n">
        <f>5643</f>
        <v>5643.0</v>
      </c>
      <c r="R83" s="34" t="s">
        <v>51</v>
      </c>
      <c r="S83" s="35" t="n">
        <f>5864.36</f>
        <v>5864.36</v>
      </c>
      <c r="T83" s="32" t="n">
        <f>186360</f>
        <v>186360.0</v>
      </c>
      <c r="U83" s="32" t="n">
        <f>2750</f>
        <v>2750.0</v>
      </c>
      <c r="V83" s="32" t="n">
        <f>1092190698</f>
        <v>1.092190698E9</v>
      </c>
      <c r="W83" s="32" t="n">
        <f>16488598</f>
        <v>1.6488598E7</v>
      </c>
      <c r="X83" s="36" t="n">
        <f>22</f>
        <v>22.0</v>
      </c>
    </row>
    <row r="84">
      <c r="A84" s="27" t="s">
        <v>42</v>
      </c>
      <c r="B84" s="27" t="s">
        <v>294</v>
      </c>
      <c r="C84" s="27" t="s">
        <v>295</v>
      </c>
      <c r="D84" s="27" t="s">
        <v>296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10.0</v>
      </c>
      <c r="K84" s="33" t="n">
        <f>5157</f>
        <v>5157.0</v>
      </c>
      <c r="L84" s="34" t="s">
        <v>48</v>
      </c>
      <c r="M84" s="33" t="n">
        <f>5269</f>
        <v>5269.0</v>
      </c>
      <c r="N84" s="34" t="s">
        <v>220</v>
      </c>
      <c r="O84" s="33" t="n">
        <f>5000</f>
        <v>5000.0</v>
      </c>
      <c r="P84" s="34" t="s">
        <v>51</v>
      </c>
      <c r="Q84" s="33" t="n">
        <f>5067</f>
        <v>5067.0</v>
      </c>
      <c r="R84" s="34" t="s">
        <v>51</v>
      </c>
      <c r="S84" s="35" t="n">
        <f>5133.57</f>
        <v>5133.57</v>
      </c>
      <c r="T84" s="32" t="n">
        <f>8650</f>
        <v>8650.0</v>
      </c>
      <c r="U84" s="32" t="str">
        <f>"－"</f>
        <v>－</v>
      </c>
      <c r="V84" s="32" t="n">
        <f>44605040</f>
        <v>4.460504E7</v>
      </c>
      <c r="W84" s="32" t="str">
        <f>"－"</f>
        <v>－</v>
      </c>
      <c r="X84" s="36" t="n">
        <f>21</f>
        <v>21.0</v>
      </c>
    </row>
    <row r="85">
      <c r="A85" s="27" t="s">
        <v>42</v>
      </c>
      <c r="B85" s="27" t="s">
        <v>297</v>
      </c>
      <c r="C85" s="27" t="s">
        <v>298</v>
      </c>
      <c r="D85" s="27" t="s">
        <v>299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10.0</v>
      </c>
      <c r="K85" s="33" t="n">
        <f>4895</f>
        <v>4895.0</v>
      </c>
      <c r="L85" s="34" t="s">
        <v>48</v>
      </c>
      <c r="M85" s="33" t="n">
        <f>5093</f>
        <v>5093.0</v>
      </c>
      <c r="N85" s="34" t="s">
        <v>112</v>
      </c>
      <c r="O85" s="33" t="n">
        <f>4622</f>
        <v>4622.0</v>
      </c>
      <c r="P85" s="34" t="s">
        <v>51</v>
      </c>
      <c r="Q85" s="33" t="n">
        <f>4678</f>
        <v>4678.0</v>
      </c>
      <c r="R85" s="34" t="s">
        <v>51</v>
      </c>
      <c r="S85" s="35" t="n">
        <f>4882.73</f>
        <v>4882.73</v>
      </c>
      <c r="T85" s="32" t="n">
        <f>145460</f>
        <v>145460.0</v>
      </c>
      <c r="U85" s="32" t="str">
        <f>"－"</f>
        <v>－</v>
      </c>
      <c r="V85" s="32" t="n">
        <f>712980990</f>
        <v>7.1298099E8</v>
      </c>
      <c r="W85" s="32" t="str">
        <f>"－"</f>
        <v>－</v>
      </c>
      <c r="X85" s="36" t="n">
        <f>22</f>
        <v>22.0</v>
      </c>
    </row>
    <row r="86">
      <c r="A86" s="27" t="s">
        <v>42</v>
      </c>
      <c r="B86" s="27" t="s">
        <v>300</v>
      </c>
      <c r="C86" s="27" t="s">
        <v>301</v>
      </c>
      <c r="D86" s="27" t="s">
        <v>302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10.0</v>
      </c>
      <c r="K86" s="33" t="n">
        <f>2341</f>
        <v>2341.0</v>
      </c>
      <c r="L86" s="34" t="s">
        <v>48</v>
      </c>
      <c r="M86" s="33" t="n">
        <f>2492</f>
        <v>2492.0</v>
      </c>
      <c r="N86" s="34" t="s">
        <v>90</v>
      </c>
      <c r="O86" s="33" t="n">
        <f>2200</f>
        <v>2200.0</v>
      </c>
      <c r="P86" s="34" t="s">
        <v>91</v>
      </c>
      <c r="Q86" s="33" t="n">
        <f>2285.5</f>
        <v>2285.5</v>
      </c>
      <c r="R86" s="34" t="s">
        <v>51</v>
      </c>
      <c r="S86" s="35" t="n">
        <f>2358.75</f>
        <v>2358.75</v>
      </c>
      <c r="T86" s="32" t="n">
        <f>90650</f>
        <v>90650.0</v>
      </c>
      <c r="U86" s="32" t="n">
        <f>70</f>
        <v>70.0</v>
      </c>
      <c r="V86" s="32" t="n">
        <f>212564045</f>
        <v>2.12564045E8</v>
      </c>
      <c r="W86" s="32" t="n">
        <f>165900</f>
        <v>165900.0</v>
      </c>
      <c r="X86" s="36" t="n">
        <f>22</f>
        <v>22.0</v>
      </c>
    </row>
    <row r="87">
      <c r="A87" s="27" t="s">
        <v>42</v>
      </c>
      <c r="B87" s="27" t="s">
        <v>303</v>
      </c>
      <c r="C87" s="27" t="s">
        <v>304</v>
      </c>
      <c r="D87" s="27" t="s">
        <v>305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88170</f>
        <v>88170.0</v>
      </c>
      <c r="L87" s="34" t="s">
        <v>48</v>
      </c>
      <c r="M87" s="33" t="n">
        <f>93290</f>
        <v>93290.0</v>
      </c>
      <c r="N87" s="34" t="s">
        <v>104</v>
      </c>
      <c r="O87" s="33" t="n">
        <f>82510</f>
        <v>82510.0</v>
      </c>
      <c r="P87" s="34" t="s">
        <v>51</v>
      </c>
      <c r="Q87" s="33" t="n">
        <f>83500</f>
        <v>83500.0</v>
      </c>
      <c r="R87" s="34" t="s">
        <v>51</v>
      </c>
      <c r="S87" s="35" t="n">
        <f>87283.64</f>
        <v>87283.64</v>
      </c>
      <c r="T87" s="32" t="n">
        <f>116028</f>
        <v>116028.0</v>
      </c>
      <c r="U87" s="32" t="n">
        <f>236</f>
        <v>236.0</v>
      </c>
      <c r="V87" s="32" t="n">
        <f>10091222346</f>
        <v>1.0091222346E10</v>
      </c>
      <c r="W87" s="32" t="n">
        <f>20566636</f>
        <v>2.0566636E7</v>
      </c>
      <c r="X87" s="36" t="n">
        <f>22</f>
        <v>22.0</v>
      </c>
    </row>
    <row r="88">
      <c r="A88" s="27" t="s">
        <v>42</v>
      </c>
      <c r="B88" s="27" t="s">
        <v>306</v>
      </c>
      <c r="C88" s="27" t="s">
        <v>307</v>
      </c>
      <c r="D88" s="27" t="s">
        <v>308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3310</f>
        <v>3310.0</v>
      </c>
      <c r="L88" s="34" t="s">
        <v>48</v>
      </c>
      <c r="M88" s="33" t="n">
        <f>3330</f>
        <v>3330.0</v>
      </c>
      <c r="N88" s="34" t="s">
        <v>48</v>
      </c>
      <c r="O88" s="33" t="n">
        <f>3155</f>
        <v>3155.0</v>
      </c>
      <c r="P88" s="34" t="s">
        <v>50</v>
      </c>
      <c r="Q88" s="33" t="n">
        <f>3240</f>
        <v>3240.0</v>
      </c>
      <c r="R88" s="34" t="s">
        <v>51</v>
      </c>
      <c r="S88" s="35" t="n">
        <f>3275.91</f>
        <v>3275.91</v>
      </c>
      <c r="T88" s="32" t="n">
        <f>2817</f>
        <v>2817.0</v>
      </c>
      <c r="U88" s="32" t="str">
        <f>"－"</f>
        <v>－</v>
      </c>
      <c r="V88" s="32" t="n">
        <f>9190165</f>
        <v>9190165.0</v>
      </c>
      <c r="W88" s="32" t="str">
        <f>"－"</f>
        <v>－</v>
      </c>
      <c r="X88" s="36" t="n">
        <f>22</f>
        <v>22.0</v>
      </c>
    </row>
    <row r="89">
      <c r="A89" s="27" t="s">
        <v>42</v>
      </c>
      <c r="B89" s="27" t="s">
        <v>309</v>
      </c>
      <c r="C89" s="27" t="s">
        <v>310</v>
      </c>
      <c r="D89" s="27" t="s">
        <v>311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1.0</v>
      </c>
      <c r="K89" s="33" t="n">
        <f>5290</f>
        <v>5290.0</v>
      </c>
      <c r="L89" s="34" t="s">
        <v>48</v>
      </c>
      <c r="M89" s="33" t="n">
        <f>5550</f>
        <v>5550.0</v>
      </c>
      <c r="N89" s="34" t="s">
        <v>66</v>
      </c>
      <c r="O89" s="33" t="n">
        <f>5110</f>
        <v>5110.0</v>
      </c>
      <c r="P89" s="34" t="s">
        <v>71</v>
      </c>
      <c r="Q89" s="33" t="n">
        <f>5240</f>
        <v>5240.0</v>
      </c>
      <c r="R89" s="34" t="s">
        <v>51</v>
      </c>
      <c r="S89" s="35" t="n">
        <f>5328.18</f>
        <v>5328.18</v>
      </c>
      <c r="T89" s="32" t="n">
        <f>9319</f>
        <v>9319.0</v>
      </c>
      <c r="U89" s="32" t="str">
        <f>"－"</f>
        <v>－</v>
      </c>
      <c r="V89" s="32" t="n">
        <f>49595910</f>
        <v>4.959591E7</v>
      </c>
      <c r="W89" s="32" t="str">
        <f>"－"</f>
        <v>－</v>
      </c>
      <c r="X89" s="36" t="n">
        <f>22</f>
        <v>22.0</v>
      </c>
    </row>
    <row r="90">
      <c r="A90" s="27" t="s">
        <v>42</v>
      </c>
      <c r="B90" s="27" t="s">
        <v>312</v>
      </c>
      <c r="C90" s="27" t="s">
        <v>313</v>
      </c>
      <c r="D90" s="27" t="s">
        <v>314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1.0</v>
      </c>
      <c r="K90" s="33" t="n">
        <f>2180</f>
        <v>2180.0</v>
      </c>
      <c r="L90" s="34" t="s">
        <v>48</v>
      </c>
      <c r="M90" s="33" t="n">
        <f>2374</f>
        <v>2374.0</v>
      </c>
      <c r="N90" s="34" t="s">
        <v>90</v>
      </c>
      <c r="O90" s="33" t="n">
        <f>2127</f>
        <v>2127.0</v>
      </c>
      <c r="P90" s="34" t="s">
        <v>70</v>
      </c>
      <c r="Q90" s="33" t="n">
        <f>2219</f>
        <v>2219.0</v>
      </c>
      <c r="R90" s="34" t="s">
        <v>51</v>
      </c>
      <c r="S90" s="35" t="n">
        <f>2242.27</f>
        <v>2242.27</v>
      </c>
      <c r="T90" s="32" t="n">
        <f>1725511</f>
        <v>1725511.0</v>
      </c>
      <c r="U90" s="32" t="n">
        <f>70050</f>
        <v>70050.0</v>
      </c>
      <c r="V90" s="32" t="n">
        <f>3907709925</f>
        <v>3.907709925E9</v>
      </c>
      <c r="W90" s="32" t="n">
        <f>156548897</f>
        <v>1.56548897E8</v>
      </c>
      <c r="X90" s="36" t="n">
        <f>22</f>
        <v>22.0</v>
      </c>
    </row>
    <row r="91">
      <c r="A91" s="27" t="s">
        <v>42</v>
      </c>
      <c r="B91" s="27" t="s">
        <v>315</v>
      </c>
      <c r="C91" s="27" t="s">
        <v>316</v>
      </c>
      <c r="D91" s="27" t="s">
        <v>317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51100</f>
        <v>51100.0</v>
      </c>
      <c r="L91" s="34" t="s">
        <v>48</v>
      </c>
      <c r="M91" s="33" t="n">
        <f>51900</f>
        <v>51900.0</v>
      </c>
      <c r="N91" s="34" t="s">
        <v>66</v>
      </c>
      <c r="O91" s="33" t="n">
        <f>48710</f>
        <v>48710.0</v>
      </c>
      <c r="P91" s="34" t="s">
        <v>91</v>
      </c>
      <c r="Q91" s="33" t="n">
        <f>49270</f>
        <v>49270.0</v>
      </c>
      <c r="R91" s="34" t="s">
        <v>51</v>
      </c>
      <c r="S91" s="35" t="n">
        <f>50614.09</f>
        <v>50614.09</v>
      </c>
      <c r="T91" s="32" t="n">
        <f>22078</f>
        <v>22078.0</v>
      </c>
      <c r="U91" s="32" t="n">
        <f>461</f>
        <v>461.0</v>
      </c>
      <c r="V91" s="32" t="n">
        <f>1117274552</f>
        <v>1.117274552E9</v>
      </c>
      <c r="W91" s="32" t="n">
        <f>23439192</f>
        <v>2.3439192E7</v>
      </c>
      <c r="X91" s="36" t="n">
        <f>22</f>
        <v>22.0</v>
      </c>
    </row>
    <row r="92">
      <c r="A92" s="27" t="s">
        <v>42</v>
      </c>
      <c r="B92" s="27" t="s">
        <v>318</v>
      </c>
      <c r="C92" s="27" t="s">
        <v>319</v>
      </c>
      <c r="D92" s="27" t="s">
        <v>320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10.0</v>
      </c>
      <c r="K92" s="33" t="n">
        <f>524.7</f>
        <v>524.7</v>
      </c>
      <c r="L92" s="34" t="s">
        <v>48</v>
      </c>
      <c r="M92" s="33" t="n">
        <f>566.3</f>
        <v>566.3</v>
      </c>
      <c r="N92" s="34" t="s">
        <v>66</v>
      </c>
      <c r="O92" s="33" t="n">
        <f>470.6</f>
        <v>470.6</v>
      </c>
      <c r="P92" s="34" t="s">
        <v>50</v>
      </c>
      <c r="Q92" s="33" t="n">
        <f>509.8</f>
        <v>509.8</v>
      </c>
      <c r="R92" s="34" t="s">
        <v>51</v>
      </c>
      <c r="S92" s="35" t="n">
        <f>526.98</f>
        <v>526.98</v>
      </c>
      <c r="T92" s="32" t="n">
        <f>160327930</f>
        <v>1.6032793E8</v>
      </c>
      <c r="U92" s="32" t="n">
        <f>16540</f>
        <v>16540.0</v>
      </c>
      <c r="V92" s="32" t="n">
        <f>84479137300</f>
        <v>8.44791373E10</v>
      </c>
      <c r="W92" s="32" t="n">
        <f>8272391</f>
        <v>8272391.0</v>
      </c>
      <c r="X92" s="36" t="n">
        <f>22</f>
        <v>22.0</v>
      </c>
    </row>
    <row r="93">
      <c r="A93" s="27" t="s">
        <v>42</v>
      </c>
      <c r="B93" s="27" t="s">
        <v>321</v>
      </c>
      <c r="C93" s="27" t="s">
        <v>322</v>
      </c>
      <c r="D93" s="27" t="s">
        <v>323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1271</f>
        <v>1271.0</v>
      </c>
      <c r="L93" s="34" t="s">
        <v>48</v>
      </c>
      <c r="M93" s="33" t="n">
        <f>1335.5</f>
        <v>1335.5</v>
      </c>
      <c r="N93" s="34" t="s">
        <v>50</v>
      </c>
      <c r="O93" s="33" t="n">
        <f>1224</f>
        <v>1224.0</v>
      </c>
      <c r="P93" s="34" t="s">
        <v>66</v>
      </c>
      <c r="Q93" s="33" t="n">
        <f>1286.5</f>
        <v>1286.5</v>
      </c>
      <c r="R93" s="34" t="s">
        <v>51</v>
      </c>
      <c r="S93" s="35" t="n">
        <f>1269.11</f>
        <v>1269.11</v>
      </c>
      <c r="T93" s="32" t="n">
        <f>3380940</f>
        <v>3380940.0</v>
      </c>
      <c r="U93" s="32" t="n">
        <f>1699390</f>
        <v>1699390.0</v>
      </c>
      <c r="V93" s="32" t="n">
        <f>4275945790</f>
        <v>4.27594579E9</v>
      </c>
      <c r="W93" s="32" t="n">
        <f>2101777520</f>
        <v>2.10177752E9</v>
      </c>
      <c r="X93" s="36" t="n">
        <f>22</f>
        <v>22.0</v>
      </c>
    </row>
    <row r="94">
      <c r="A94" s="27" t="s">
        <v>42</v>
      </c>
      <c r="B94" s="27" t="s">
        <v>324</v>
      </c>
      <c r="C94" s="27" t="s">
        <v>325</v>
      </c>
      <c r="D94" s="27" t="s">
        <v>326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1.0</v>
      </c>
      <c r="K94" s="33" t="n">
        <f>29660</f>
        <v>29660.0</v>
      </c>
      <c r="L94" s="34" t="s">
        <v>48</v>
      </c>
      <c r="M94" s="33" t="n">
        <f>33650</f>
        <v>33650.0</v>
      </c>
      <c r="N94" s="34" t="s">
        <v>66</v>
      </c>
      <c r="O94" s="33" t="n">
        <f>26335</f>
        <v>26335.0</v>
      </c>
      <c r="P94" s="34" t="s">
        <v>50</v>
      </c>
      <c r="Q94" s="33" t="n">
        <f>28470</f>
        <v>28470.0</v>
      </c>
      <c r="R94" s="34" t="s">
        <v>51</v>
      </c>
      <c r="S94" s="35" t="n">
        <f>30049.32</f>
        <v>30049.32</v>
      </c>
      <c r="T94" s="32" t="n">
        <f>123807921</f>
        <v>1.23807921E8</v>
      </c>
      <c r="U94" s="32" t="n">
        <f>769639</f>
        <v>769639.0</v>
      </c>
      <c r="V94" s="32" t="n">
        <f>3684601930497</f>
        <v>3.684601930497E12</v>
      </c>
      <c r="W94" s="32" t="n">
        <f>23096499832</f>
        <v>2.3096499832E10</v>
      </c>
      <c r="X94" s="36" t="n">
        <f>22</f>
        <v>22.0</v>
      </c>
    </row>
    <row r="95">
      <c r="A95" s="27" t="s">
        <v>42</v>
      </c>
      <c r="B95" s="27" t="s">
        <v>327</v>
      </c>
      <c r="C95" s="27" t="s">
        <v>328</v>
      </c>
      <c r="D95" s="27" t="s">
        <v>329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608</f>
        <v>608.0</v>
      </c>
      <c r="L95" s="34" t="s">
        <v>48</v>
      </c>
      <c r="M95" s="33" t="n">
        <f>641</f>
        <v>641.0</v>
      </c>
      <c r="N95" s="34" t="s">
        <v>50</v>
      </c>
      <c r="O95" s="33" t="n">
        <f>569</f>
        <v>569.0</v>
      </c>
      <c r="P95" s="34" t="s">
        <v>66</v>
      </c>
      <c r="Q95" s="33" t="n">
        <f>615</f>
        <v>615.0</v>
      </c>
      <c r="R95" s="34" t="s">
        <v>51</v>
      </c>
      <c r="S95" s="35" t="n">
        <f>602.36</f>
        <v>602.36</v>
      </c>
      <c r="T95" s="32" t="n">
        <f>55220421</f>
        <v>5.5220421E7</v>
      </c>
      <c r="U95" s="32" t="n">
        <f>2602950</f>
        <v>2602950.0</v>
      </c>
      <c r="V95" s="32" t="n">
        <f>33338382834</f>
        <v>3.3338382834E10</v>
      </c>
      <c r="W95" s="32" t="n">
        <f>1515474101</f>
        <v>1.515474101E9</v>
      </c>
      <c r="X95" s="36" t="n">
        <f>22</f>
        <v>22.0</v>
      </c>
    </row>
    <row r="96">
      <c r="A96" s="27" t="s">
        <v>42</v>
      </c>
      <c r="B96" s="27" t="s">
        <v>330</v>
      </c>
      <c r="C96" s="27" t="s">
        <v>331</v>
      </c>
      <c r="D96" s="27" t="s">
        <v>332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10.0</v>
      </c>
      <c r="K96" s="33" t="n">
        <f>4435</f>
        <v>4435.0</v>
      </c>
      <c r="L96" s="34" t="s">
        <v>48</v>
      </c>
      <c r="M96" s="33" t="n">
        <f>4850</f>
        <v>4850.0</v>
      </c>
      <c r="N96" s="34" t="s">
        <v>58</v>
      </c>
      <c r="O96" s="33" t="n">
        <f>3898</f>
        <v>3898.0</v>
      </c>
      <c r="P96" s="34" t="s">
        <v>51</v>
      </c>
      <c r="Q96" s="33" t="n">
        <f>4101</f>
        <v>4101.0</v>
      </c>
      <c r="R96" s="34" t="s">
        <v>51</v>
      </c>
      <c r="S96" s="35" t="n">
        <f>4423.27</f>
        <v>4423.27</v>
      </c>
      <c r="T96" s="32" t="n">
        <f>432500</f>
        <v>432500.0</v>
      </c>
      <c r="U96" s="32" t="str">
        <f>"－"</f>
        <v>－</v>
      </c>
      <c r="V96" s="32" t="n">
        <f>1929082840</f>
        <v>1.92908284E9</v>
      </c>
      <c r="W96" s="32" t="str">
        <f>"－"</f>
        <v>－</v>
      </c>
      <c r="X96" s="36" t="n">
        <f>22</f>
        <v>22.0</v>
      </c>
    </row>
    <row r="97">
      <c r="A97" s="27" t="s">
        <v>42</v>
      </c>
      <c r="B97" s="27" t="s">
        <v>333</v>
      </c>
      <c r="C97" s="27" t="s">
        <v>334</v>
      </c>
      <c r="D97" s="27" t="s">
        <v>335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12635</f>
        <v>12635.0</v>
      </c>
      <c r="L97" s="34" t="s">
        <v>48</v>
      </c>
      <c r="M97" s="33" t="n">
        <f>12765</f>
        <v>12765.0</v>
      </c>
      <c r="N97" s="34" t="s">
        <v>48</v>
      </c>
      <c r="O97" s="33" t="n">
        <f>11995</f>
        <v>11995.0</v>
      </c>
      <c r="P97" s="34" t="s">
        <v>207</v>
      </c>
      <c r="Q97" s="33" t="n">
        <f>12250</f>
        <v>12250.0</v>
      </c>
      <c r="R97" s="34" t="s">
        <v>51</v>
      </c>
      <c r="S97" s="35" t="n">
        <f>12435</f>
        <v>12435.0</v>
      </c>
      <c r="T97" s="32" t="n">
        <f>25210</f>
        <v>25210.0</v>
      </c>
      <c r="U97" s="32" t="str">
        <f>"－"</f>
        <v>－</v>
      </c>
      <c r="V97" s="32" t="n">
        <f>312656500</f>
        <v>3.126565E8</v>
      </c>
      <c r="W97" s="32" t="str">
        <f>"－"</f>
        <v>－</v>
      </c>
      <c r="X97" s="36" t="n">
        <f>22</f>
        <v>22.0</v>
      </c>
    </row>
    <row r="98">
      <c r="A98" s="27" t="s">
        <v>42</v>
      </c>
      <c r="B98" s="27" t="s">
        <v>336</v>
      </c>
      <c r="C98" s="27" t="s">
        <v>337</v>
      </c>
      <c r="D98" s="27" t="s">
        <v>338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1.0</v>
      </c>
      <c r="K98" s="33" t="n">
        <f>38940</f>
        <v>38940.0</v>
      </c>
      <c r="L98" s="34" t="s">
        <v>48</v>
      </c>
      <c r="M98" s="33" t="n">
        <f>40310</f>
        <v>40310.0</v>
      </c>
      <c r="N98" s="34" t="s">
        <v>49</v>
      </c>
      <c r="O98" s="33" t="n">
        <f>37510</f>
        <v>37510.0</v>
      </c>
      <c r="P98" s="34" t="s">
        <v>50</v>
      </c>
      <c r="Q98" s="33" t="n">
        <f>39170</f>
        <v>39170.0</v>
      </c>
      <c r="R98" s="34" t="s">
        <v>51</v>
      </c>
      <c r="S98" s="35" t="n">
        <f>39318.18</f>
        <v>39318.18</v>
      </c>
      <c r="T98" s="32" t="n">
        <f>192165</f>
        <v>192165.0</v>
      </c>
      <c r="U98" s="32" t="n">
        <f>127916</f>
        <v>127916.0</v>
      </c>
      <c r="V98" s="32" t="n">
        <f>7449963688</f>
        <v>7.449963688E9</v>
      </c>
      <c r="W98" s="32" t="n">
        <f>4933606718</f>
        <v>4.933606718E9</v>
      </c>
      <c r="X98" s="36" t="n">
        <f>22</f>
        <v>22.0</v>
      </c>
    </row>
    <row r="99">
      <c r="A99" s="27" t="s">
        <v>42</v>
      </c>
      <c r="B99" s="27" t="s">
        <v>339</v>
      </c>
      <c r="C99" s="27" t="s">
        <v>340</v>
      </c>
      <c r="D99" s="27" t="s">
        <v>341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1.0</v>
      </c>
      <c r="K99" s="33" t="n">
        <f>3190</f>
        <v>3190.0</v>
      </c>
      <c r="L99" s="34" t="s">
        <v>48</v>
      </c>
      <c r="M99" s="33" t="n">
        <f>3385</f>
        <v>3385.0</v>
      </c>
      <c r="N99" s="34" t="s">
        <v>66</v>
      </c>
      <c r="O99" s="33" t="n">
        <f>2998</f>
        <v>2998.0</v>
      </c>
      <c r="P99" s="34" t="s">
        <v>50</v>
      </c>
      <c r="Q99" s="33" t="n">
        <f>3120</f>
        <v>3120.0</v>
      </c>
      <c r="R99" s="34" t="s">
        <v>51</v>
      </c>
      <c r="S99" s="35" t="n">
        <f>3202.95</f>
        <v>3202.95</v>
      </c>
      <c r="T99" s="32" t="n">
        <f>125613</f>
        <v>125613.0</v>
      </c>
      <c r="U99" s="32" t="n">
        <f>989</f>
        <v>989.0</v>
      </c>
      <c r="V99" s="32" t="n">
        <f>399125202</f>
        <v>3.99125202E8</v>
      </c>
      <c r="W99" s="32" t="n">
        <f>3122595</f>
        <v>3122595.0</v>
      </c>
      <c r="X99" s="36" t="n">
        <f>22</f>
        <v>22.0</v>
      </c>
    </row>
    <row r="100">
      <c r="A100" s="27" t="s">
        <v>42</v>
      </c>
      <c r="B100" s="27" t="s">
        <v>342</v>
      </c>
      <c r="C100" s="27" t="s">
        <v>343</v>
      </c>
      <c r="D100" s="27" t="s">
        <v>344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10.0</v>
      </c>
      <c r="K100" s="33" t="n">
        <f>317.4</f>
        <v>317.4</v>
      </c>
      <c r="L100" s="34" t="s">
        <v>48</v>
      </c>
      <c r="M100" s="33" t="n">
        <f>359.9</f>
        <v>359.9</v>
      </c>
      <c r="N100" s="34" t="s">
        <v>66</v>
      </c>
      <c r="O100" s="33" t="n">
        <f>281.6</f>
        <v>281.6</v>
      </c>
      <c r="P100" s="34" t="s">
        <v>50</v>
      </c>
      <c r="Q100" s="33" t="n">
        <f>303.7</f>
        <v>303.7</v>
      </c>
      <c r="R100" s="34" t="s">
        <v>51</v>
      </c>
      <c r="S100" s="35" t="n">
        <f>321.34</f>
        <v>321.34</v>
      </c>
      <c r="T100" s="32" t="n">
        <f>660910460</f>
        <v>6.6091046E8</v>
      </c>
      <c r="U100" s="32" t="n">
        <f>1968620</f>
        <v>1968620.0</v>
      </c>
      <c r="V100" s="32" t="n">
        <f>208953097817</f>
        <v>2.08953097817E11</v>
      </c>
      <c r="W100" s="32" t="n">
        <f>618876313</f>
        <v>6.18876313E8</v>
      </c>
      <c r="X100" s="36" t="n">
        <f>22</f>
        <v>22.0</v>
      </c>
    </row>
    <row r="101">
      <c r="A101" s="27" t="s">
        <v>42</v>
      </c>
      <c r="B101" s="27" t="s">
        <v>345</v>
      </c>
      <c r="C101" s="27" t="s">
        <v>346</v>
      </c>
      <c r="D101" s="27" t="s">
        <v>347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10.0</v>
      </c>
      <c r="K101" s="33" t="n">
        <f>1611</f>
        <v>1611.0</v>
      </c>
      <c r="L101" s="34" t="s">
        <v>48</v>
      </c>
      <c r="M101" s="33" t="n">
        <f>1698.5</f>
        <v>1698.5</v>
      </c>
      <c r="N101" s="34" t="s">
        <v>50</v>
      </c>
      <c r="O101" s="33" t="n">
        <f>1510</f>
        <v>1510.0</v>
      </c>
      <c r="P101" s="34" t="s">
        <v>66</v>
      </c>
      <c r="Q101" s="33" t="n">
        <f>1631.5</f>
        <v>1631.5</v>
      </c>
      <c r="R101" s="34" t="s">
        <v>51</v>
      </c>
      <c r="S101" s="35" t="n">
        <f>1597.59</f>
        <v>1597.59</v>
      </c>
      <c r="T101" s="32" t="n">
        <f>7922520</f>
        <v>7922520.0</v>
      </c>
      <c r="U101" s="32" t="n">
        <f>2185940</f>
        <v>2185940.0</v>
      </c>
      <c r="V101" s="32" t="n">
        <f>12645601194</f>
        <v>1.2645601194E10</v>
      </c>
      <c r="W101" s="32" t="n">
        <f>3383749999</f>
        <v>3.383749999E9</v>
      </c>
      <c r="X101" s="36" t="n">
        <f>22</f>
        <v>22.0</v>
      </c>
    </row>
    <row r="102">
      <c r="A102" s="27" t="s">
        <v>42</v>
      </c>
      <c r="B102" s="27" t="s">
        <v>348</v>
      </c>
      <c r="C102" s="27" t="s">
        <v>349</v>
      </c>
      <c r="D102" s="27" t="s">
        <v>350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10.0</v>
      </c>
      <c r="K102" s="33" t="n">
        <f>1977</f>
        <v>1977.0</v>
      </c>
      <c r="L102" s="34" t="s">
        <v>48</v>
      </c>
      <c r="M102" s="33" t="n">
        <f>2026.5</f>
        <v>2026.5</v>
      </c>
      <c r="N102" s="34" t="s">
        <v>58</v>
      </c>
      <c r="O102" s="33" t="n">
        <f>1819</f>
        <v>1819.0</v>
      </c>
      <c r="P102" s="34" t="s">
        <v>351</v>
      </c>
      <c r="Q102" s="33" t="n">
        <f>1903</f>
        <v>1903.0</v>
      </c>
      <c r="R102" s="34" t="s">
        <v>51</v>
      </c>
      <c r="S102" s="35" t="n">
        <f>1949.07</f>
        <v>1949.07</v>
      </c>
      <c r="T102" s="32" t="n">
        <f>48710</f>
        <v>48710.0</v>
      </c>
      <c r="U102" s="32" t="n">
        <f>80</f>
        <v>80.0</v>
      </c>
      <c r="V102" s="32" t="n">
        <f>94056009</f>
        <v>9.4056009E7</v>
      </c>
      <c r="W102" s="32" t="n">
        <f>157559</f>
        <v>157559.0</v>
      </c>
      <c r="X102" s="36" t="n">
        <f>22</f>
        <v>22.0</v>
      </c>
    </row>
    <row r="103">
      <c r="A103" s="27" t="s">
        <v>42</v>
      </c>
      <c r="B103" s="27" t="s">
        <v>352</v>
      </c>
      <c r="C103" s="27" t="s">
        <v>353</v>
      </c>
      <c r="D103" s="27" t="s">
        <v>354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2269</f>
        <v>2269.0</v>
      </c>
      <c r="L103" s="34" t="s">
        <v>48</v>
      </c>
      <c r="M103" s="33" t="n">
        <f>2342</f>
        <v>2342.0</v>
      </c>
      <c r="N103" s="34" t="s">
        <v>66</v>
      </c>
      <c r="O103" s="33" t="n">
        <f>2150</f>
        <v>2150.0</v>
      </c>
      <c r="P103" s="34" t="s">
        <v>50</v>
      </c>
      <c r="Q103" s="33" t="n">
        <f>2207</f>
        <v>2207.0</v>
      </c>
      <c r="R103" s="34" t="s">
        <v>51</v>
      </c>
      <c r="S103" s="35" t="n">
        <f>2262.64</f>
        <v>2262.64</v>
      </c>
      <c r="T103" s="32" t="n">
        <f>4683</f>
        <v>4683.0</v>
      </c>
      <c r="U103" s="32" t="str">
        <f>"－"</f>
        <v>－</v>
      </c>
      <c r="V103" s="32" t="n">
        <f>10599996</f>
        <v>1.0599996E7</v>
      </c>
      <c r="W103" s="32" t="str">
        <f>"－"</f>
        <v>－</v>
      </c>
      <c r="X103" s="36" t="n">
        <f>22</f>
        <v>22.0</v>
      </c>
    </row>
    <row r="104">
      <c r="A104" s="27" t="s">
        <v>42</v>
      </c>
      <c r="B104" s="27" t="s">
        <v>355</v>
      </c>
      <c r="C104" s="27" t="s">
        <v>356</v>
      </c>
      <c r="D104" s="27" t="s">
        <v>357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1.0</v>
      </c>
      <c r="K104" s="33" t="n">
        <f>25725</f>
        <v>25725.0</v>
      </c>
      <c r="L104" s="34" t="s">
        <v>48</v>
      </c>
      <c r="M104" s="33" t="n">
        <f>27200</f>
        <v>27200.0</v>
      </c>
      <c r="N104" s="34" t="s">
        <v>66</v>
      </c>
      <c r="O104" s="33" t="n">
        <f>24800</f>
        <v>24800.0</v>
      </c>
      <c r="P104" s="34" t="s">
        <v>50</v>
      </c>
      <c r="Q104" s="33" t="n">
        <f>25450</f>
        <v>25450.0</v>
      </c>
      <c r="R104" s="34" t="s">
        <v>51</v>
      </c>
      <c r="S104" s="35" t="n">
        <f>26217.95</f>
        <v>26217.95</v>
      </c>
      <c r="T104" s="32" t="n">
        <f>624838</f>
        <v>624838.0</v>
      </c>
      <c r="U104" s="32" t="n">
        <f>543517</f>
        <v>543517.0</v>
      </c>
      <c r="V104" s="32" t="n">
        <f>16548284178</f>
        <v>1.6548284178E10</v>
      </c>
      <c r="W104" s="32" t="n">
        <f>14397640503</f>
        <v>1.4397640503E10</v>
      </c>
      <c r="X104" s="36" t="n">
        <f>22</f>
        <v>22.0</v>
      </c>
    </row>
    <row r="105">
      <c r="A105" s="27" t="s">
        <v>42</v>
      </c>
      <c r="B105" s="27" t="s">
        <v>358</v>
      </c>
      <c r="C105" s="27" t="s">
        <v>359</v>
      </c>
      <c r="D105" s="27" t="s">
        <v>360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1.0</v>
      </c>
      <c r="K105" s="33" t="n">
        <f>2398</f>
        <v>2398.0</v>
      </c>
      <c r="L105" s="34" t="s">
        <v>48</v>
      </c>
      <c r="M105" s="33" t="n">
        <f>2496</f>
        <v>2496.0</v>
      </c>
      <c r="N105" s="34" t="s">
        <v>90</v>
      </c>
      <c r="O105" s="33" t="n">
        <f>2264</f>
        <v>2264.0</v>
      </c>
      <c r="P105" s="34" t="s">
        <v>50</v>
      </c>
      <c r="Q105" s="33" t="n">
        <f>2355</f>
        <v>2355.0</v>
      </c>
      <c r="R105" s="34" t="s">
        <v>51</v>
      </c>
      <c r="S105" s="35" t="n">
        <f>2403.64</f>
        <v>2403.64</v>
      </c>
      <c r="T105" s="32" t="n">
        <f>55271</f>
        <v>55271.0</v>
      </c>
      <c r="U105" s="32" t="str">
        <f>"－"</f>
        <v>－</v>
      </c>
      <c r="V105" s="32" t="n">
        <f>131893003</f>
        <v>1.31893003E8</v>
      </c>
      <c r="W105" s="32" t="str">
        <f>"－"</f>
        <v>－</v>
      </c>
      <c r="X105" s="36" t="n">
        <f>22</f>
        <v>22.0</v>
      </c>
    </row>
    <row r="106">
      <c r="A106" s="27" t="s">
        <v>42</v>
      </c>
      <c r="B106" s="27" t="s">
        <v>361</v>
      </c>
      <c r="C106" s="27" t="s">
        <v>362</v>
      </c>
      <c r="D106" s="27" t="s">
        <v>363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1.0</v>
      </c>
      <c r="K106" s="33" t="n">
        <f>26815</f>
        <v>26815.0</v>
      </c>
      <c r="L106" s="34" t="s">
        <v>48</v>
      </c>
      <c r="M106" s="33" t="n">
        <f>28105</f>
        <v>28105.0</v>
      </c>
      <c r="N106" s="34" t="s">
        <v>66</v>
      </c>
      <c r="O106" s="33" t="n">
        <f>25300</f>
        <v>25300.0</v>
      </c>
      <c r="P106" s="34" t="s">
        <v>50</v>
      </c>
      <c r="Q106" s="33" t="n">
        <f>26355</f>
        <v>26355.0</v>
      </c>
      <c r="R106" s="34" t="s">
        <v>51</v>
      </c>
      <c r="S106" s="35" t="n">
        <f>26990.23</f>
        <v>26990.23</v>
      </c>
      <c r="T106" s="32" t="n">
        <f>42722</f>
        <v>42722.0</v>
      </c>
      <c r="U106" s="32" t="n">
        <f>10210</f>
        <v>10210.0</v>
      </c>
      <c r="V106" s="32" t="n">
        <f>1138629455</f>
        <v>1.138629455E9</v>
      </c>
      <c r="W106" s="32" t="n">
        <f>262467875</f>
        <v>2.62467875E8</v>
      </c>
      <c r="X106" s="36" t="n">
        <f>22</f>
        <v>22.0</v>
      </c>
    </row>
    <row r="107">
      <c r="A107" s="27" t="s">
        <v>42</v>
      </c>
      <c r="B107" s="27" t="s">
        <v>364</v>
      </c>
      <c r="C107" s="27" t="s">
        <v>365</v>
      </c>
      <c r="D107" s="27" t="s">
        <v>366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10.0</v>
      </c>
      <c r="K107" s="33" t="n">
        <f>1777</f>
        <v>1777.0</v>
      </c>
      <c r="L107" s="34" t="s">
        <v>48</v>
      </c>
      <c r="M107" s="33" t="n">
        <f>1785</f>
        <v>1785.0</v>
      </c>
      <c r="N107" s="34" t="s">
        <v>108</v>
      </c>
      <c r="O107" s="33" t="n">
        <f>1734</f>
        <v>1734.0</v>
      </c>
      <c r="P107" s="34" t="s">
        <v>91</v>
      </c>
      <c r="Q107" s="33" t="n">
        <f>1765.5</f>
        <v>1765.5</v>
      </c>
      <c r="R107" s="34" t="s">
        <v>51</v>
      </c>
      <c r="S107" s="35" t="n">
        <f>1759.95</f>
        <v>1759.95</v>
      </c>
      <c r="T107" s="32" t="n">
        <f>2952740</f>
        <v>2952740.0</v>
      </c>
      <c r="U107" s="32" t="n">
        <f>537520</f>
        <v>537520.0</v>
      </c>
      <c r="V107" s="32" t="n">
        <f>5167538697</f>
        <v>5.167538697E9</v>
      </c>
      <c r="W107" s="32" t="n">
        <f>939687352</f>
        <v>9.39687352E8</v>
      </c>
      <c r="X107" s="36" t="n">
        <f>22</f>
        <v>22.0</v>
      </c>
    </row>
    <row r="108">
      <c r="A108" s="27" t="s">
        <v>42</v>
      </c>
      <c r="B108" s="27" t="s">
        <v>367</v>
      </c>
      <c r="C108" s="27" t="s">
        <v>368</v>
      </c>
      <c r="D108" s="27" t="s">
        <v>369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str">
        <f>"－"</f>
        <v>－</v>
      </c>
      <c r="L108" s="34"/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5" t="str">
        <f>"－"</f>
        <v>－</v>
      </c>
      <c r="T108" s="32" t="str">
        <f>"－"</f>
        <v>－</v>
      </c>
      <c r="U108" s="32" t="str">
        <f>"－"</f>
        <v>－</v>
      </c>
      <c r="V108" s="32" t="str">
        <f>"－"</f>
        <v>－</v>
      </c>
      <c r="W108" s="32" t="str">
        <f>"－"</f>
        <v>－</v>
      </c>
      <c r="X108" s="36" t="str">
        <f>"－"</f>
        <v>－</v>
      </c>
    </row>
    <row r="109">
      <c r="A109" s="27" t="s">
        <v>42</v>
      </c>
      <c r="B109" s="27" t="s">
        <v>370</v>
      </c>
      <c r="C109" s="27" t="s">
        <v>371</v>
      </c>
      <c r="D109" s="27" t="s">
        <v>372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10.0</v>
      </c>
      <c r="K109" s="33" t="n">
        <f>1781.5</f>
        <v>1781.5</v>
      </c>
      <c r="L109" s="34" t="s">
        <v>48</v>
      </c>
      <c r="M109" s="33" t="n">
        <f>1804</f>
        <v>1804.0</v>
      </c>
      <c r="N109" s="34" t="s">
        <v>108</v>
      </c>
      <c r="O109" s="33" t="n">
        <f>1748.5</f>
        <v>1748.5</v>
      </c>
      <c r="P109" s="34" t="s">
        <v>112</v>
      </c>
      <c r="Q109" s="33" t="n">
        <f>1780</f>
        <v>1780.0</v>
      </c>
      <c r="R109" s="34" t="s">
        <v>51</v>
      </c>
      <c r="S109" s="35" t="n">
        <f>1772.5</f>
        <v>1772.5</v>
      </c>
      <c r="T109" s="32" t="n">
        <f>2670430</f>
        <v>2670430.0</v>
      </c>
      <c r="U109" s="32" t="n">
        <f>1036620</f>
        <v>1036620.0</v>
      </c>
      <c r="V109" s="32" t="n">
        <f>4712940351</f>
        <v>4.712940351E9</v>
      </c>
      <c r="W109" s="32" t="n">
        <f>1826868086</f>
        <v>1.826868086E9</v>
      </c>
      <c r="X109" s="36" t="n">
        <f>22</f>
        <v>22.0</v>
      </c>
    </row>
    <row r="110">
      <c r="A110" s="27" t="s">
        <v>42</v>
      </c>
      <c r="B110" s="27" t="s">
        <v>373</v>
      </c>
      <c r="C110" s="27" t="s">
        <v>374</v>
      </c>
      <c r="D110" s="27" t="s">
        <v>375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26740</f>
        <v>26740.0</v>
      </c>
      <c r="L110" s="34" t="s">
        <v>48</v>
      </c>
      <c r="M110" s="33" t="n">
        <f>27415</f>
        <v>27415.0</v>
      </c>
      <c r="N110" s="34" t="s">
        <v>66</v>
      </c>
      <c r="O110" s="33" t="n">
        <f>25070</f>
        <v>25070.0</v>
      </c>
      <c r="P110" s="34" t="s">
        <v>91</v>
      </c>
      <c r="Q110" s="33" t="n">
        <f>26005</f>
        <v>26005.0</v>
      </c>
      <c r="R110" s="34" t="s">
        <v>51</v>
      </c>
      <c r="S110" s="35" t="n">
        <f>26515.23</f>
        <v>26515.23</v>
      </c>
      <c r="T110" s="32" t="n">
        <f>17538</f>
        <v>17538.0</v>
      </c>
      <c r="U110" s="32" t="n">
        <f>12501</f>
        <v>12501.0</v>
      </c>
      <c r="V110" s="32" t="n">
        <f>475533400</f>
        <v>4.755334E8</v>
      </c>
      <c r="W110" s="32" t="n">
        <f>341289665</f>
        <v>3.41289665E8</v>
      </c>
      <c r="X110" s="36" t="n">
        <f>22</f>
        <v>22.0</v>
      </c>
    </row>
    <row r="111">
      <c r="A111" s="27" t="s">
        <v>42</v>
      </c>
      <c r="B111" s="27" t="s">
        <v>376</v>
      </c>
      <c r="C111" s="27" t="s">
        <v>377</v>
      </c>
      <c r="D111" s="27" t="s">
        <v>378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10.0</v>
      </c>
      <c r="K111" s="33" t="n">
        <f>537.9</f>
        <v>537.9</v>
      </c>
      <c r="L111" s="34" t="s">
        <v>48</v>
      </c>
      <c r="M111" s="33" t="n">
        <f>570</f>
        <v>570.0</v>
      </c>
      <c r="N111" s="34" t="s">
        <v>66</v>
      </c>
      <c r="O111" s="33" t="n">
        <f>513</f>
        <v>513.0</v>
      </c>
      <c r="P111" s="34" t="s">
        <v>50</v>
      </c>
      <c r="Q111" s="33" t="n">
        <f>533.2</f>
        <v>533.2</v>
      </c>
      <c r="R111" s="34" t="s">
        <v>51</v>
      </c>
      <c r="S111" s="35" t="n">
        <f>543.64</f>
        <v>543.64</v>
      </c>
      <c r="T111" s="32" t="n">
        <f>727060</f>
        <v>727060.0</v>
      </c>
      <c r="U111" s="32" t="n">
        <f>180000</f>
        <v>180000.0</v>
      </c>
      <c r="V111" s="32" t="n">
        <f>391945710</f>
        <v>3.9194571E8</v>
      </c>
      <c r="W111" s="32" t="n">
        <f>93564000</f>
        <v>9.3564E7</v>
      </c>
      <c r="X111" s="36" t="n">
        <f>22</f>
        <v>22.0</v>
      </c>
    </row>
    <row r="112">
      <c r="A112" s="27" t="s">
        <v>42</v>
      </c>
      <c r="B112" s="27" t="s">
        <v>379</v>
      </c>
      <c r="C112" s="27" t="s">
        <v>380</v>
      </c>
      <c r="D112" s="27" t="s">
        <v>381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100.0</v>
      </c>
      <c r="K112" s="33" t="n">
        <f>371.1</f>
        <v>371.1</v>
      </c>
      <c r="L112" s="34" t="s">
        <v>48</v>
      </c>
      <c r="M112" s="33" t="n">
        <f>387.2</f>
        <v>387.2</v>
      </c>
      <c r="N112" s="34" t="s">
        <v>49</v>
      </c>
      <c r="O112" s="33" t="n">
        <f>346.5</f>
        <v>346.5</v>
      </c>
      <c r="P112" s="34" t="s">
        <v>50</v>
      </c>
      <c r="Q112" s="33" t="n">
        <f>366.5</f>
        <v>366.5</v>
      </c>
      <c r="R112" s="34" t="s">
        <v>51</v>
      </c>
      <c r="S112" s="35" t="n">
        <f>368.08</f>
        <v>368.08</v>
      </c>
      <c r="T112" s="32" t="n">
        <f>160811500</f>
        <v>1.608115E8</v>
      </c>
      <c r="U112" s="32" t="n">
        <f>63131600</f>
        <v>6.31316E7</v>
      </c>
      <c r="V112" s="32" t="n">
        <f>59382164752</f>
        <v>5.9382164752E10</v>
      </c>
      <c r="W112" s="32" t="n">
        <f>23308035832</f>
        <v>2.3308035832E10</v>
      </c>
      <c r="X112" s="36" t="n">
        <f>22</f>
        <v>22.0</v>
      </c>
    </row>
    <row r="113">
      <c r="A113" s="27" t="s">
        <v>42</v>
      </c>
      <c r="B113" s="27" t="s">
        <v>382</v>
      </c>
      <c r="C113" s="27" t="s">
        <v>383</v>
      </c>
      <c r="D113" s="27" t="s">
        <v>384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38560</f>
        <v>38560.0</v>
      </c>
      <c r="L113" s="34" t="s">
        <v>48</v>
      </c>
      <c r="M113" s="33" t="n">
        <f>39770</f>
        <v>39770.0</v>
      </c>
      <c r="N113" s="34" t="s">
        <v>385</v>
      </c>
      <c r="O113" s="33" t="n">
        <f>38210</f>
        <v>38210.0</v>
      </c>
      <c r="P113" s="34" t="s">
        <v>58</v>
      </c>
      <c r="Q113" s="33" t="n">
        <f>39440</f>
        <v>39440.0</v>
      </c>
      <c r="R113" s="34" t="s">
        <v>51</v>
      </c>
      <c r="S113" s="35" t="n">
        <f>39008.18</f>
        <v>39008.18</v>
      </c>
      <c r="T113" s="32" t="n">
        <f>7534</f>
        <v>7534.0</v>
      </c>
      <c r="U113" s="32" t="n">
        <f>3011</f>
        <v>3011.0</v>
      </c>
      <c r="V113" s="32" t="n">
        <f>291852505</f>
        <v>2.91852505E8</v>
      </c>
      <c r="W113" s="32" t="n">
        <f>115674255</f>
        <v>1.15674255E8</v>
      </c>
      <c r="X113" s="36" t="n">
        <f>22</f>
        <v>22.0</v>
      </c>
    </row>
    <row r="114">
      <c r="A114" s="27" t="s">
        <v>42</v>
      </c>
      <c r="B114" s="27" t="s">
        <v>386</v>
      </c>
      <c r="C114" s="27" t="s">
        <v>387</v>
      </c>
      <c r="D114" s="27" t="s">
        <v>388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23655</f>
        <v>23655.0</v>
      </c>
      <c r="L114" s="34" t="s">
        <v>48</v>
      </c>
      <c r="M114" s="33" t="n">
        <f>24620</f>
        <v>24620.0</v>
      </c>
      <c r="N114" s="34" t="s">
        <v>70</v>
      </c>
      <c r="O114" s="33" t="n">
        <f>21255</f>
        <v>21255.0</v>
      </c>
      <c r="P114" s="34" t="s">
        <v>91</v>
      </c>
      <c r="Q114" s="33" t="n">
        <f>22220</f>
        <v>22220.0</v>
      </c>
      <c r="R114" s="34" t="s">
        <v>51</v>
      </c>
      <c r="S114" s="35" t="n">
        <f>23068.41</f>
        <v>23068.41</v>
      </c>
      <c r="T114" s="32" t="n">
        <f>18809</f>
        <v>18809.0</v>
      </c>
      <c r="U114" s="32" t="n">
        <f>48</f>
        <v>48.0</v>
      </c>
      <c r="V114" s="32" t="n">
        <f>437388898</f>
        <v>4.37388898E8</v>
      </c>
      <c r="W114" s="32" t="n">
        <f>1128703</f>
        <v>1128703.0</v>
      </c>
      <c r="X114" s="36" t="n">
        <f>22</f>
        <v>22.0</v>
      </c>
    </row>
    <row r="115">
      <c r="A115" s="27" t="s">
        <v>42</v>
      </c>
      <c r="B115" s="27" t="s">
        <v>389</v>
      </c>
      <c r="C115" s="27" t="s">
        <v>390</v>
      </c>
      <c r="D115" s="27" t="s">
        <v>391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30820</f>
        <v>30820.0</v>
      </c>
      <c r="L115" s="34" t="s">
        <v>48</v>
      </c>
      <c r="M115" s="33" t="n">
        <f>31460</f>
        <v>31460.0</v>
      </c>
      <c r="N115" s="34" t="s">
        <v>90</v>
      </c>
      <c r="O115" s="33" t="n">
        <f>29900</f>
        <v>29900.0</v>
      </c>
      <c r="P115" s="34" t="s">
        <v>91</v>
      </c>
      <c r="Q115" s="33" t="n">
        <f>31300</f>
        <v>31300.0</v>
      </c>
      <c r="R115" s="34" t="s">
        <v>51</v>
      </c>
      <c r="S115" s="35" t="n">
        <f>30935.91</f>
        <v>30935.91</v>
      </c>
      <c r="T115" s="32" t="n">
        <f>4640</f>
        <v>4640.0</v>
      </c>
      <c r="U115" s="32" t="str">
        <f>"－"</f>
        <v>－</v>
      </c>
      <c r="V115" s="32" t="n">
        <f>143018730</f>
        <v>1.4301873E8</v>
      </c>
      <c r="W115" s="32" t="str">
        <f>"－"</f>
        <v>－</v>
      </c>
      <c r="X115" s="36" t="n">
        <f>22</f>
        <v>22.0</v>
      </c>
    </row>
    <row r="116">
      <c r="A116" s="27" t="s">
        <v>42</v>
      </c>
      <c r="B116" s="27" t="s">
        <v>392</v>
      </c>
      <c r="C116" s="27" t="s">
        <v>393</v>
      </c>
      <c r="D116" s="27" t="s">
        <v>394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32170</f>
        <v>32170.0</v>
      </c>
      <c r="L116" s="34" t="s">
        <v>48</v>
      </c>
      <c r="M116" s="33" t="n">
        <f>32900</f>
        <v>32900.0</v>
      </c>
      <c r="N116" s="34" t="s">
        <v>188</v>
      </c>
      <c r="O116" s="33" t="n">
        <f>30780</f>
        <v>30780.0</v>
      </c>
      <c r="P116" s="34" t="s">
        <v>50</v>
      </c>
      <c r="Q116" s="33" t="n">
        <f>32000</f>
        <v>32000.0</v>
      </c>
      <c r="R116" s="34" t="s">
        <v>51</v>
      </c>
      <c r="S116" s="35" t="n">
        <f>32157.73</f>
        <v>32157.73</v>
      </c>
      <c r="T116" s="32" t="n">
        <f>4795</f>
        <v>4795.0</v>
      </c>
      <c r="U116" s="32" t="n">
        <f>1</f>
        <v>1.0</v>
      </c>
      <c r="V116" s="32" t="n">
        <f>154470940</f>
        <v>1.5447094E8</v>
      </c>
      <c r="W116" s="32" t="n">
        <f>31800</f>
        <v>31800.0</v>
      </c>
      <c r="X116" s="36" t="n">
        <f>22</f>
        <v>22.0</v>
      </c>
    </row>
    <row r="117">
      <c r="A117" s="27" t="s">
        <v>42</v>
      </c>
      <c r="B117" s="27" t="s">
        <v>395</v>
      </c>
      <c r="C117" s="27" t="s">
        <v>396</v>
      </c>
      <c r="D117" s="27" t="s">
        <v>397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28735</f>
        <v>28735.0</v>
      </c>
      <c r="L117" s="34" t="s">
        <v>48</v>
      </c>
      <c r="M117" s="33" t="n">
        <f>30680</f>
        <v>30680.0</v>
      </c>
      <c r="N117" s="34" t="s">
        <v>51</v>
      </c>
      <c r="O117" s="33" t="n">
        <f>28725</f>
        <v>28725.0</v>
      </c>
      <c r="P117" s="34" t="s">
        <v>48</v>
      </c>
      <c r="Q117" s="33" t="n">
        <f>30680</f>
        <v>30680.0</v>
      </c>
      <c r="R117" s="34" t="s">
        <v>51</v>
      </c>
      <c r="S117" s="35" t="n">
        <f>29849.09</f>
        <v>29849.09</v>
      </c>
      <c r="T117" s="32" t="n">
        <f>7498</f>
        <v>7498.0</v>
      </c>
      <c r="U117" s="32" t="n">
        <f>32</f>
        <v>32.0</v>
      </c>
      <c r="V117" s="32" t="n">
        <f>222488293</f>
        <v>2.22488293E8</v>
      </c>
      <c r="W117" s="32" t="n">
        <f>955273</f>
        <v>955273.0</v>
      </c>
      <c r="X117" s="36" t="n">
        <f>22</f>
        <v>22.0</v>
      </c>
    </row>
    <row r="118">
      <c r="A118" s="27" t="s">
        <v>42</v>
      </c>
      <c r="B118" s="27" t="s">
        <v>398</v>
      </c>
      <c r="C118" s="27" t="s">
        <v>399</v>
      </c>
      <c r="D118" s="27" t="s">
        <v>400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35370</f>
        <v>35370.0</v>
      </c>
      <c r="L118" s="34" t="s">
        <v>48</v>
      </c>
      <c r="M118" s="33" t="n">
        <f>36200</f>
        <v>36200.0</v>
      </c>
      <c r="N118" s="34" t="s">
        <v>58</v>
      </c>
      <c r="O118" s="33" t="n">
        <f>31340</f>
        <v>31340.0</v>
      </c>
      <c r="P118" s="34" t="s">
        <v>50</v>
      </c>
      <c r="Q118" s="33" t="n">
        <f>32280</f>
        <v>32280.0</v>
      </c>
      <c r="R118" s="34" t="s">
        <v>51</v>
      </c>
      <c r="S118" s="35" t="n">
        <f>34033.64</f>
        <v>34033.64</v>
      </c>
      <c r="T118" s="32" t="n">
        <f>19141</f>
        <v>19141.0</v>
      </c>
      <c r="U118" s="32" t="n">
        <f>162</f>
        <v>162.0</v>
      </c>
      <c r="V118" s="32" t="n">
        <f>658171205</f>
        <v>6.58171205E8</v>
      </c>
      <c r="W118" s="32" t="n">
        <f>5448365</f>
        <v>5448365.0</v>
      </c>
      <c r="X118" s="36" t="n">
        <f>22</f>
        <v>22.0</v>
      </c>
    </row>
    <row r="119">
      <c r="A119" s="27" t="s">
        <v>42</v>
      </c>
      <c r="B119" s="27" t="s">
        <v>401</v>
      </c>
      <c r="C119" s="27" t="s">
        <v>402</v>
      </c>
      <c r="D119" s="27" t="s">
        <v>403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27710</f>
        <v>27710.0</v>
      </c>
      <c r="L119" s="34" t="s">
        <v>48</v>
      </c>
      <c r="M119" s="33" t="n">
        <f>28320</f>
        <v>28320.0</v>
      </c>
      <c r="N119" s="34" t="s">
        <v>49</v>
      </c>
      <c r="O119" s="33" t="n">
        <f>24965</f>
        <v>24965.0</v>
      </c>
      <c r="P119" s="34" t="s">
        <v>50</v>
      </c>
      <c r="Q119" s="33" t="n">
        <f>26075</f>
        <v>26075.0</v>
      </c>
      <c r="R119" s="34" t="s">
        <v>51</v>
      </c>
      <c r="S119" s="35" t="n">
        <f>26950</f>
        <v>26950.0</v>
      </c>
      <c r="T119" s="32" t="n">
        <f>9329</f>
        <v>9329.0</v>
      </c>
      <c r="U119" s="32" t="n">
        <f>4002</f>
        <v>4002.0</v>
      </c>
      <c r="V119" s="32" t="n">
        <f>250059063</f>
        <v>2.50059063E8</v>
      </c>
      <c r="W119" s="32" t="n">
        <f>105689498</f>
        <v>1.05689498E8</v>
      </c>
      <c r="X119" s="36" t="n">
        <f>22</f>
        <v>22.0</v>
      </c>
    </row>
    <row r="120">
      <c r="A120" s="27" t="s">
        <v>42</v>
      </c>
      <c r="B120" s="27" t="s">
        <v>404</v>
      </c>
      <c r="C120" s="27" t="s">
        <v>405</v>
      </c>
      <c r="D120" s="27" t="s">
        <v>406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62180</f>
        <v>62180.0</v>
      </c>
      <c r="L120" s="34" t="s">
        <v>48</v>
      </c>
      <c r="M120" s="33" t="n">
        <f>65220</f>
        <v>65220.0</v>
      </c>
      <c r="N120" s="34" t="s">
        <v>112</v>
      </c>
      <c r="O120" s="33" t="n">
        <f>56370</f>
        <v>56370.0</v>
      </c>
      <c r="P120" s="34" t="s">
        <v>91</v>
      </c>
      <c r="Q120" s="33" t="n">
        <f>58330</f>
        <v>58330.0</v>
      </c>
      <c r="R120" s="34" t="s">
        <v>51</v>
      </c>
      <c r="S120" s="35" t="n">
        <f>61601.82</f>
        <v>61601.82</v>
      </c>
      <c r="T120" s="32" t="n">
        <f>5254</f>
        <v>5254.0</v>
      </c>
      <c r="U120" s="32" t="n">
        <f>58</f>
        <v>58.0</v>
      </c>
      <c r="V120" s="32" t="n">
        <f>327044360</f>
        <v>3.2704436E8</v>
      </c>
      <c r="W120" s="32" t="n">
        <f>3460800</f>
        <v>3460800.0</v>
      </c>
      <c r="X120" s="36" t="n">
        <f>22</f>
        <v>22.0</v>
      </c>
    </row>
    <row r="121">
      <c r="A121" s="27" t="s">
        <v>42</v>
      </c>
      <c r="B121" s="27" t="s">
        <v>407</v>
      </c>
      <c r="C121" s="27" t="s">
        <v>408</v>
      </c>
      <c r="D121" s="27" t="s">
        <v>409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39910</f>
        <v>39910.0</v>
      </c>
      <c r="L121" s="34" t="s">
        <v>48</v>
      </c>
      <c r="M121" s="33" t="n">
        <f>42480</f>
        <v>42480.0</v>
      </c>
      <c r="N121" s="34" t="s">
        <v>188</v>
      </c>
      <c r="O121" s="33" t="n">
        <f>36480</f>
        <v>36480.0</v>
      </c>
      <c r="P121" s="34" t="s">
        <v>50</v>
      </c>
      <c r="Q121" s="33" t="n">
        <f>38120</f>
        <v>38120.0</v>
      </c>
      <c r="R121" s="34" t="s">
        <v>51</v>
      </c>
      <c r="S121" s="35" t="n">
        <f>39856.36</f>
        <v>39856.36</v>
      </c>
      <c r="T121" s="32" t="n">
        <f>12814</f>
        <v>12814.0</v>
      </c>
      <c r="U121" s="32" t="n">
        <f>21</f>
        <v>21.0</v>
      </c>
      <c r="V121" s="32" t="n">
        <f>516094880</f>
        <v>5.1609488E8</v>
      </c>
      <c r="W121" s="32" t="n">
        <f>848370</f>
        <v>848370.0</v>
      </c>
      <c r="X121" s="36" t="n">
        <f>22</f>
        <v>22.0</v>
      </c>
    </row>
    <row r="122">
      <c r="A122" s="27" t="s">
        <v>42</v>
      </c>
      <c r="B122" s="27" t="s">
        <v>410</v>
      </c>
      <c r="C122" s="27" t="s">
        <v>411</v>
      </c>
      <c r="D122" s="27" t="s">
        <v>412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35640</f>
        <v>35640.0</v>
      </c>
      <c r="L122" s="34" t="s">
        <v>48</v>
      </c>
      <c r="M122" s="33" t="n">
        <f>37150</f>
        <v>37150.0</v>
      </c>
      <c r="N122" s="34" t="s">
        <v>188</v>
      </c>
      <c r="O122" s="33" t="n">
        <f>34180</f>
        <v>34180.0</v>
      </c>
      <c r="P122" s="34" t="s">
        <v>50</v>
      </c>
      <c r="Q122" s="33" t="n">
        <f>34920</f>
        <v>34920.0</v>
      </c>
      <c r="R122" s="34" t="s">
        <v>51</v>
      </c>
      <c r="S122" s="35" t="n">
        <f>35862.73</f>
        <v>35862.73</v>
      </c>
      <c r="T122" s="32" t="n">
        <f>6634</f>
        <v>6634.0</v>
      </c>
      <c r="U122" s="32" t="n">
        <f>4</f>
        <v>4.0</v>
      </c>
      <c r="V122" s="32" t="n">
        <f>241778645</f>
        <v>2.41778645E8</v>
      </c>
      <c r="W122" s="32" t="n">
        <f>144065</f>
        <v>144065.0</v>
      </c>
      <c r="X122" s="36" t="n">
        <f>22</f>
        <v>22.0</v>
      </c>
    </row>
    <row r="123">
      <c r="A123" s="27" t="s">
        <v>42</v>
      </c>
      <c r="B123" s="27" t="s">
        <v>413</v>
      </c>
      <c r="C123" s="27" t="s">
        <v>414</v>
      </c>
      <c r="D123" s="27" t="s">
        <v>415</v>
      </c>
      <c r="E123" s="28" t="s">
        <v>46</v>
      </c>
      <c r="F123" s="29" t="s">
        <v>46</v>
      </c>
      <c r="G123" s="30" t="s">
        <v>46</v>
      </c>
      <c r="H123" s="31"/>
      <c r="I123" s="31" t="s">
        <v>47</v>
      </c>
      <c r="J123" s="32" t="n">
        <v>1.0</v>
      </c>
      <c r="K123" s="33" t="n">
        <f>9993</f>
        <v>9993.0</v>
      </c>
      <c r="L123" s="34" t="s">
        <v>48</v>
      </c>
      <c r="M123" s="33" t="n">
        <f>10020</f>
        <v>10020.0</v>
      </c>
      <c r="N123" s="34" t="s">
        <v>58</v>
      </c>
      <c r="O123" s="33" t="n">
        <f>8999</f>
        <v>8999.0</v>
      </c>
      <c r="P123" s="34" t="s">
        <v>50</v>
      </c>
      <c r="Q123" s="33" t="n">
        <f>9360</f>
        <v>9360.0</v>
      </c>
      <c r="R123" s="34" t="s">
        <v>51</v>
      </c>
      <c r="S123" s="35" t="n">
        <f>9593.14</f>
        <v>9593.14</v>
      </c>
      <c r="T123" s="32" t="n">
        <f>92411</f>
        <v>92411.0</v>
      </c>
      <c r="U123" s="32" t="n">
        <f>5291</f>
        <v>5291.0</v>
      </c>
      <c r="V123" s="32" t="n">
        <f>888049704</f>
        <v>8.88049704E8</v>
      </c>
      <c r="W123" s="32" t="n">
        <f>51288106</f>
        <v>5.1288106E7</v>
      </c>
      <c r="X123" s="36" t="n">
        <f>22</f>
        <v>22.0</v>
      </c>
    </row>
    <row r="124">
      <c r="A124" s="27" t="s">
        <v>42</v>
      </c>
      <c r="B124" s="27" t="s">
        <v>416</v>
      </c>
      <c r="C124" s="27" t="s">
        <v>417</v>
      </c>
      <c r="D124" s="27" t="s">
        <v>418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18240</f>
        <v>18240.0</v>
      </c>
      <c r="L124" s="34" t="s">
        <v>48</v>
      </c>
      <c r="M124" s="33" t="n">
        <f>18610</f>
        <v>18610.0</v>
      </c>
      <c r="N124" s="34" t="s">
        <v>58</v>
      </c>
      <c r="O124" s="33" t="n">
        <f>17630</f>
        <v>17630.0</v>
      </c>
      <c r="P124" s="34" t="s">
        <v>50</v>
      </c>
      <c r="Q124" s="33" t="n">
        <f>18290</f>
        <v>18290.0</v>
      </c>
      <c r="R124" s="34" t="s">
        <v>51</v>
      </c>
      <c r="S124" s="35" t="n">
        <f>18100</f>
        <v>18100.0</v>
      </c>
      <c r="T124" s="32" t="n">
        <f>17871</f>
        <v>17871.0</v>
      </c>
      <c r="U124" s="32" t="n">
        <f>5577</f>
        <v>5577.0</v>
      </c>
      <c r="V124" s="32" t="n">
        <f>323778827</f>
        <v>3.23778827E8</v>
      </c>
      <c r="W124" s="32" t="n">
        <f>101436367</f>
        <v>1.01436367E8</v>
      </c>
      <c r="X124" s="36" t="n">
        <f>22</f>
        <v>22.0</v>
      </c>
    </row>
    <row r="125">
      <c r="A125" s="27" t="s">
        <v>42</v>
      </c>
      <c r="B125" s="27" t="s">
        <v>419</v>
      </c>
      <c r="C125" s="27" t="s">
        <v>420</v>
      </c>
      <c r="D125" s="27" t="s">
        <v>421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92940</f>
        <v>92940.0</v>
      </c>
      <c r="L125" s="34" t="s">
        <v>48</v>
      </c>
      <c r="M125" s="33" t="n">
        <f>96310</f>
        <v>96310.0</v>
      </c>
      <c r="N125" s="34" t="s">
        <v>49</v>
      </c>
      <c r="O125" s="33" t="n">
        <f>86880</f>
        <v>86880.0</v>
      </c>
      <c r="P125" s="34" t="s">
        <v>50</v>
      </c>
      <c r="Q125" s="33" t="n">
        <f>90170</f>
        <v>90170.0</v>
      </c>
      <c r="R125" s="34" t="s">
        <v>51</v>
      </c>
      <c r="S125" s="35" t="n">
        <f>92693.64</f>
        <v>92693.64</v>
      </c>
      <c r="T125" s="32" t="n">
        <f>32791</f>
        <v>32791.0</v>
      </c>
      <c r="U125" s="32" t="n">
        <f>6571</f>
        <v>6571.0</v>
      </c>
      <c r="V125" s="32" t="n">
        <f>3024077680</f>
        <v>3.02407768E9</v>
      </c>
      <c r="W125" s="32" t="n">
        <f>602317630</f>
        <v>6.0231763E8</v>
      </c>
      <c r="X125" s="36" t="n">
        <f>22</f>
        <v>22.0</v>
      </c>
    </row>
    <row r="126">
      <c r="A126" s="27" t="s">
        <v>42</v>
      </c>
      <c r="B126" s="27" t="s">
        <v>422</v>
      </c>
      <c r="C126" s="27" t="s">
        <v>423</v>
      </c>
      <c r="D126" s="27" t="s">
        <v>424</v>
      </c>
      <c r="E126" s="28" t="s">
        <v>46</v>
      </c>
      <c r="F126" s="29" t="s">
        <v>46</v>
      </c>
      <c r="G126" s="30" t="s">
        <v>46</v>
      </c>
      <c r="H126" s="31"/>
      <c r="I126" s="31" t="s">
        <v>425</v>
      </c>
      <c r="J126" s="32" t="n">
        <v>1.0</v>
      </c>
      <c r="K126" s="33" t="n">
        <f>10530</f>
        <v>10530.0</v>
      </c>
      <c r="L126" s="34" t="s">
        <v>48</v>
      </c>
      <c r="M126" s="33" t="n">
        <f>11195</f>
        <v>11195.0</v>
      </c>
      <c r="N126" s="34" t="s">
        <v>66</v>
      </c>
      <c r="O126" s="33" t="n">
        <f>9916</f>
        <v>9916.0</v>
      </c>
      <c r="P126" s="34" t="s">
        <v>50</v>
      </c>
      <c r="Q126" s="33" t="n">
        <f>10175</f>
        <v>10175.0</v>
      </c>
      <c r="R126" s="34" t="s">
        <v>51</v>
      </c>
      <c r="S126" s="35" t="n">
        <f>10597.27</f>
        <v>10597.27</v>
      </c>
      <c r="T126" s="32" t="n">
        <f>31491</f>
        <v>31491.0</v>
      </c>
      <c r="U126" s="32" t="str">
        <f>"－"</f>
        <v>－</v>
      </c>
      <c r="V126" s="32" t="n">
        <f>334328371</f>
        <v>3.34328371E8</v>
      </c>
      <c r="W126" s="32" t="str">
        <f>"－"</f>
        <v>－</v>
      </c>
      <c r="X126" s="36" t="n">
        <f>22</f>
        <v>22.0</v>
      </c>
    </row>
    <row r="127">
      <c r="A127" s="27" t="s">
        <v>42</v>
      </c>
      <c r="B127" s="27" t="s">
        <v>426</v>
      </c>
      <c r="C127" s="27" t="s">
        <v>427</v>
      </c>
      <c r="D127" s="27" t="s">
        <v>428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28800</f>
        <v>28800.0</v>
      </c>
      <c r="L127" s="34" t="s">
        <v>48</v>
      </c>
      <c r="M127" s="33" t="n">
        <f>30000</f>
        <v>30000.0</v>
      </c>
      <c r="N127" s="34" t="s">
        <v>66</v>
      </c>
      <c r="O127" s="33" t="n">
        <f>28045</f>
        <v>28045.0</v>
      </c>
      <c r="P127" s="34" t="s">
        <v>50</v>
      </c>
      <c r="Q127" s="33" t="n">
        <f>28880</f>
        <v>28880.0</v>
      </c>
      <c r="R127" s="34" t="s">
        <v>51</v>
      </c>
      <c r="S127" s="35" t="n">
        <f>28863.41</f>
        <v>28863.41</v>
      </c>
      <c r="T127" s="32" t="n">
        <f>9950</f>
        <v>9950.0</v>
      </c>
      <c r="U127" s="32" t="n">
        <f>2</f>
        <v>2.0</v>
      </c>
      <c r="V127" s="32" t="n">
        <f>289220685</f>
        <v>2.89220685E8</v>
      </c>
      <c r="W127" s="32" t="n">
        <f>57355</f>
        <v>57355.0</v>
      </c>
      <c r="X127" s="36" t="n">
        <f>22</f>
        <v>22.0</v>
      </c>
    </row>
    <row r="128">
      <c r="A128" s="27" t="s">
        <v>42</v>
      </c>
      <c r="B128" s="27" t="s">
        <v>429</v>
      </c>
      <c r="C128" s="27" t="s">
        <v>430</v>
      </c>
      <c r="D128" s="27" t="s">
        <v>431</v>
      </c>
      <c r="E128" s="28" t="s">
        <v>46</v>
      </c>
      <c r="F128" s="29" t="s">
        <v>46</v>
      </c>
      <c r="G128" s="30" t="s">
        <v>46</v>
      </c>
      <c r="H128" s="31"/>
      <c r="I128" s="31" t="s">
        <v>47</v>
      </c>
      <c r="J128" s="32" t="n">
        <v>1.0</v>
      </c>
      <c r="K128" s="33" t="n">
        <f>19635</f>
        <v>19635.0</v>
      </c>
      <c r="L128" s="34" t="s">
        <v>48</v>
      </c>
      <c r="M128" s="33" t="n">
        <f>20430</f>
        <v>20430.0</v>
      </c>
      <c r="N128" s="34" t="s">
        <v>49</v>
      </c>
      <c r="O128" s="33" t="n">
        <f>18425</f>
        <v>18425.0</v>
      </c>
      <c r="P128" s="34" t="s">
        <v>50</v>
      </c>
      <c r="Q128" s="33" t="n">
        <f>19640</f>
        <v>19640.0</v>
      </c>
      <c r="R128" s="34" t="s">
        <v>51</v>
      </c>
      <c r="S128" s="35" t="n">
        <f>19559.77</f>
        <v>19559.77</v>
      </c>
      <c r="T128" s="32" t="n">
        <f>279238</f>
        <v>279238.0</v>
      </c>
      <c r="U128" s="32" t="n">
        <f>166999</f>
        <v>166999.0</v>
      </c>
      <c r="V128" s="32" t="n">
        <f>5509261463</f>
        <v>5.509261463E9</v>
      </c>
      <c r="W128" s="32" t="n">
        <f>3323497793</f>
        <v>3.323497793E9</v>
      </c>
      <c r="X128" s="36" t="n">
        <f>22</f>
        <v>22.0</v>
      </c>
    </row>
    <row r="129">
      <c r="A129" s="27" t="s">
        <v>42</v>
      </c>
      <c r="B129" s="27" t="s">
        <v>432</v>
      </c>
      <c r="C129" s="27" t="s">
        <v>433</v>
      </c>
      <c r="D129" s="27" t="s">
        <v>434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29385</f>
        <v>29385.0</v>
      </c>
      <c r="L129" s="34" t="s">
        <v>48</v>
      </c>
      <c r="M129" s="33" t="n">
        <f>31230</f>
        <v>31230.0</v>
      </c>
      <c r="N129" s="34" t="s">
        <v>66</v>
      </c>
      <c r="O129" s="33" t="n">
        <f>27000</f>
        <v>27000.0</v>
      </c>
      <c r="P129" s="34" t="s">
        <v>91</v>
      </c>
      <c r="Q129" s="33" t="n">
        <f>29630</f>
        <v>29630.0</v>
      </c>
      <c r="R129" s="34" t="s">
        <v>51</v>
      </c>
      <c r="S129" s="35" t="n">
        <f>29654.55</f>
        <v>29654.55</v>
      </c>
      <c r="T129" s="32" t="n">
        <f>129464</f>
        <v>129464.0</v>
      </c>
      <c r="U129" s="32" t="n">
        <f>86</f>
        <v>86.0</v>
      </c>
      <c r="V129" s="32" t="n">
        <f>3759326714</f>
        <v>3.759326714E9</v>
      </c>
      <c r="W129" s="32" t="n">
        <f>2585794</f>
        <v>2585794.0</v>
      </c>
      <c r="X129" s="36" t="n">
        <f>22</f>
        <v>22.0</v>
      </c>
    </row>
    <row r="130">
      <c r="A130" s="27" t="s">
        <v>42</v>
      </c>
      <c r="B130" s="27" t="s">
        <v>435</v>
      </c>
      <c r="C130" s="27" t="s">
        <v>436</v>
      </c>
      <c r="D130" s="27" t="s">
        <v>437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1.0</v>
      </c>
      <c r="K130" s="33" t="n">
        <f>40450</f>
        <v>40450.0</v>
      </c>
      <c r="L130" s="34" t="s">
        <v>48</v>
      </c>
      <c r="M130" s="33" t="n">
        <f>42360</f>
        <v>42360.0</v>
      </c>
      <c r="N130" s="34" t="s">
        <v>108</v>
      </c>
      <c r="O130" s="33" t="n">
        <f>39600</f>
        <v>39600.0</v>
      </c>
      <c r="P130" s="34" t="s">
        <v>50</v>
      </c>
      <c r="Q130" s="33" t="n">
        <f>41680</f>
        <v>41680.0</v>
      </c>
      <c r="R130" s="34" t="s">
        <v>51</v>
      </c>
      <c r="S130" s="35" t="n">
        <f>41040</f>
        <v>41040.0</v>
      </c>
      <c r="T130" s="32" t="n">
        <f>9948</f>
        <v>9948.0</v>
      </c>
      <c r="U130" s="32" t="n">
        <f>90</f>
        <v>90.0</v>
      </c>
      <c r="V130" s="32" t="n">
        <f>408367595</f>
        <v>4.08367595E8</v>
      </c>
      <c r="W130" s="32" t="n">
        <f>3642065</f>
        <v>3642065.0</v>
      </c>
      <c r="X130" s="36" t="n">
        <f>22</f>
        <v>22.0</v>
      </c>
    </row>
    <row r="131">
      <c r="A131" s="27" t="s">
        <v>42</v>
      </c>
      <c r="B131" s="27" t="s">
        <v>438</v>
      </c>
      <c r="C131" s="27" t="s">
        <v>439</v>
      </c>
      <c r="D131" s="27" t="s">
        <v>440</v>
      </c>
      <c r="E131" s="28" t="s">
        <v>46</v>
      </c>
      <c r="F131" s="29" t="s">
        <v>46</v>
      </c>
      <c r="G131" s="30" t="s">
        <v>46</v>
      </c>
      <c r="H131" s="31"/>
      <c r="I131" s="31" t="s">
        <v>425</v>
      </c>
      <c r="J131" s="32" t="n">
        <v>1.0</v>
      </c>
      <c r="K131" s="33" t="n">
        <f>10195</f>
        <v>10195.0</v>
      </c>
      <c r="L131" s="34" t="s">
        <v>48</v>
      </c>
      <c r="M131" s="33" t="n">
        <f>11000</f>
        <v>11000.0</v>
      </c>
      <c r="N131" s="34" t="s">
        <v>66</v>
      </c>
      <c r="O131" s="33" t="n">
        <f>8791</f>
        <v>8791.0</v>
      </c>
      <c r="P131" s="34" t="s">
        <v>50</v>
      </c>
      <c r="Q131" s="33" t="n">
        <f>9339</f>
        <v>9339.0</v>
      </c>
      <c r="R131" s="34" t="s">
        <v>51</v>
      </c>
      <c r="S131" s="35" t="n">
        <f>9984.82</f>
        <v>9984.82</v>
      </c>
      <c r="T131" s="32" t="n">
        <f>201330</f>
        <v>201330.0</v>
      </c>
      <c r="U131" s="32" t="n">
        <f>17008</f>
        <v>17008.0</v>
      </c>
      <c r="V131" s="32" t="n">
        <f>2025902757</f>
        <v>2.025902757E9</v>
      </c>
      <c r="W131" s="32" t="n">
        <f>174007250</f>
        <v>1.7400725E8</v>
      </c>
      <c r="X131" s="36" t="n">
        <f>22</f>
        <v>22.0</v>
      </c>
    </row>
    <row r="132">
      <c r="A132" s="27" t="s">
        <v>42</v>
      </c>
      <c r="B132" s="27" t="s">
        <v>441</v>
      </c>
      <c r="C132" s="27" t="s">
        <v>442</v>
      </c>
      <c r="D132" s="27" t="s">
        <v>443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1.0</v>
      </c>
      <c r="K132" s="33" t="n">
        <f>2109</f>
        <v>2109.0</v>
      </c>
      <c r="L132" s="34" t="s">
        <v>48</v>
      </c>
      <c r="M132" s="33" t="n">
        <f>2198</f>
        <v>2198.0</v>
      </c>
      <c r="N132" s="34" t="s">
        <v>66</v>
      </c>
      <c r="O132" s="33" t="n">
        <f>2023</f>
        <v>2023.0</v>
      </c>
      <c r="P132" s="34" t="s">
        <v>50</v>
      </c>
      <c r="Q132" s="33" t="n">
        <f>2102</f>
        <v>2102.0</v>
      </c>
      <c r="R132" s="34" t="s">
        <v>51</v>
      </c>
      <c r="S132" s="35" t="n">
        <f>2131.55</f>
        <v>2131.55</v>
      </c>
      <c r="T132" s="32" t="n">
        <f>917957</f>
        <v>917957.0</v>
      </c>
      <c r="U132" s="32" t="n">
        <f>461694</f>
        <v>461694.0</v>
      </c>
      <c r="V132" s="32" t="n">
        <f>1934777331</f>
        <v>1.934777331E9</v>
      </c>
      <c r="W132" s="32" t="n">
        <f>969519121</f>
        <v>9.69519121E8</v>
      </c>
      <c r="X132" s="36" t="n">
        <f>22</f>
        <v>22.0</v>
      </c>
    </row>
    <row r="133">
      <c r="A133" s="27" t="s">
        <v>42</v>
      </c>
      <c r="B133" s="27" t="s">
        <v>444</v>
      </c>
      <c r="C133" s="27" t="s">
        <v>445</v>
      </c>
      <c r="D133" s="27" t="s">
        <v>446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3365</f>
        <v>3365.0</v>
      </c>
      <c r="L133" s="34" t="s">
        <v>48</v>
      </c>
      <c r="M133" s="33" t="n">
        <f>3500</f>
        <v>3500.0</v>
      </c>
      <c r="N133" s="34" t="s">
        <v>66</v>
      </c>
      <c r="O133" s="33" t="n">
        <f>3234</f>
        <v>3234.0</v>
      </c>
      <c r="P133" s="34" t="s">
        <v>91</v>
      </c>
      <c r="Q133" s="33" t="n">
        <f>3272</f>
        <v>3272.0</v>
      </c>
      <c r="R133" s="34" t="s">
        <v>351</v>
      </c>
      <c r="S133" s="35" t="n">
        <f>3390.05</f>
        <v>3390.05</v>
      </c>
      <c r="T133" s="32" t="n">
        <f>24650</f>
        <v>24650.0</v>
      </c>
      <c r="U133" s="32" t="str">
        <f>"－"</f>
        <v>－</v>
      </c>
      <c r="V133" s="32" t="n">
        <f>82460190</f>
        <v>8.246019E7</v>
      </c>
      <c r="W133" s="32" t="str">
        <f>"－"</f>
        <v>－</v>
      </c>
      <c r="X133" s="36" t="n">
        <f>19</f>
        <v>19.0</v>
      </c>
    </row>
    <row r="134">
      <c r="A134" s="27" t="s">
        <v>42</v>
      </c>
      <c r="B134" s="27" t="s">
        <v>447</v>
      </c>
      <c r="C134" s="27" t="s">
        <v>448</v>
      </c>
      <c r="D134" s="27" t="s">
        <v>449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3650</f>
        <v>3650.0</v>
      </c>
      <c r="L134" s="34" t="s">
        <v>48</v>
      </c>
      <c r="M134" s="33" t="n">
        <f>3770</f>
        <v>3770.0</v>
      </c>
      <c r="N134" s="34" t="s">
        <v>66</v>
      </c>
      <c r="O134" s="33" t="n">
        <f>3386</f>
        <v>3386.0</v>
      </c>
      <c r="P134" s="34" t="s">
        <v>50</v>
      </c>
      <c r="Q134" s="33" t="n">
        <f>3522</f>
        <v>3522.0</v>
      </c>
      <c r="R134" s="34" t="s">
        <v>51</v>
      </c>
      <c r="S134" s="35" t="n">
        <f>3664.67</f>
        <v>3664.67</v>
      </c>
      <c r="T134" s="32" t="n">
        <f>48440</f>
        <v>48440.0</v>
      </c>
      <c r="U134" s="32" t="n">
        <f>18540</f>
        <v>18540.0</v>
      </c>
      <c r="V134" s="32" t="n">
        <f>178063240</f>
        <v>1.7806324E8</v>
      </c>
      <c r="W134" s="32" t="n">
        <f>69581850</f>
        <v>6.958185E7</v>
      </c>
      <c r="X134" s="36" t="n">
        <f>21</f>
        <v>21.0</v>
      </c>
    </row>
    <row r="135">
      <c r="A135" s="27" t="s">
        <v>42</v>
      </c>
      <c r="B135" s="27" t="s">
        <v>450</v>
      </c>
      <c r="C135" s="27" t="s">
        <v>451</v>
      </c>
      <c r="D135" s="27" t="s">
        <v>452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10.0</v>
      </c>
      <c r="K135" s="33" t="n">
        <f>2300</f>
        <v>2300.0</v>
      </c>
      <c r="L135" s="34" t="s">
        <v>48</v>
      </c>
      <c r="M135" s="33" t="n">
        <f>2382.5</f>
        <v>2382.5</v>
      </c>
      <c r="N135" s="34" t="s">
        <v>66</v>
      </c>
      <c r="O135" s="33" t="n">
        <f>2187</f>
        <v>2187.0</v>
      </c>
      <c r="P135" s="34" t="s">
        <v>91</v>
      </c>
      <c r="Q135" s="33" t="n">
        <f>2205</f>
        <v>2205.0</v>
      </c>
      <c r="R135" s="34" t="s">
        <v>71</v>
      </c>
      <c r="S135" s="35" t="n">
        <f>2311.53</f>
        <v>2311.53</v>
      </c>
      <c r="T135" s="32" t="n">
        <f>22130</f>
        <v>22130.0</v>
      </c>
      <c r="U135" s="32" t="str">
        <f>"－"</f>
        <v>－</v>
      </c>
      <c r="V135" s="32" t="n">
        <f>50852350</f>
        <v>5.085235E7</v>
      </c>
      <c r="W135" s="32" t="str">
        <f>"－"</f>
        <v>－</v>
      </c>
      <c r="X135" s="36" t="n">
        <f>15</f>
        <v>15.0</v>
      </c>
    </row>
    <row r="136">
      <c r="A136" s="27" t="s">
        <v>42</v>
      </c>
      <c r="B136" s="27" t="s">
        <v>453</v>
      </c>
      <c r="C136" s="27" t="s">
        <v>454</v>
      </c>
      <c r="D136" s="27" t="s">
        <v>455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10.0</v>
      </c>
      <c r="K136" s="33" t="n">
        <f>639.2</f>
        <v>639.2</v>
      </c>
      <c r="L136" s="34" t="s">
        <v>48</v>
      </c>
      <c r="M136" s="33" t="n">
        <f>657.9</f>
        <v>657.9</v>
      </c>
      <c r="N136" s="34" t="s">
        <v>66</v>
      </c>
      <c r="O136" s="33" t="n">
        <f>596</f>
        <v>596.0</v>
      </c>
      <c r="P136" s="34" t="s">
        <v>51</v>
      </c>
      <c r="Q136" s="33" t="n">
        <f>604.8</f>
        <v>604.8</v>
      </c>
      <c r="R136" s="34" t="s">
        <v>51</v>
      </c>
      <c r="S136" s="35" t="n">
        <f>632.06</f>
        <v>632.06</v>
      </c>
      <c r="T136" s="32" t="n">
        <f>59690310</f>
        <v>5.969031E7</v>
      </c>
      <c r="U136" s="32" t="n">
        <f>3107180</f>
        <v>3107180.0</v>
      </c>
      <c r="V136" s="32" t="n">
        <f>37619817810</f>
        <v>3.761981781E10</v>
      </c>
      <c r="W136" s="32" t="n">
        <f>1972994782</f>
        <v>1.972994782E9</v>
      </c>
      <c r="X136" s="36" t="n">
        <f>22</f>
        <v>22.0</v>
      </c>
    </row>
    <row r="137">
      <c r="A137" s="27" t="s">
        <v>42</v>
      </c>
      <c r="B137" s="27" t="s">
        <v>456</v>
      </c>
      <c r="C137" s="27" t="s">
        <v>457</v>
      </c>
      <c r="D137" s="27" t="s">
        <v>458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10.0</v>
      </c>
      <c r="K137" s="33" t="n">
        <f>316.4</f>
        <v>316.4</v>
      </c>
      <c r="L137" s="34" t="s">
        <v>48</v>
      </c>
      <c r="M137" s="33" t="n">
        <f>320.3</f>
        <v>320.3</v>
      </c>
      <c r="N137" s="34" t="s">
        <v>112</v>
      </c>
      <c r="O137" s="33" t="n">
        <f>299.2</f>
        <v>299.2</v>
      </c>
      <c r="P137" s="34" t="s">
        <v>91</v>
      </c>
      <c r="Q137" s="33" t="n">
        <f>303.5</f>
        <v>303.5</v>
      </c>
      <c r="R137" s="34" t="s">
        <v>51</v>
      </c>
      <c r="S137" s="35" t="n">
        <f>311.18</f>
        <v>311.18</v>
      </c>
      <c r="T137" s="32" t="n">
        <f>34602650</f>
        <v>3.460265E7</v>
      </c>
      <c r="U137" s="32" t="n">
        <f>28253630</f>
        <v>2.825363E7</v>
      </c>
      <c r="V137" s="32" t="n">
        <f>10835166749</f>
        <v>1.0835166749E10</v>
      </c>
      <c r="W137" s="32" t="n">
        <f>8866800261</f>
        <v>8.866800261E9</v>
      </c>
      <c r="X137" s="36" t="n">
        <f>22</f>
        <v>22.0</v>
      </c>
    </row>
    <row r="138">
      <c r="A138" s="27" t="s">
        <v>42</v>
      </c>
      <c r="B138" s="27" t="s">
        <v>459</v>
      </c>
      <c r="C138" s="27" t="s">
        <v>460</v>
      </c>
      <c r="D138" s="27" t="s">
        <v>461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5310</f>
        <v>5310.0</v>
      </c>
      <c r="L138" s="34" t="s">
        <v>48</v>
      </c>
      <c r="M138" s="33" t="n">
        <f>5490</f>
        <v>5490.0</v>
      </c>
      <c r="N138" s="34" t="s">
        <v>66</v>
      </c>
      <c r="O138" s="33" t="n">
        <f>5000</f>
        <v>5000.0</v>
      </c>
      <c r="P138" s="34" t="s">
        <v>51</v>
      </c>
      <c r="Q138" s="33" t="n">
        <f>5060</f>
        <v>5060.0</v>
      </c>
      <c r="R138" s="34" t="s">
        <v>51</v>
      </c>
      <c r="S138" s="35" t="n">
        <f>5282.73</f>
        <v>5282.73</v>
      </c>
      <c r="T138" s="32" t="n">
        <f>181835</f>
        <v>181835.0</v>
      </c>
      <c r="U138" s="32" t="n">
        <f>104990</f>
        <v>104990.0</v>
      </c>
      <c r="V138" s="32" t="n">
        <f>937492434</f>
        <v>9.37492434E8</v>
      </c>
      <c r="W138" s="32" t="n">
        <f>531267994</f>
        <v>5.31267994E8</v>
      </c>
      <c r="X138" s="36" t="n">
        <f>22</f>
        <v>22.0</v>
      </c>
    </row>
    <row r="139">
      <c r="A139" s="27" t="s">
        <v>42</v>
      </c>
      <c r="B139" s="27" t="s">
        <v>462</v>
      </c>
      <c r="C139" s="27" t="s">
        <v>463</v>
      </c>
      <c r="D139" s="27" t="s">
        <v>464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2930</f>
        <v>2930.0</v>
      </c>
      <c r="L139" s="34" t="s">
        <v>48</v>
      </c>
      <c r="M139" s="33" t="n">
        <f>3115</f>
        <v>3115.0</v>
      </c>
      <c r="N139" s="34" t="s">
        <v>58</v>
      </c>
      <c r="O139" s="33" t="n">
        <f>2730</f>
        <v>2730.0</v>
      </c>
      <c r="P139" s="34" t="s">
        <v>91</v>
      </c>
      <c r="Q139" s="33" t="n">
        <f>2755</f>
        <v>2755.0</v>
      </c>
      <c r="R139" s="34" t="s">
        <v>51</v>
      </c>
      <c r="S139" s="35" t="n">
        <f>2913.64</f>
        <v>2913.64</v>
      </c>
      <c r="T139" s="32" t="n">
        <f>181614</f>
        <v>181614.0</v>
      </c>
      <c r="U139" s="32" t="n">
        <f>54760</f>
        <v>54760.0</v>
      </c>
      <c r="V139" s="32" t="n">
        <f>525530448</f>
        <v>5.25530448E8</v>
      </c>
      <c r="W139" s="32" t="n">
        <f>156402377</f>
        <v>1.56402377E8</v>
      </c>
      <c r="X139" s="36" t="n">
        <f>22</f>
        <v>22.0</v>
      </c>
    </row>
    <row r="140">
      <c r="A140" s="27" t="s">
        <v>42</v>
      </c>
      <c r="B140" s="27" t="s">
        <v>465</v>
      </c>
      <c r="C140" s="27" t="s">
        <v>466</v>
      </c>
      <c r="D140" s="27" t="s">
        <v>467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3220</f>
        <v>3220.0</v>
      </c>
      <c r="L140" s="34" t="s">
        <v>48</v>
      </c>
      <c r="M140" s="33" t="n">
        <f>3345</f>
        <v>3345.0</v>
      </c>
      <c r="N140" s="34" t="s">
        <v>90</v>
      </c>
      <c r="O140" s="33" t="n">
        <f>3180</f>
        <v>3180.0</v>
      </c>
      <c r="P140" s="34" t="s">
        <v>236</v>
      </c>
      <c r="Q140" s="33" t="n">
        <f>3270</f>
        <v>3270.0</v>
      </c>
      <c r="R140" s="34" t="s">
        <v>51</v>
      </c>
      <c r="S140" s="35" t="n">
        <f>3257.05</f>
        <v>3257.05</v>
      </c>
      <c r="T140" s="32" t="n">
        <f>1254503</f>
        <v>1254503.0</v>
      </c>
      <c r="U140" s="32" t="n">
        <f>1073830</f>
        <v>1073830.0</v>
      </c>
      <c r="V140" s="32" t="n">
        <f>4102333124</f>
        <v>4.102333124E9</v>
      </c>
      <c r="W140" s="32" t="n">
        <f>3514500314</f>
        <v>3.514500314E9</v>
      </c>
      <c r="X140" s="36" t="n">
        <f>22</f>
        <v>22.0</v>
      </c>
    </row>
    <row r="141">
      <c r="A141" s="27" t="s">
        <v>42</v>
      </c>
      <c r="B141" s="27" t="s">
        <v>468</v>
      </c>
      <c r="C141" s="27" t="s">
        <v>469</v>
      </c>
      <c r="D141" s="27" t="s">
        <v>470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1.0</v>
      </c>
      <c r="K141" s="33" t="n">
        <f>10020</f>
        <v>10020.0</v>
      </c>
      <c r="L141" s="34" t="s">
        <v>48</v>
      </c>
      <c r="M141" s="33" t="n">
        <f>10025</f>
        <v>10025.0</v>
      </c>
      <c r="N141" s="34" t="s">
        <v>108</v>
      </c>
      <c r="O141" s="33" t="n">
        <f>9745</f>
        <v>9745.0</v>
      </c>
      <c r="P141" s="34" t="s">
        <v>91</v>
      </c>
      <c r="Q141" s="33" t="n">
        <f>9897</f>
        <v>9897.0</v>
      </c>
      <c r="R141" s="34" t="s">
        <v>51</v>
      </c>
      <c r="S141" s="35" t="n">
        <f>9872.86</f>
        <v>9872.86</v>
      </c>
      <c r="T141" s="32" t="n">
        <f>175432</f>
        <v>175432.0</v>
      </c>
      <c r="U141" s="32" t="n">
        <f>67400</f>
        <v>67400.0</v>
      </c>
      <c r="V141" s="32" t="n">
        <f>1728972207</f>
        <v>1.728972207E9</v>
      </c>
      <c r="W141" s="32" t="n">
        <f>664587806</f>
        <v>6.64587806E8</v>
      </c>
      <c r="X141" s="36" t="n">
        <f>22</f>
        <v>22.0</v>
      </c>
    </row>
    <row r="142">
      <c r="A142" s="27" t="s">
        <v>42</v>
      </c>
      <c r="B142" s="27" t="s">
        <v>471</v>
      </c>
      <c r="C142" s="27" t="s">
        <v>472</v>
      </c>
      <c r="D142" s="27" t="s">
        <v>473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3525</f>
        <v>3525.0</v>
      </c>
      <c r="L142" s="34" t="s">
        <v>48</v>
      </c>
      <c r="M142" s="33" t="n">
        <f>3645</f>
        <v>3645.0</v>
      </c>
      <c r="N142" s="34" t="s">
        <v>49</v>
      </c>
      <c r="O142" s="33" t="n">
        <f>3125</f>
        <v>3125.0</v>
      </c>
      <c r="P142" s="34" t="s">
        <v>51</v>
      </c>
      <c r="Q142" s="33" t="n">
        <f>3195</f>
        <v>3195.0</v>
      </c>
      <c r="R142" s="34" t="s">
        <v>51</v>
      </c>
      <c r="S142" s="35" t="n">
        <f>3442.27</f>
        <v>3442.27</v>
      </c>
      <c r="T142" s="32" t="n">
        <f>3286234</f>
        <v>3286234.0</v>
      </c>
      <c r="U142" s="32" t="n">
        <f>1332</f>
        <v>1332.0</v>
      </c>
      <c r="V142" s="32" t="n">
        <f>11197304748</f>
        <v>1.1197304748E10</v>
      </c>
      <c r="W142" s="32" t="n">
        <f>4721933</f>
        <v>4721933.0</v>
      </c>
      <c r="X142" s="36" t="n">
        <f>22</f>
        <v>22.0</v>
      </c>
    </row>
    <row r="143">
      <c r="A143" s="27" t="s">
        <v>42</v>
      </c>
      <c r="B143" s="27" t="s">
        <v>474</v>
      </c>
      <c r="C143" s="27" t="s">
        <v>475</v>
      </c>
      <c r="D143" s="27" t="s">
        <v>476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34990</f>
        <v>34990.0</v>
      </c>
      <c r="L143" s="34" t="s">
        <v>48</v>
      </c>
      <c r="M143" s="33" t="n">
        <f>36710</f>
        <v>36710.0</v>
      </c>
      <c r="N143" s="34" t="s">
        <v>90</v>
      </c>
      <c r="O143" s="33" t="n">
        <f>33750</f>
        <v>33750.0</v>
      </c>
      <c r="P143" s="34" t="s">
        <v>91</v>
      </c>
      <c r="Q143" s="33" t="n">
        <f>34640</f>
        <v>34640.0</v>
      </c>
      <c r="R143" s="34" t="s">
        <v>51</v>
      </c>
      <c r="S143" s="35" t="n">
        <f>35307.27</f>
        <v>35307.27</v>
      </c>
      <c r="T143" s="32" t="n">
        <f>11752</f>
        <v>11752.0</v>
      </c>
      <c r="U143" s="32" t="n">
        <f>10</f>
        <v>10.0</v>
      </c>
      <c r="V143" s="32" t="n">
        <f>414541660</f>
        <v>4.1454166E8</v>
      </c>
      <c r="W143" s="32" t="n">
        <f>353000</f>
        <v>353000.0</v>
      </c>
      <c r="X143" s="36" t="n">
        <f>22</f>
        <v>22.0</v>
      </c>
    </row>
    <row r="144">
      <c r="A144" s="27" t="s">
        <v>42</v>
      </c>
      <c r="B144" s="27" t="s">
        <v>477</v>
      </c>
      <c r="C144" s="27" t="s">
        <v>478</v>
      </c>
      <c r="D144" s="27" t="s">
        <v>479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10.0</v>
      </c>
      <c r="K144" s="33" t="n">
        <f>4393</f>
        <v>4393.0</v>
      </c>
      <c r="L144" s="34" t="s">
        <v>48</v>
      </c>
      <c r="M144" s="33" t="n">
        <f>4633</f>
        <v>4633.0</v>
      </c>
      <c r="N144" s="34" t="s">
        <v>90</v>
      </c>
      <c r="O144" s="33" t="n">
        <f>3904</f>
        <v>3904.0</v>
      </c>
      <c r="P144" s="34" t="s">
        <v>91</v>
      </c>
      <c r="Q144" s="33" t="n">
        <f>4026</f>
        <v>4026.0</v>
      </c>
      <c r="R144" s="34" t="s">
        <v>51</v>
      </c>
      <c r="S144" s="35" t="n">
        <f>4321.5</f>
        <v>4321.5</v>
      </c>
      <c r="T144" s="32" t="n">
        <f>81080</f>
        <v>81080.0</v>
      </c>
      <c r="U144" s="32" t="str">
        <f>"－"</f>
        <v>－</v>
      </c>
      <c r="V144" s="32" t="n">
        <f>348845340</f>
        <v>3.4884534E8</v>
      </c>
      <c r="W144" s="32" t="str">
        <f>"－"</f>
        <v>－</v>
      </c>
      <c r="X144" s="36" t="n">
        <f>22</f>
        <v>22.0</v>
      </c>
    </row>
    <row r="145">
      <c r="A145" s="27" t="s">
        <v>42</v>
      </c>
      <c r="B145" s="27" t="s">
        <v>480</v>
      </c>
      <c r="C145" s="27" t="s">
        <v>481</v>
      </c>
      <c r="D145" s="27" t="s">
        <v>482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1.0</v>
      </c>
      <c r="K145" s="33" t="n">
        <f>14765</f>
        <v>14765.0</v>
      </c>
      <c r="L145" s="34" t="s">
        <v>48</v>
      </c>
      <c r="M145" s="33" t="n">
        <f>15575</f>
        <v>15575.0</v>
      </c>
      <c r="N145" s="34" t="s">
        <v>236</v>
      </c>
      <c r="O145" s="33" t="n">
        <f>13140</f>
        <v>13140.0</v>
      </c>
      <c r="P145" s="34" t="s">
        <v>91</v>
      </c>
      <c r="Q145" s="33" t="n">
        <f>13635</f>
        <v>13635.0</v>
      </c>
      <c r="R145" s="34" t="s">
        <v>51</v>
      </c>
      <c r="S145" s="35" t="n">
        <f>14266.14</f>
        <v>14266.14</v>
      </c>
      <c r="T145" s="32" t="n">
        <f>9304</f>
        <v>9304.0</v>
      </c>
      <c r="U145" s="32" t="str">
        <f>"－"</f>
        <v>－</v>
      </c>
      <c r="V145" s="32" t="n">
        <f>131008320</f>
        <v>1.3100832E8</v>
      </c>
      <c r="W145" s="32" t="str">
        <f>"－"</f>
        <v>－</v>
      </c>
      <c r="X145" s="36" t="n">
        <f>22</f>
        <v>22.0</v>
      </c>
    </row>
    <row r="146">
      <c r="A146" s="27" t="s">
        <v>42</v>
      </c>
      <c r="B146" s="27" t="s">
        <v>483</v>
      </c>
      <c r="C146" s="27" t="s">
        <v>484</v>
      </c>
      <c r="D146" s="27" t="s">
        <v>485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1.0</v>
      </c>
      <c r="K146" s="33" t="n">
        <f>14295</f>
        <v>14295.0</v>
      </c>
      <c r="L146" s="34" t="s">
        <v>48</v>
      </c>
      <c r="M146" s="33" t="n">
        <f>15345</f>
        <v>15345.0</v>
      </c>
      <c r="N146" s="34" t="s">
        <v>58</v>
      </c>
      <c r="O146" s="33" t="n">
        <f>12610</f>
        <v>12610.0</v>
      </c>
      <c r="P146" s="34" t="s">
        <v>51</v>
      </c>
      <c r="Q146" s="33" t="n">
        <f>12650</f>
        <v>12650.0</v>
      </c>
      <c r="R146" s="34" t="s">
        <v>51</v>
      </c>
      <c r="S146" s="35" t="n">
        <f>13973.41</f>
        <v>13973.41</v>
      </c>
      <c r="T146" s="32" t="n">
        <f>13399</f>
        <v>13399.0</v>
      </c>
      <c r="U146" s="32" t="str">
        <f>"－"</f>
        <v>－</v>
      </c>
      <c r="V146" s="32" t="n">
        <f>188509990</f>
        <v>1.8850999E8</v>
      </c>
      <c r="W146" s="32" t="str">
        <f>"－"</f>
        <v>－</v>
      </c>
      <c r="X146" s="36" t="n">
        <f>22</f>
        <v>22.0</v>
      </c>
    </row>
    <row r="147">
      <c r="A147" s="27" t="s">
        <v>42</v>
      </c>
      <c r="B147" s="27" t="s">
        <v>486</v>
      </c>
      <c r="C147" s="27" t="s">
        <v>487</v>
      </c>
      <c r="D147" s="27" t="s">
        <v>488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1.0</v>
      </c>
      <c r="K147" s="33" t="n">
        <f>23750</f>
        <v>23750.0</v>
      </c>
      <c r="L147" s="34" t="s">
        <v>48</v>
      </c>
      <c r="M147" s="33" t="n">
        <f>24895</f>
        <v>24895.0</v>
      </c>
      <c r="N147" s="34" t="s">
        <v>58</v>
      </c>
      <c r="O147" s="33" t="n">
        <f>22200</f>
        <v>22200.0</v>
      </c>
      <c r="P147" s="34" t="s">
        <v>50</v>
      </c>
      <c r="Q147" s="33" t="n">
        <f>22420</f>
        <v>22420.0</v>
      </c>
      <c r="R147" s="34" t="s">
        <v>51</v>
      </c>
      <c r="S147" s="35" t="n">
        <f>23510.5</f>
        <v>23510.5</v>
      </c>
      <c r="T147" s="32" t="n">
        <f>547</f>
        <v>547.0</v>
      </c>
      <c r="U147" s="32" t="str">
        <f>"－"</f>
        <v>－</v>
      </c>
      <c r="V147" s="32" t="n">
        <f>12999495</f>
        <v>1.2999495E7</v>
      </c>
      <c r="W147" s="32" t="str">
        <f>"－"</f>
        <v>－</v>
      </c>
      <c r="X147" s="36" t="n">
        <f>20</f>
        <v>20.0</v>
      </c>
    </row>
    <row r="148">
      <c r="A148" s="27" t="s">
        <v>42</v>
      </c>
      <c r="B148" s="27" t="s">
        <v>489</v>
      </c>
      <c r="C148" s="27" t="s">
        <v>490</v>
      </c>
      <c r="D148" s="27" t="s">
        <v>491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10.0</v>
      </c>
      <c r="K148" s="33" t="n">
        <f>58680</f>
        <v>58680.0</v>
      </c>
      <c r="L148" s="34" t="s">
        <v>48</v>
      </c>
      <c r="M148" s="33" t="n">
        <f>59310</f>
        <v>59310.0</v>
      </c>
      <c r="N148" s="34" t="s">
        <v>66</v>
      </c>
      <c r="O148" s="33" t="n">
        <f>55500</f>
        <v>55500.0</v>
      </c>
      <c r="P148" s="34" t="s">
        <v>51</v>
      </c>
      <c r="Q148" s="33" t="n">
        <f>55500</f>
        <v>55500.0</v>
      </c>
      <c r="R148" s="34" t="s">
        <v>51</v>
      </c>
      <c r="S148" s="35" t="n">
        <f>58040</f>
        <v>58040.0</v>
      </c>
      <c r="T148" s="32" t="n">
        <f>55800</f>
        <v>55800.0</v>
      </c>
      <c r="U148" s="32" t="n">
        <f>52550</f>
        <v>52550.0</v>
      </c>
      <c r="V148" s="32" t="n">
        <f>3261489816</f>
        <v>3.261489816E9</v>
      </c>
      <c r="W148" s="32" t="n">
        <f>3074072516</f>
        <v>3.074072516E9</v>
      </c>
      <c r="X148" s="36" t="n">
        <f>22</f>
        <v>22.0</v>
      </c>
    </row>
    <row r="149">
      <c r="A149" s="27" t="s">
        <v>42</v>
      </c>
      <c r="B149" s="27" t="s">
        <v>492</v>
      </c>
      <c r="C149" s="27" t="s">
        <v>493</v>
      </c>
      <c r="D149" s="27" t="s">
        <v>494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10.0</v>
      </c>
      <c r="K149" s="33" t="n">
        <f>401.7</f>
        <v>401.7</v>
      </c>
      <c r="L149" s="34" t="s">
        <v>48</v>
      </c>
      <c r="M149" s="33" t="n">
        <f>410.4</f>
        <v>410.4</v>
      </c>
      <c r="N149" s="34" t="s">
        <v>58</v>
      </c>
      <c r="O149" s="33" t="n">
        <f>376.6</f>
        <v>376.6</v>
      </c>
      <c r="P149" s="34" t="s">
        <v>91</v>
      </c>
      <c r="Q149" s="33" t="n">
        <f>391.1</f>
        <v>391.1</v>
      </c>
      <c r="R149" s="34" t="s">
        <v>51</v>
      </c>
      <c r="S149" s="35" t="n">
        <f>399.28</f>
        <v>399.28</v>
      </c>
      <c r="T149" s="32" t="n">
        <f>93951010</f>
        <v>9.395101E7</v>
      </c>
      <c r="U149" s="32" t="n">
        <f>797990</f>
        <v>797990.0</v>
      </c>
      <c r="V149" s="32" t="n">
        <f>37347207303</f>
        <v>3.7347207303E10</v>
      </c>
      <c r="W149" s="32" t="n">
        <f>313462461</f>
        <v>3.13462461E8</v>
      </c>
      <c r="X149" s="36" t="n">
        <f>22</f>
        <v>22.0</v>
      </c>
    </row>
    <row r="150">
      <c r="A150" s="27" t="s">
        <v>42</v>
      </c>
      <c r="B150" s="27" t="s">
        <v>495</v>
      </c>
      <c r="C150" s="27" t="s">
        <v>496</v>
      </c>
      <c r="D150" s="27" t="s">
        <v>497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52750</f>
        <v>52750.0</v>
      </c>
      <c r="L150" s="34" t="s">
        <v>48</v>
      </c>
      <c r="M150" s="33" t="n">
        <f>54360</f>
        <v>54360.0</v>
      </c>
      <c r="N150" s="34" t="s">
        <v>90</v>
      </c>
      <c r="O150" s="33" t="n">
        <f>50810</f>
        <v>50810.0</v>
      </c>
      <c r="P150" s="34" t="s">
        <v>91</v>
      </c>
      <c r="Q150" s="33" t="n">
        <f>52320</f>
        <v>52320.0</v>
      </c>
      <c r="R150" s="34" t="s">
        <v>71</v>
      </c>
      <c r="S150" s="35" t="n">
        <f>52941.5</f>
        <v>52941.5</v>
      </c>
      <c r="T150" s="32" t="n">
        <f>2450</f>
        <v>2450.0</v>
      </c>
      <c r="U150" s="32" t="n">
        <f>50</f>
        <v>50.0</v>
      </c>
      <c r="V150" s="32" t="n">
        <f>129808800</f>
        <v>1.298088E8</v>
      </c>
      <c r="W150" s="32" t="n">
        <f>2644700</f>
        <v>2644700.0</v>
      </c>
      <c r="X150" s="36" t="n">
        <f>20</f>
        <v>20.0</v>
      </c>
    </row>
    <row r="151">
      <c r="A151" s="27" t="s">
        <v>42</v>
      </c>
      <c r="B151" s="27" t="s">
        <v>498</v>
      </c>
      <c r="C151" s="27" t="s">
        <v>499</v>
      </c>
      <c r="D151" s="27" t="s">
        <v>500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6045</f>
        <v>6045.0</v>
      </c>
      <c r="L151" s="34" t="s">
        <v>48</v>
      </c>
      <c r="M151" s="33" t="n">
        <f>6295</f>
        <v>6295.0</v>
      </c>
      <c r="N151" s="34" t="s">
        <v>66</v>
      </c>
      <c r="O151" s="33" t="n">
        <f>5700</f>
        <v>5700.0</v>
      </c>
      <c r="P151" s="34" t="s">
        <v>91</v>
      </c>
      <c r="Q151" s="33" t="n">
        <f>5771</f>
        <v>5771.0</v>
      </c>
      <c r="R151" s="34" t="s">
        <v>51</v>
      </c>
      <c r="S151" s="35" t="n">
        <f>6014.23</f>
        <v>6014.23</v>
      </c>
      <c r="T151" s="32" t="n">
        <f>115570</f>
        <v>115570.0</v>
      </c>
      <c r="U151" s="32" t="str">
        <f>"－"</f>
        <v>－</v>
      </c>
      <c r="V151" s="32" t="n">
        <f>682971350</f>
        <v>6.8297135E8</v>
      </c>
      <c r="W151" s="32" t="str">
        <f>"－"</f>
        <v>－</v>
      </c>
      <c r="X151" s="36" t="n">
        <f>22</f>
        <v>22.0</v>
      </c>
    </row>
    <row r="152">
      <c r="A152" s="27" t="s">
        <v>42</v>
      </c>
      <c r="B152" s="27" t="s">
        <v>501</v>
      </c>
      <c r="C152" s="27" t="s">
        <v>502</v>
      </c>
      <c r="D152" s="27" t="s">
        <v>503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2224</f>
        <v>2224.0</v>
      </c>
      <c r="L152" s="34" t="s">
        <v>48</v>
      </c>
      <c r="M152" s="33" t="n">
        <f>2298</f>
        <v>2298.0</v>
      </c>
      <c r="N152" s="34" t="s">
        <v>207</v>
      </c>
      <c r="O152" s="33" t="n">
        <f>2060</f>
        <v>2060.0</v>
      </c>
      <c r="P152" s="34" t="s">
        <v>91</v>
      </c>
      <c r="Q152" s="33" t="n">
        <f>2090</f>
        <v>2090.0</v>
      </c>
      <c r="R152" s="34" t="s">
        <v>51</v>
      </c>
      <c r="S152" s="35" t="n">
        <f>2197</f>
        <v>2197.0</v>
      </c>
      <c r="T152" s="32" t="n">
        <f>158660</f>
        <v>158660.0</v>
      </c>
      <c r="U152" s="32" t="n">
        <f>40900</f>
        <v>40900.0</v>
      </c>
      <c r="V152" s="32" t="n">
        <f>350293830</f>
        <v>3.5029383E8</v>
      </c>
      <c r="W152" s="32" t="n">
        <f>92596340</f>
        <v>9.259634E7</v>
      </c>
      <c r="X152" s="36" t="n">
        <f>22</f>
        <v>22.0</v>
      </c>
    </row>
    <row r="153">
      <c r="A153" s="27" t="s">
        <v>42</v>
      </c>
      <c r="B153" s="27" t="s">
        <v>504</v>
      </c>
      <c r="C153" s="27" t="s">
        <v>505</v>
      </c>
      <c r="D153" s="27" t="s">
        <v>506</v>
      </c>
      <c r="E153" s="28" t="s">
        <v>46</v>
      </c>
      <c r="F153" s="29" t="s">
        <v>46</v>
      </c>
      <c r="G153" s="30" t="s">
        <v>46</v>
      </c>
      <c r="H153" s="31" t="s">
        <v>507</v>
      </c>
      <c r="I153" s="31"/>
      <c r="J153" s="32" t="n">
        <v>100.0</v>
      </c>
      <c r="K153" s="33" t="n">
        <f>269.8</f>
        <v>269.8</v>
      </c>
      <c r="L153" s="34" t="s">
        <v>48</v>
      </c>
      <c r="M153" s="33" t="n">
        <f>269.8</f>
        <v>269.8</v>
      </c>
      <c r="N153" s="34" t="s">
        <v>48</v>
      </c>
      <c r="O153" s="33" t="n">
        <f>232</f>
        <v>232.0</v>
      </c>
      <c r="P153" s="34" t="s">
        <v>91</v>
      </c>
      <c r="Q153" s="33" t="n">
        <f>256.8</f>
        <v>256.8</v>
      </c>
      <c r="R153" s="34" t="s">
        <v>51</v>
      </c>
      <c r="S153" s="35" t="n">
        <f>255.98</f>
        <v>255.98</v>
      </c>
      <c r="T153" s="32" t="n">
        <f>556000</f>
        <v>556000.0</v>
      </c>
      <c r="U153" s="32" t="n">
        <f>3000</f>
        <v>3000.0</v>
      </c>
      <c r="V153" s="32" t="n">
        <f>140096660</f>
        <v>1.4009666E8</v>
      </c>
      <c r="W153" s="32" t="n">
        <f>750490</f>
        <v>750490.0</v>
      </c>
      <c r="X153" s="36" t="n">
        <f>22</f>
        <v>22.0</v>
      </c>
    </row>
    <row r="154">
      <c r="A154" s="27" t="s">
        <v>42</v>
      </c>
      <c r="B154" s="27" t="s">
        <v>508</v>
      </c>
      <c r="C154" s="27" t="s">
        <v>509</v>
      </c>
      <c r="D154" s="27" t="s">
        <v>510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1796.5</f>
        <v>1796.5</v>
      </c>
      <c r="L154" s="34" t="s">
        <v>48</v>
      </c>
      <c r="M154" s="33" t="n">
        <f>1825</f>
        <v>1825.0</v>
      </c>
      <c r="N154" s="34" t="s">
        <v>49</v>
      </c>
      <c r="O154" s="33" t="n">
        <f>1618.5</f>
        <v>1618.5</v>
      </c>
      <c r="P154" s="34" t="s">
        <v>351</v>
      </c>
      <c r="Q154" s="33" t="n">
        <f>1635.5</f>
        <v>1635.5</v>
      </c>
      <c r="R154" s="34" t="s">
        <v>351</v>
      </c>
      <c r="S154" s="35" t="n">
        <f>1744.63</f>
        <v>1744.63</v>
      </c>
      <c r="T154" s="32" t="n">
        <f>3310</f>
        <v>3310.0</v>
      </c>
      <c r="U154" s="32" t="str">
        <f>"－"</f>
        <v>－</v>
      </c>
      <c r="V154" s="32" t="n">
        <f>5655955</f>
        <v>5655955.0</v>
      </c>
      <c r="W154" s="32" t="str">
        <f>"－"</f>
        <v>－</v>
      </c>
      <c r="X154" s="36" t="n">
        <f>16</f>
        <v>16.0</v>
      </c>
    </row>
    <row r="155">
      <c r="A155" s="27" t="s">
        <v>42</v>
      </c>
      <c r="B155" s="27" t="s">
        <v>511</v>
      </c>
      <c r="C155" s="27" t="s">
        <v>512</v>
      </c>
      <c r="D155" s="27" t="s">
        <v>513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10.0</v>
      </c>
      <c r="K155" s="33" t="n">
        <f>616</f>
        <v>616.0</v>
      </c>
      <c r="L155" s="34" t="s">
        <v>48</v>
      </c>
      <c r="M155" s="33" t="n">
        <f>630</f>
        <v>630.0</v>
      </c>
      <c r="N155" s="34" t="s">
        <v>236</v>
      </c>
      <c r="O155" s="33" t="n">
        <f>532.5</f>
        <v>532.5</v>
      </c>
      <c r="P155" s="34" t="s">
        <v>51</v>
      </c>
      <c r="Q155" s="33" t="n">
        <f>539.2</f>
        <v>539.2</v>
      </c>
      <c r="R155" s="34" t="s">
        <v>51</v>
      </c>
      <c r="S155" s="35" t="n">
        <f>586.09</f>
        <v>586.09</v>
      </c>
      <c r="T155" s="32" t="n">
        <f>95960</f>
        <v>95960.0</v>
      </c>
      <c r="U155" s="32" t="str">
        <f>"－"</f>
        <v>－</v>
      </c>
      <c r="V155" s="32" t="n">
        <f>56193306</f>
        <v>5.6193306E7</v>
      </c>
      <c r="W155" s="32" t="str">
        <f>"－"</f>
        <v>－</v>
      </c>
      <c r="X155" s="36" t="n">
        <f>22</f>
        <v>22.0</v>
      </c>
    </row>
    <row r="156">
      <c r="A156" s="27" t="s">
        <v>42</v>
      </c>
      <c r="B156" s="27" t="s">
        <v>514</v>
      </c>
      <c r="C156" s="27" t="s">
        <v>515</v>
      </c>
      <c r="D156" s="27" t="s">
        <v>516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2515</f>
        <v>2515.0</v>
      </c>
      <c r="L156" s="34" t="s">
        <v>48</v>
      </c>
      <c r="M156" s="33" t="n">
        <f>2649.5</f>
        <v>2649.5</v>
      </c>
      <c r="N156" s="34" t="s">
        <v>104</v>
      </c>
      <c r="O156" s="33" t="n">
        <f>2151</f>
        <v>2151.0</v>
      </c>
      <c r="P156" s="34" t="s">
        <v>91</v>
      </c>
      <c r="Q156" s="33" t="n">
        <f>2179</f>
        <v>2179.0</v>
      </c>
      <c r="R156" s="34" t="s">
        <v>51</v>
      </c>
      <c r="S156" s="35" t="n">
        <f>2391.95</f>
        <v>2391.95</v>
      </c>
      <c r="T156" s="32" t="n">
        <f>16810</f>
        <v>16810.0</v>
      </c>
      <c r="U156" s="32" t="str">
        <f>"－"</f>
        <v>－</v>
      </c>
      <c r="V156" s="32" t="n">
        <f>40046705</f>
        <v>4.0046705E7</v>
      </c>
      <c r="W156" s="32" t="str">
        <f>"－"</f>
        <v>－</v>
      </c>
      <c r="X156" s="36" t="n">
        <f>21</f>
        <v>21.0</v>
      </c>
    </row>
    <row r="157">
      <c r="A157" s="27" t="s">
        <v>42</v>
      </c>
      <c r="B157" s="27" t="s">
        <v>517</v>
      </c>
      <c r="C157" s="27" t="s">
        <v>518</v>
      </c>
      <c r="D157" s="27" t="s">
        <v>519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10.0</v>
      </c>
      <c r="K157" s="33" t="n">
        <f>957.2</f>
        <v>957.2</v>
      </c>
      <c r="L157" s="34" t="s">
        <v>48</v>
      </c>
      <c r="M157" s="33" t="n">
        <f>969.9</f>
        <v>969.9</v>
      </c>
      <c r="N157" s="34" t="s">
        <v>58</v>
      </c>
      <c r="O157" s="33" t="n">
        <f>857.1</f>
        <v>857.1</v>
      </c>
      <c r="P157" s="34" t="s">
        <v>51</v>
      </c>
      <c r="Q157" s="33" t="n">
        <f>867.5</f>
        <v>867.5</v>
      </c>
      <c r="R157" s="34" t="s">
        <v>51</v>
      </c>
      <c r="S157" s="35" t="n">
        <f>924.45</f>
        <v>924.45</v>
      </c>
      <c r="T157" s="32" t="n">
        <f>49010</f>
        <v>49010.0</v>
      </c>
      <c r="U157" s="32" t="str">
        <f>"－"</f>
        <v>－</v>
      </c>
      <c r="V157" s="32" t="n">
        <f>44657490</f>
        <v>4.465749E7</v>
      </c>
      <c r="W157" s="32" t="str">
        <f>"－"</f>
        <v>－</v>
      </c>
      <c r="X157" s="36" t="n">
        <f>22</f>
        <v>22.0</v>
      </c>
    </row>
    <row r="158">
      <c r="A158" s="27" t="s">
        <v>42</v>
      </c>
      <c r="B158" s="27" t="s">
        <v>520</v>
      </c>
      <c r="C158" s="27" t="s">
        <v>521</v>
      </c>
      <c r="D158" s="27" t="s">
        <v>522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10.0</v>
      </c>
      <c r="K158" s="33" t="n">
        <f>595</f>
        <v>595.0</v>
      </c>
      <c r="L158" s="34" t="s">
        <v>48</v>
      </c>
      <c r="M158" s="33" t="n">
        <f>610</f>
        <v>610.0</v>
      </c>
      <c r="N158" s="34" t="s">
        <v>236</v>
      </c>
      <c r="O158" s="33" t="n">
        <f>520</f>
        <v>520.0</v>
      </c>
      <c r="P158" s="34" t="s">
        <v>51</v>
      </c>
      <c r="Q158" s="33" t="n">
        <f>523.6</f>
        <v>523.6</v>
      </c>
      <c r="R158" s="34" t="s">
        <v>51</v>
      </c>
      <c r="S158" s="35" t="n">
        <f>562.56</f>
        <v>562.56</v>
      </c>
      <c r="T158" s="32" t="n">
        <f>169290</f>
        <v>169290.0</v>
      </c>
      <c r="U158" s="32" t="str">
        <f>"－"</f>
        <v>－</v>
      </c>
      <c r="V158" s="32" t="n">
        <f>94423346</f>
        <v>9.4423346E7</v>
      </c>
      <c r="W158" s="32" t="str">
        <f>"－"</f>
        <v>－</v>
      </c>
      <c r="X158" s="36" t="n">
        <f>22</f>
        <v>22.0</v>
      </c>
    </row>
    <row r="159">
      <c r="A159" s="27" t="s">
        <v>42</v>
      </c>
      <c r="B159" s="27" t="s">
        <v>523</v>
      </c>
      <c r="C159" s="27" t="s">
        <v>524</v>
      </c>
      <c r="D159" s="27" t="s">
        <v>525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1.0</v>
      </c>
      <c r="K159" s="33" t="n">
        <f>1403</f>
        <v>1403.0</v>
      </c>
      <c r="L159" s="34" t="s">
        <v>48</v>
      </c>
      <c r="M159" s="33" t="n">
        <f>1407</f>
        <v>1407.0</v>
      </c>
      <c r="N159" s="34" t="s">
        <v>48</v>
      </c>
      <c r="O159" s="33" t="n">
        <f>1066</f>
        <v>1066.0</v>
      </c>
      <c r="P159" s="34" t="s">
        <v>351</v>
      </c>
      <c r="Q159" s="33" t="n">
        <f>1101</f>
        <v>1101.0</v>
      </c>
      <c r="R159" s="34" t="s">
        <v>51</v>
      </c>
      <c r="S159" s="35" t="n">
        <f>1210.55</f>
        <v>1210.55</v>
      </c>
      <c r="T159" s="32" t="n">
        <f>1938042</f>
        <v>1938042.0</v>
      </c>
      <c r="U159" s="32" t="n">
        <f>3</f>
        <v>3.0</v>
      </c>
      <c r="V159" s="32" t="n">
        <f>2312937508</f>
        <v>2.312937508E9</v>
      </c>
      <c r="W159" s="32" t="n">
        <f>3615</f>
        <v>3615.0</v>
      </c>
      <c r="X159" s="36" t="n">
        <f>22</f>
        <v>22.0</v>
      </c>
    </row>
    <row r="160">
      <c r="A160" s="27" t="s">
        <v>42</v>
      </c>
      <c r="B160" s="27" t="s">
        <v>526</v>
      </c>
      <c r="C160" s="27" t="s">
        <v>527</v>
      </c>
      <c r="D160" s="27" t="s">
        <v>528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10.0</v>
      </c>
      <c r="K160" s="33" t="n">
        <f>1703</f>
        <v>1703.0</v>
      </c>
      <c r="L160" s="34" t="s">
        <v>48</v>
      </c>
      <c r="M160" s="33" t="n">
        <f>1751</f>
        <v>1751.0</v>
      </c>
      <c r="N160" s="34" t="s">
        <v>49</v>
      </c>
      <c r="O160" s="33" t="n">
        <f>1504</f>
        <v>1504.0</v>
      </c>
      <c r="P160" s="34" t="s">
        <v>51</v>
      </c>
      <c r="Q160" s="33" t="n">
        <f>1526.5</f>
        <v>1526.5</v>
      </c>
      <c r="R160" s="34" t="s">
        <v>51</v>
      </c>
      <c r="S160" s="35" t="n">
        <f>1650.89</f>
        <v>1650.89</v>
      </c>
      <c r="T160" s="32" t="n">
        <f>31950</f>
        <v>31950.0</v>
      </c>
      <c r="U160" s="32" t="str">
        <f>"－"</f>
        <v>－</v>
      </c>
      <c r="V160" s="32" t="n">
        <f>52052095</f>
        <v>5.2052095E7</v>
      </c>
      <c r="W160" s="32" t="str">
        <f>"－"</f>
        <v>－</v>
      </c>
      <c r="X160" s="36" t="n">
        <f>22</f>
        <v>22.0</v>
      </c>
    </row>
    <row r="161">
      <c r="A161" s="27" t="s">
        <v>42</v>
      </c>
      <c r="B161" s="27" t="s">
        <v>529</v>
      </c>
      <c r="C161" s="27" t="s">
        <v>530</v>
      </c>
      <c r="D161" s="27" t="s">
        <v>531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1.0</v>
      </c>
      <c r="K161" s="33" t="n">
        <f>9085</f>
        <v>9085.0</v>
      </c>
      <c r="L161" s="34" t="s">
        <v>48</v>
      </c>
      <c r="M161" s="33" t="n">
        <f>9332</f>
        <v>9332.0</v>
      </c>
      <c r="N161" s="34" t="s">
        <v>188</v>
      </c>
      <c r="O161" s="33" t="n">
        <f>8140</f>
        <v>8140.0</v>
      </c>
      <c r="P161" s="34" t="s">
        <v>51</v>
      </c>
      <c r="Q161" s="33" t="n">
        <f>8259</f>
        <v>8259.0</v>
      </c>
      <c r="R161" s="34" t="s">
        <v>51</v>
      </c>
      <c r="S161" s="35" t="n">
        <f>8789.11</f>
        <v>8789.11</v>
      </c>
      <c r="T161" s="32" t="n">
        <f>428</f>
        <v>428.0</v>
      </c>
      <c r="U161" s="32" t="str">
        <f>"－"</f>
        <v>－</v>
      </c>
      <c r="V161" s="32" t="n">
        <f>3815675</f>
        <v>3815675.0</v>
      </c>
      <c r="W161" s="32" t="str">
        <f>"－"</f>
        <v>－</v>
      </c>
      <c r="X161" s="36" t="n">
        <f>18</f>
        <v>18.0</v>
      </c>
    </row>
    <row r="162">
      <c r="A162" s="27" t="s">
        <v>42</v>
      </c>
      <c r="B162" s="27" t="s">
        <v>532</v>
      </c>
      <c r="C162" s="27" t="s">
        <v>533</v>
      </c>
      <c r="D162" s="27" t="s">
        <v>534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100.0</v>
      </c>
      <c r="K162" s="33" t="n">
        <f>530.2</f>
        <v>530.2</v>
      </c>
      <c r="L162" s="34" t="s">
        <v>48</v>
      </c>
      <c r="M162" s="33" t="n">
        <f>546.3</f>
        <v>546.3</v>
      </c>
      <c r="N162" s="34" t="s">
        <v>58</v>
      </c>
      <c r="O162" s="33" t="n">
        <f>439.5</f>
        <v>439.5</v>
      </c>
      <c r="P162" s="34" t="s">
        <v>51</v>
      </c>
      <c r="Q162" s="33" t="n">
        <f>441.9</f>
        <v>441.9</v>
      </c>
      <c r="R162" s="34" t="s">
        <v>51</v>
      </c>
      <c r="S162" s="35" t="n">
        <f>497.76</f>
        <v>497.76</v>
      </c>
      <c r="T162" s="32" t="n">
        <f>241600</f>
        <v>241600.0</v>
      </c>
      <c r="U162" s="32" t="str">
        <f>"－"</f>
        <v>－</v>
      </c>
      <c r="V162" s="32" t="n">
        <f>115965810</f>
        <v>1.1596581E8</v>
      </c>
      <c r="W162" s="32" t="str">
        <f>"－"</f>
        <v>－</v>
      </c>
      <c r="X162" s="36" t="n">
        <f>22</f>
        <v>22.0</v>
      </c>
    </row>
    <row r="163">
      <c r="A163" s="27" t="s">
        <v>42</v>
      </c>
      <c r="B163" s="27" t="s">
        <v>535</v>
      </c>
      <c r="C163" s="27" t="s">
        <v>536</v>
      </c>
      <c r="D163" s="27" t="s">
        <v>537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6341</f>
        <v>6341.0</v>
      </c>
      <c r="L163" s="34" t="s">
        <v>48</v>
      </c>
      <c r="M163" s="33" t="n">
        <f>6739</f>
        <v>6739.0</v>
      </c>
      <c r="N163" s="34" t="s">
        <v>236</v>
      </c>
      <c r="O163" s="33" t="n">
        <f>5565</f>
        <v>5565.0</v>
      </c>
      <c r="P163" s="34" t="s">
        <v>91</v>
      </c>
      <c r="Q163" s="33" t="n">
        <f>5703</f>
        <v>5703.0</v>
      </c>
      <c r="R163" s="34" t="s">
        <v>51</v>
      </c>
      <c r="S163" s="35" t="n">
        <f>6215.14</f>
        <v>6215.14</v>
      </c>
      <c r="T163" s="32" t="n">
        <f>146100</f>
        <v>146100.0</v>
      </c>
      <c r="U163" s="32" t="str">
        <f>"－"</f>
        <v>－</v>
      </c>
      <c r="V163" s="32" t="n">
        <f>911525770</f>
        <v>9.1152577E8</v>
      </c>
      <c r="W163" s="32" t="str">
        <f>"－"</f>
        <v>－</v>
      </c>
      <c r="X163" s="36" t="n">
        <f>22</f>
        <v>22.0</v>
      </c>
    </row>
    <row r="164">
      <c r="A164" s="27" t="s">
        <v>42</v>
      </c>
      <c r="B164" s="27" t="s">
        <v>538</v>
      </c>
      <c r="C164" s="27" t="s">
        <v>539</v>
      </c>
      <c r="D164" s="27" t="s">
        <v>540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10.0</v>
      </c>
      <c r="K164" s="33" t="n">
        <f>2563.5</f>
        <v>2563.5</v>
      </c>
      <c r="L164" s="34" t="s">
        <v>48</v>
      </c>
      <c r="M164" s="33" t="n">
        <f>2674.5</f>
        <v>2674.5</v>
      </c>
      <c r="N164" s="34" t="s">
        <v>236</v>
      </c>
      <c r="O164" s="33" t="n">
        <f>2125</f>
        <v>2125.0</v>
      </c>
      <c r="P164" s="34" t="s">
        <v>91</v>
      </c>
      <c r="Q164" s="33" t="n">
        <f>2265</f>
        <v>2265.0</v>
      </c>
      <c r="R164" s="34" t="s">
        <v>51</v>
      </c>
      <c r="S164" s="35" t="n">
        <f>2401.11</f>
        <v>2401.11</v>
      </c>
      <c r="T164" s="32" t="n">
        <f>23550</f>
        <v>23550.0</v>
      </c>
      <c r="U164" s="32" t="str">
        <f>"－"</f>
        <v>－</v>
      </c>
      <c r="V164" s="32" t="n">
        <f>57203830</f>
        <v>5.720383E7</v>
      </c>
      <c r="W164" s="32" t="str">
        <f>"－"</f>
        <v>－</v>
      </c>
      <c r="X164" s="36" t="n">
        <f>22</f>
        <v>22.0</v>
      </c>
    </row>
    <row r="165">
      <c r="A165" s="27" t="s">
        <v>42</v>
      </c>
      <c r="B165" s="27" t="s">
        <v>541</v>
      </c>
      <c r="C165" s="27" t="s">
        <v>542</v>
      </c>
      <c r="D165" s="27" t="s">
        <v>543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1.0</v>
      </c>
      <c r="K165" s="33" t="n">
        <f>3685</f>
        <v>3685.0</v>
      </c>
      <c r="L165" s="34" t="s">
        <v>48</v>
      </c>
      <c r="M165" s="33" t="n">
        <f>3800</f>
        <v>3800.0</v>
      </c>
      <c r="N165" s="34" t="s">
        <v>236</v>
      </c>
      <c r="O165" s="33" t="n">
        <f>3145</f>
        <v>3145.0</v>
      </c>
      <c r="P165" s="34" t="s">
        <v>51</v>
      </c>
      <c r="Q165" s="33" t="n">
        <f>3175</f>
        <v>3175.0</v>
      </c>
      <c r="R165" s="34" t="s">
        <v>51</v>
      </c>
      <c r="S165" s="35" t="n">
        <f>3484.55</f>
        <v>3484.55</v>
      </c>
      <c r="T165" s="32" t="n">
        <f>506074</f>
        <v>506074.0</v>
      </c>
      <c r="U165" s="32" t="str">
        <f>"－"</f>
        <v>－</v>
      </c>
      <c r="V165" s="32" t="n">
        <f>1750786940</f>
        <v>1.75078694E9</v>
      </c>
      <c r="W165" s="32" t="str">
        <f>"－"</f>
        <v>－</v>
      </c>
      <c r="X165" s="36" t="n">
        <f>22</f>
        <v>22.0</v>
      </c>
    </row>
    <row r="166">
      <c r="A166" s="27" t="s">
        <v>42</v>
      </c>
      <c r="B166" s="27" t="s">
        <v>544</v>
      </c>
      <c r="C166" s="27" t="s">
        <v>545</v>
      </c>
      <c r="D166" s="27" t="s">
        <v>546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3230</f>
        <v>3230.0</v>
      </c>
      <c r="L166" s="34" t="s">
        <v>48</v>
      </c>
      <c r="M166" s="33" t="n">
        <f>3250</f>
        <v>3250.0</v>
      </c>
      <c r="N166" s="34" t="s">
        <v>49</v>
      </c>
      <c r="O166" s="33" t="n">
        <f>2886</f>
        <v>2886.0</v>
      </c>
      <c r="P166" s="34" t="s">
        <v>51</v>
      </c>
      <c r="Q166" s="33" t="n">
        <f>2914</f>
        <v>2914.0</v>
      </c>
      <c r="R166" s="34" t="s">
        <v>51</v>
      </c>
      <c r="S166" s="35" t="n">
        <f>3081.18</f>
        <v>3081.18</v>
      </c>
      <c r="T166" s="32" t="n">
        <f>75960</f>
        <v>75960.0</v>
      </c>
      <c r="U166" s="32" t="str">
        <f>"－"</f>
        <v>－</v>
      </c>
      <c r="V166" s="32" t="n">
        <f>234733912</f>
        <v>2.34733912E8</v>
      </c>
      <c r="W166" s="32" t="str">
        <f>"－"</f>
        <v>－</v>
      </c>
      <c r="X166" s="36" t="n">
        <f>22</f>
        <v>22.0</v>
      </c>
    </row>
    <row r="167">
      <c r="A167" s="27" t="s">
        <v>42</v>
      </c>
      <c r="B167" s="27" t="s">
        <v>547</v>
      </c>
      <c r="C167" s="27" t="s">
        <v>548</v>
      </c>
      <c r="D167" s="27" t="s">
        <v>549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10.0</v>
      </c>
      <c r="K167" s="33" t="n">
        <f>4379</f>
        <v>4379.0</v>
      </c>
      <c r="L167" s="34" t="s">
        <v>48</v>
      </c>
      <c r="M167" s="33" t="n">
        <f>4525</f>
        <v>4525.0</v>
      </c>
      <c r="N167" s="34" t="s">
        <v>58</v>
      </c>
      <c r="O167" s="33" t="n">
        <f>3836</f>
        <v>3836.0</v>
      </c>
      <c r="P167" s="34" t="s">
        <v>51</v>
      </c>
      <c r="Q167" s="33" t="n">
        <f>3894</f>
        <v>3894.0</v>
      </c>
      <c r="R167" s="34" t="s">
        <v>51</v>
      </c>
      <c r="S167" s="35" t="n">
        <f>4178.86</f>
        <v>4178.86</v>
      </c>
      <c r="T167" s="32" t="n">
        <f>27020</f>
        <v>27020.0</v>
      </c>
      <c r="U167" s="32" t="str">
        <f>"－"</f>
        <v>－</v>
      </c>
      <c r="V167" s="32" t="n">
        <f>113046390</f>
        <v>1.1304639E8</v>
      </c>
      <c r="W167" s="32" t="str">
        <f>"－"</f>
        <v>－</v>
      </c>
      <c r="X167" s="36" t="n">
        <f>22</f>
        <v>22.0</v>
      </c>
    </row>
    <row r="168">
      <c r="A168" s="27" t="s">
        <v>42</v>
      </c>
      <c r="B168" s="27" t="s">
        <v>550</v>
      </c>
      <c r="C168" s="27" t="s">
        <v>551</v>
      </c>
      <c r="D168" s="27" t="s">
        <v>552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3092</f>
        <v>3092.0</v>
      </c>
      <c r="L168" s="34" t="s">
        <v>48</v>
      </c>
      <c r="M168" s="33" t="n">
        <f>3180</f>
        <v>3180.0</v>
      </c>
      <c r="N168" s="34" t="s">
        <v>58</v>
      </c>
      <c r="O168" s="33" t="n">
        <f>2980</f>
        <v>2980.0</v>
      </c>
      <c r="P168" s="34" t="s">
        <v>91</v>
      </c>
      <c r="Q168" s="33" t="n">
        <f>3087</f>
        <v>3087.0</v>
      </c>
      <c r="R168" s="34" t="s">
        <v>51</v>
      </c>
      <c r="S168" s="35" t="n">
        <f>3108.32</f>
        <v>3108.32</v>
      </c>
      <c r="T168" s="32" t="n">
        <f>202910</f>
        <v>202910.0</v>
      </c>
      <c r="U168" s="32" t="n">
        <f>53500</f>
        <v>53500.0</v>
      </c>
      <c r="V168" s="32" t="n">
        <f>626054790</f>
        <v>6.2605479E8</v>
      </c>
      <c r="W168" s="32" t="n">
        <f>163801635</f>
        <v>1.63801635E8</v>
      </c>
      <c r="X168" s="36" t="n">
        <f>22</f>
        <v>22.0</v>
      </c>
    </row>
    <row r="169">
      <c r="A169" s="27" t="s">
        <v>42</v>
      </c>
      <c r="B169" s="27" t="s">
        <v>553</v>
      </c>
      <c r="C169" s="27" t="s">
        <v>554</v>
      </c>
      <c r="D169" s="27" t="s">
        <v>555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468.8</f>
        <v>468.8</v>
      </c>
      <c r="L169" s="34" t="s">
        <v>48</v>
      </c>
      <c r="M169" s="33" t="n">
        <f>483.3</f>
        <v>483.3</v>
      </c>
      <c r="N169" s="34" t="s">
        <v>49</v>
      </c>
      <c r="O169" s="33" t="n">
        <f>415.1</f>
        <v>415.1</v>
      </c>
      <c r="P169" s="34" t="s">
        <v>51</v>
      </c>
      <c r="Q169" s="33" t="n">
        <f>426.1</f>
        <v>426.1</v>
      </c>
      <c r="R169" s="34" t="s">
        <v>51</v>
      </c>
      <c r="S169" s="35" t="n">
        <f>455.68</f>
        <v>455.68</v>
      </c>
      <c r="T169" s="32" t="n">
        <f>32443050</f>
        <v>3.244305E7</v>
      </c>
      <c r="U169" s="32" t="n">
        <f>14621810</f>
        <v>1.462181E7</v>
      </c>
      <c r="V169" s="32" t="n">
        <f>14801643160</f>
        <v>1.480164316E10</v>
      </c>
      <c r="W169" s="32" t="n">
        <f>6644332243</f>
        <v>6.644332243E9</v>
      </c>
      <c r="X169" s="36" t="n">
        <f>22</f>
        <v>22.0</v>
      </c>
    </row>
    <row r="170">
      <c r="A170" s="27" t="s">
        <v>42</v>
      </c>
      <c r="B170" s="27" t="s">
        <v>556</v>
      </c>
      <c r="C170" s="27" t="s">
        <v>557</v>
      </c>
      <c r="D170" s="27" t="s">
        <v>558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1.0</v>
      </c>
      <c r="K170" s="33" t="n">
        <f>2049</f>
        <v>2049.0</v>
      </c>
      <c r="L170" s="34" t="s">
        <v>48</v>
      </c>
      <c r="M170" s="33" t="n">
        <f>2133</f>
        <v>2133.0</v>
      </c>
      <c r="N170" s="34" t="s">
        <v>236</v>
      </c>
      <c r="O170" s="33" t="n">
        <f>1954</f>
        <v>1954.0</v>
      </c>
      <c r="P170" s="34" t="s">
        <v>50</v>
      </c>
      <c r="Q170" s="33" t="n">
        <f>2029</f>
        <v>2029.0</v>
      </c>
      <c r="R170" s="34" t="s">
        <v>51</v>
      </c>
      <c r="S170" s="35" t="n">
        <f>2063.59</f>
        <v>2063.59</v>
      </c>
      <c r="T170" s="32" t="n">
        <f>12797</f>
        <v>12797.0</v>
      </c>
      <c r="U170" s="32" t="str">
        <f>"－"</f>
        <v>－</v>
      </c>
      <c r="V170" s="32" t="n">
        <f>26632280</f>
        <v>2.663228E7</v>
      </c>
      <c r="W170" s="32" t="str">
        <f>"－"</f>
        <v>－</v>
      </c>
      <c r="X170" s="36" t="n">
        <f>22</f>
        <v>22.0</v>
      </c>
    </row>
    <row r="171">
      <c r="A171" s="27" t="s">
        <v>42</v>
      </c>
      <c r="B171" s="27" t="s">
        <v>559</v>
      </c>
      <c r="C171" s="27" t="s">
        <v>560</v>
      </c>
      <c r="D171" s="27" t="s">
        <v>561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1.0</v>
      </c>
      <c r="K171" s="33" t="n">
        <f>1198</f>
        <v>1198.0</v>
      </c>
      <c r="L171" s="34" t="s">
        <v>48</v>
      </c>
      <c r="M171" s="33" t="n">
        <f>1266</f>
        <v>1266.0</v>
      </c>
      <c r="N171" s="34" t="s">
        <v>66</v>
      </c>
      <c r="O171" s="33" t="n">
        <f>1053</f>
        <v>1053.0</v>
      </c>
      <c r="P171" s="34" t="s">
        <v>51</v>
      </c>
      <c r="Q171" s="33" t="n">
        <f>1069</f>
        <v>1069.0</v>
      </c>
      <c r="R171" s="34" t="s">
        <v>51</v>
      </c>
      <c r="S171" s="35" t="n">
        <f>1172.5</f>
        <v>1172.5</v>
      </c>
      <c r="T171" s="32" t="n">
        <f>6270095</f>
        <v>6270095.0</v>
      </c>
      <c r="U171" s="32" t="n">
        <f>1928</f>
        <v>1928.0</v>
      </c>
      <c r="V171" s="32" t="n">
        <f>7381839870</f>
        <v>7.38183987E9</v>
      </c>
      <c r="W171" s="32" t="n">
        <f>2124499</f>
        <v>2124499.0</v>
      </c>
      <c r="X171" s="36" t="n">
        <f>22</f>
        <v>22.0</v>
      </c>
    </row>
    <row r="172">
      <c r="A172" s="27" t="s">
        <v>42</v>
      </c>
      <c r="B172" s="27" t="s">
        <v>562</v>
      </c>
      <c r="C172" s="27" t="s">
        <v>563</v>
      </c>
      <c r="D172" s="27" t="s">
        <v>564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298.3</f>
        <v>298.3</v>
      </c>
      <c r="L172" s="34" t="s">
        <v>48</v>
      </c>
      <c r="M172" s="33" t="n">
        <f>304.2</f>
        <v>304.2</v>
      </c>
      <c r="N172" s="34" t="s">
        <v>108</v>
      </c>
      <c r="O172" s="33" t="n">
        <f>290.2</f>
        <v>290.2</v>
      </c>
      <c r="P172" s="34" t="s">
        <v>70</v>
      </c>
      <c r="Q172" s="33" t="n">
        <f>301.5</f>
        <v>301.5</v>
      </c>
      <c r="R172" s="34" t="s">
        <v>51</v>
      </c>
      <c r="S172" s="35" t="n">
        <f>298.22</f>
        <v>298.22</v>
      </c>
      <c r="T172" s="32" t="n">
        <f>12126250</f>
        <v>1.212625E7</v>
      </c>
      <c r="U172" s="32" t="n">
        <f>6606400</f>
        <v>6606400.0</v>
      </c>
      <c r="V172" s="32" t="n">
        <f>3608756800</f>
        <v>3.6087568E9</v>
      </c>
      <c r="W172" s="32" t="n">
        <f>1964197678</f>
        <v>1.964197678E9</v>
      </c>
      <c r="X172" s="36" t="n">
        <f>22</f>
        <v>22.0</v>
      </c>
    </row>
    <row r="173">
      <c r="A173" s="27" t="s">
        <v>42</v>
      </c>
      <c r="B173" s="27" t="s">
        <v>565</v>
      </c>
      <c r="C173" s="27" t="s">
        <v>566</v>
      </c>
      <c r="D173" s="27" t="s">
        <v>567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10.0</v>
      </c>
      <c r="K173" s="33" t="n">
        <f>323.4</f>
        <v>323.4</v>
      </c>
      <c r="L173" s="34" t="s">
        <v>48</v>
      </c>
      <c r="M173" s="33" t="n">
        <f>323.4</f>
        <v>323.4</v>
      </c>
      <c r="N173" s="34" t="s">
        <v>48</v>
      </c>
      <c r="O173" s="33" t="n">
        <f>301.3</f>
        <v>301.3</v>
      </c>
      <c r="P173" s="34" t="s">
        <v>91</v>
      </c>
      <c r="Q173" s="33" t="n">
        <f>310</f>
        <v>310.0</v>
      </c>
      <c r="R173" s="34" t="s">
        <v>51</v>
      </c>
      <c r="S173" s="35" t="n">
        <f>315.96</f>
        <v>315.96</v>
      </c>
      <c r="T173" s="32" t="n">
        <f>4270110</f>
        <v>4270110.0</v>
      </c>
      <c r="U173" s="32" t="n">
        <f>80000</f>
        <v>80000.0</v>
      </c>
      <c r="V173" s="32" t="n">
        <f>1339105934</f>
        <v>1.339105934E9</v>
      </c>
      <c r="W173" s="32" t="n">
        <f>25757600</f>
        <v>2.57576E7</v>
      </c>
      <c r="X173" s="36" t="n">
        <f>22</f>
        <v>22.0</v>
      </c>
    </row>
    <row r="174">
      <c r="A174" s="27" t="s">
        <v>42</v>
      </c>
      <c r="B174" s="27" t="s">
        <v>568</v>
      </c>
      <c r="C174" s="27" t="s">
        <v>569</v>
      </c>
      <c r="D174" s="27" t="s">
        <v>570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10.0</v>
      </c>
      <c r="K174" s="33" t="n">
        <f>525.5</f>
        <v>525.5</v>
      </c>
      <c r="L174" s="34" t="s">
        <v>48</v>
      </c>
      <c r="M174" s="33" t="n">
        <f>529.7</f>
        <v>529.7</v>
      </c>
      <c r="N174" s="34" t="s">
        <v>66</v>
      </c>
      <c r="O174" s="33" t="n">
        <f>499.1</f>
        <v>499.1</v>
      </c>
      <c r="P174" s="34" t="s">
        <v>91</v>
      </c>
      <c r="Q174" s="33" t="n">
        <f>518.1</f>
        <v>518.1</v>
      </c>
      <c r="R174" s="34" t="s">
        <v>51</v>
      </c>
      <c r="S174" s="35" t="n">
        <f>517.97</f>
        <v>517.97</v>
      </c>
      <c r="T174" s="32" t="n">
        <f>1943420</f>
        <v>1943420.0</v>
      </c>
      <c r="U174" s="32" t="n">
        <f>1930000</f>
        <v>1930000.0</v>
      </c>
      <c r="V174" s="32" t="n">
        <f>1010614383</f>
        <v>1.010614383E9</v>
      </c>
      <c r="W174" s="32" t="n">
        <f>1003717344</f>
        <v>1.003717344E9</v>
      </c>
      <c r="X174" s="36" t="n">
        <f>21</f>
        <v>21.0</v>
      </c>
    </row>
    <row r="175">
      <c r="A175" s="27" t="s">
        <v>42</v>
      </c>
      <c r="B175" s="27" t="s">
        <v>571</v>
      </c>
      <c r="C175" s="27" t="s">
        <v>572</v>
      </c>
      <c r="D175" s="27" t="s">
        <v>573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543.8</f>
        <v>543.8</v>
      </c>
      <c r="L175" s="34" t="s">
        <v>48</v>
      </c>
      <c r="M175" s="33" t="n">
        <f>557.1</f>
        <v>557.1</v>
      </c>
      <c r="N175" s="34" t="s">
        <v>66</v>
      </c>
      <c r="O175" s="33" t="n">
        <f>516</f>
        <v>516.0</v>
      </c>
      <c r="P175" s="34" t="s">
        <v>91</v>
      </c>
      <c r="Q175" s="33" t="n">
        <f>531.9</f>
        <v>531.9</v>
      </c>
      <c r="R175" s="34" t="s">
        <v>51</v>
      </c>
      <c r="S175" s="35" t="n">
        <f>538.57</f>
        <v>538.57</v>
      </c>
      <c r="T175" s="32" t="n">
        <f>55670</f>
        <v>55670.0</v>
      </c>
      <c r="U175" s="32" t="str">
        <f>"－"</f>
        <v>－</v>
      </c>
      <c r="V175" s="32" t="n">
        <f>29871489</f>
        <v>2.9871489E7</v>
      </c>
      <c r="W175" s="32" t="str">
        <f>"－"</f>
        <v>－</v>
      </c>
      <c r="X175" s="36" t="n">
        <f>22</f>
        <v>22.0</v>
      </c>
    </row>
    <row r="176">
      <c r="A176" s="27" t="s">
        <v>42</v>
      </c>
      <c r="B176" s="27" t="s">
        <v>574</v>
      </c>
      <c r="C176" s="27" t="s">
        <v>575</v>
      </c>
      <c r="D176" s="27" t="s">
        <v>576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10.0</v>
      </c>
      <c r="K176" s="33" t="n">
        <f>521.5</f>
        <v>521.5</v>
      </c>
      <c r="L176" s="34" t="s">
        <v>48</v>
      </c>
      <c r="M176" s="33" t="n">
        <f>528.7</f>
        <v>528.7</v>
      </c>
      <c r="N176" s="34" t="s">
        <v>220</v>
      </c>
      <c r="O176" s="33" t="n">
        <f>506.6</f>
        <v>506.6</v>
      </c>
      <c r="P176" s="34" t="s">
        <v>70</v>
      </c>
      <c r="Q176" s="33" t="n">
        <f>517.9</f>
        <v>517.9</v>
      </c>
      <c r="R176" s="34" t="s">
        <v>91</v>
      </c>
      <c r="S176" s="35" t="n">
        <f>522.39</f>
        <v>522.39</v>
      </c>
      <c r="T176" s="32" t="n">
        <f>8850</f>
        <v>8850.0</v>
      </c>
      <c r="U176" s="32" t="str">
        <f>"－"</f>
        <v>－</v>
      </c>
      <c r="V176" s="32" t="n">
        <f>4637150</f>
        <v>4637150.0</v>
      </c>
      <c r="W176" s="32" t="str">
        <f>"－"</f>
        <v>－</v>
      </c>
      <c r="X176" s="36" t="n">
        <f>15</f>
        <v>15.0</v>
      </c>
    </row>
    <row r="177">
      <c r="A177" s="27" t="s">
        <v>42</v>
      </c>
      <c r="B177" s="27" t="s">
        <v>577</v>
      </c>
      <c r="C177" s="27" t="s">
        <v>578</v>
      </c>
      <c r="D177" s="27" t="s">
        <v>579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1.0</v>
      </c>
      <c r="K177" s="33" t="n">
        <f>1056</f>
        <v>1056.0</v>
      </c>
      <c r="L177" s="34" t="s">
        <v>48</v>
      </c>
      <c r="M177" s="33" t="n">
        <f>1085</f>
        <v>1085.0</v>
      </c>
      <c r="N177" s="34" t="s">
        <v>220</v>
      </c>
      <c r="O177" s="33" t="n">
        <f>1007</f>
        <v>1007.0</v>
      </c>
      <c r="P177" s="34" t="s">
        <v>91</v>
      </c>
      <c r="Q177" s="33" t="n">
        <f>1053</f>
        <v>1053.0</v>
      </c>
      <c r="R177" s="34" t="s">
        <v>51</v>
      </c>
      <c r="S177" s="35" t="n">
        <f>1061.18</f>
        <v>1061.18</v>
      </c>
      <c r="T177" s="32" t="n">
        <f>1818115</f>
        <v>1818115.0</v>
      </c>
      <c r="U177" s="32" t="n">
        <f>393</f>
        <v>393.0</v>
      </c>
      <c r="V177" s="32" t="n">
        <f>1926507049</f>
        <v>1.926507049E9</v>
      </c>
      <c r="W177" s="32" t="n">
        <f>412660</f>
        <v>412660.0</v>
      </c>
      <c r="X177" s="36" t="n">
        <f>22</f>
        <v>22.0</v>
      </c>
    </row>
    <row r="178">
      <c r="A178" s="27" t="s">
        <v>42</v>
      </c>
      <c r="B178" s="27" t="s">
        <v>580</v>
      </c>
      <c r="C178" s="27" t="s">
        <v>581</v>
      </c>
      <c r="D178" s="27" t="s">
        <v>582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1.0</v>
      </c>
      <c r="K178" s="33" t="n">
        <f>2062</f>
        <v>2062.0</v>
      </c>
      <c r="L178" s="34" t="s">
        <v>48</v>
      </c>
      <c r="M178" s="33" t="n">
        <f>2227</f>
        <v>2227.0</v>
      </c>
      <c r="N178" s="34" t="s">
        <v>66</v>
      </c>
      <c r="O178" s="33" t="n">
        <f>1688</f>
        <v>1688.0</v>
      </c>
      <c r="P178" s="34" t="s">
        <v>50</v>
      </c>
      <c r="Q178" s="33" t="n">
        <f>1826</f>
        <v>1826.0</v>
      </c>
      <c r="R178" s="34" t="s">
        <v>51</v>
      </c>
      <c r="S178" s="35" t="n">
        <f>1986.18</f>
        <v>1986.18</v>
      </c>
      <c r="T178" s="32" t="n">
        <f>14192066</f>
        <v>1.4192066E7</v>
      </c>
      <c r="U178" s="32" t="n">
        <f>3251758</f>
        <v>3251758.0</v>
      </c>
      <c r="V178" s="32" t="n">
        <f>27465406063</f>
        <v>2.7465406063E10</v>
      </c>
      <c r="W178" s="32" t="n">
        <f>6263916870</f>
        <v>6.26391687E9</v>
      </c>
      <c r="X178" s="36" t="n">
        <f>22</f>
        <v>22.0</v>
      </c>
    </row>
    <row r="179">
      <c r="A179" s="27" t="s">
        <v>42</v>
      </c>
      <c r="B179" s="27" t="s">
        <v>583</v>
      </c>
      <c r="C179" s="27" t="s">
        <v>584</v>
      </c>
      <c r="D179" s="27" t="s">
        <v>585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10.0</v>
      </c>
      <c r="K179" s="33" t="n">
        <f>581</f>
        <v>581.0</v>
      </c>
      <c r="L179" s="34" t="s">
        <v>48</v>
      </c>
      <c r="M179" s="33" t="n">
        <f>600</f>
        <v>600.0</v>
      </c>
      <c r="N179" s="34" t="s">
        <v>90</v>
      </c>
      <c r="O179" s="33" t="n">
        <f>560.2</f>
        <v>560.2</v>
      </c>
      <c r="P179" s="34" t="s">
        <v>91</v>
      </c>
      <c r="Q179" s="33" t="n">
        <f>589.9</f>
        <v>589.9</v>
      </c>
      <c r="R179" s="34" t="s">
        <v>51</v>
      </c>
      <c r="S179" s="35" t="n">
        <f>586.91</f>
        <v>586.91</v>
      </c>
      <c r="T179" s="32" t="n">
        <f>874350</f>
        <v>874350.0</v>
      </c>
      <c r="U179" s="32" t="str">
        <f>"－"</f>
        <v>－</v>
      </c>
      <c r="V179" s="32" t="n">
        <f>511916916</f>
        <v>5.11916916E8</v>
      </c>
      <c r="W179" s="32" t="str">
        <f>"－"</f>
        <v>－</v>
      </c>
      <c r="X179" s="36" t="n">
        <f>22</f>
        <v>22.0</v>
      </c>
    </row>
    <row r="180">
      <c r="A180" s="27" t="s">
        <v>42</v>
      </c>
      <c r="B180" s="27" t="s">
        <v>586</v>
      </c>
      <c r="C180" s="27" t="s">
        <v>587</v>
      </c>
      <c r="D180" s="27" t="s">
        <v>588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10.0</v>
      </c>
      <c r="K180" s="33" t="n">
        <f>232.6</f>
        <v>232.6</v>
      </c>
      <c r="L180" s="34" t="s">
        <v>48</v>
      </c>
      <c r="M180" s="33" t="n">
        <f>232.6</f>
        <v>232.6</v>
      </c>
      <c r="N180" s="34" t="s">
        <v>48</v>
      </c>
      <c r="O180" s="33" t="n">
        <f>212.3</f>
        <v>212.3</v>
      </c>
      <c r="P180" s="34" t="s">
        <v>51</v>
      </c>
      <c r="Q180" s="33" t="n">
        <f>214.1</f>
        <v>214.1</v>
      </c>
      <c r="R180" s="34" t="s">
        <v>51</v>
      </c>
      <c r="S180" s="35" t="n">
        <f>220.85</f>
        <v>220.85</v>
      </c>
      <c r="T180" s="32" t="n">
        <f>30721660</f>
        <v>3.072166E7</v>
      </c>
      <c r="U180" s="32" t="n">
        <f>20279880</f>
        <v>2.027988E7</v>
      </c>
      <c r="V180" s="32" t="n">
        <f>6792483489</f>
        <v>6.792483489E9</v>
      </c>
      <c r="W180" s="32" t="n">
        <f>4489466006</f>
        <v>4.489466006E9</v>
      </c>
      <c r="X180" s="36" t="n">
        <f>22</f>
        <v>22.0</v>
      </c>
    </row>
    <row r="181">
      <c r="A181" s="27" t="s">
        <v>42</v>
      </c>
      <c r="B181" s="27" t="s">
        <v>589</v>
      </c>
      <c r="C181" s="27" t="s">
        <v>590</v>
      </c>
      <c r="D181" s="27" t="s">
        <v>591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10.0</v>
      </c>
      <c r="K181" s="33" t="n">
        <f>236</f>
        <v>236.0</v>
      </c>
      <c r="L181" s="34" t="s">
        <v>48</v>
      </c>
      <c r="M181" s="33" t="n">
        <f>239.8</f>
        <v>239.8</v>
      </c>
      <c r="N181" s="34" t="s">
        <v>385</v>
      </c>
      <c r="O181" s="33" t="n">
        <f>229.1</f>
        <v>229.1</v>
      </c>
      <c r="P181" s="34" t="s">
        <v>91</v>
      </c>
      <c r="Q181" s="33" t="n">
        <f>235.7</f>
        <v>235.7</v>
      </c>
      <c r="R181" s="34" t="s">
        <v>51</v>
      </c>
      <c r="S181" s="35" t="n">
        <f>234.88</f>
        <v>234.88</v>
      </c>
      <c r="T181" s="32" t="n">
        <f>5531120</f>
        <v>5531120.0</v>
      </c>
      <c r="U181" s="32" t="n">
        <f>50</f>
        <v>50.0</v>
      </c>
      <c r="V181" s="32" t="n">
        <f>1298418341</f>
        <v>1.298418341E9</v>
      </c>
      <c r="W181" s="32" t="n">
        <f>10910</f>
        <v>10910.0</v>
      </c>
      <c r="X181" s="36" t="n">
        <f>22</f>
        <v>22.0</v>
      </c>
    </row>
    <row r="182">
      <c r="A182" s="27" t="s">
        <v>42</v>
      </c>
      <c r="B182" s="27" t="s">
        <v>592</v>
      </c>
      <c r="C182" s="27" t="s">
        <v>593</v>
      </c>
      <c r="D182" s="27" t="s">
        <v>594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10.0</v>
      </c>
      <c r="K182" s="33" t="n">
        <f>238.3</f>
        <v>238.3</v>
      </c>
      <c r="L182" s="34" t="s">
        <v>48</v>
      </c>
      <c r="M182" s="33" t="n">
        <f>243.7</f>
        <v>243.7</v>
      </c>
      <c r="N182" s="34" t="s">
        <v>90</v>
      </c>
      <c r="O182" s="33" t="n">
        <f>230</f>
        <v>230.0</v>
      </c>
      <c r="P182" s="34" t="s">
        <v>91</v>
      </c>
      <c r="Q182" s="33" t="n">
        <f>235.3</f>
        <v>235.3</v>
      </c>
      <c r="R182" s="34" t="s">
        <v>51</v>
      </c>
      <c r="S182" s="35" t="n">
        <f>237.9</f>
        <v>237.9</v>
      </c>
      <c r="T182" s="32" t="n">
        <f>6720080</f>
        <v>6720080.0</v>
      </c>
      <c r="U182" s="32" t="n">
        <f>660</f>
        <v>660.0</v>
      </c>
      <c r="V182" s="32" t="n">
        <f>1598343262</f>
        <v>1.598343262E9</v>
      </c>
      <c r="W182" s="32" t="n">
        <f>155820</f>
        <v>155820.0</v>
      </c>
      <c r="X182" s="36" t="n">
        <f>22</f>
        <v>22.0</v>
      </c>
    </row>
    <row r="183">
      <c r="A183" s="27" t="s">
        <v>42</v>
      </c>
      <c r="B183" s="27" t="s">
        <v>595</v>
      </c>
      <c r="C183" s="27" t="s">
        <v>596</v>
      </c>
      <c r="D183" s="27" t="s">
        <v>597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2158</f>
        <v>2158.0</v>
      </c>
      <c r="L183" s="34" t="s">
        <v>48</v>
      </c>
      <c r="M183" s="33" t="n">
        <f>2208</f>
        <v>2208.0</v>
      </c>
      <c r="N183" s="34" t="s">
        <v>112</v>
      </c>
      <c r="O183" s="33" t="n">
        <f>2044</f>
        <v>2044.0</v>
      </c>
      <c r="P183" s="34" t="s">
        <v>598</v>
      </c>
      <c r="Q183" s="33" t="n">
        <f>2096</f>
        <v>2096.0</v>
      </c>
      <c r="R183" s="34" t="s">
        <v>51</v>
      </c>
      <c r="S183" s="35" t="n">
        <f>2138.14</f>
        <v>2138.14</v>
      </c>
      <c r="T183" s="32" t="n">
        <f>1417138</f>
        <v>1417138.0</v>
      </c>
      <c r="U183" s="32" t="n">
        <f>1210000</f>
        <v>1210000.0</v>
      </c>
      <c r="V183" s="32" t="n">
        <f>3029336984</f>
        <v>3.029336984E9</v>
      </c>
      <c r="W183" s="32" t="n">
        <f>2586441000</f>
        <v>2.586441E9</v>
      </c>
      <c r="X183" s="36" t="n">
        <f>22</f>
        <v>22.0</v>
      </c>
    </row>
    <row r="184">
      <c r="A184" s="27" t="s">
        <v>42</v>
      </c>
      <c r="B184" s="27" t="s">
        <v>599</v>
      </c>
      <c r="C184" s="27" t="s">
        <v>600</v>
      </c>
      <c r="D184" s="27" t="s">
        <v>601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1.0</v>
      </c>
      <c r="K184" s="33" t="n">
        <f>1928</f>
        <v>1928.0</v>
      </c>
      <c r="L184" s="34" t="s">
        <v>48</v>
      </c>
      <c r="M184" s="33" t="n">
        <f>1990</f>
        <v>1990.0</v>
      </c>
      <c r="N184" s="34" t="s">
        <v>220</v>
      </c>
      <c r="O184" s="33" t="n">
        <f>1917</f>
        <v>1917.0</v>
      </c>
      <c r="P184" s="34" t="s">
        <v>70</v>
      </c>
      <c r="Q184" s="33" t="n">
        <f>1959</f>
        <v>1959.0</v>
      </c>
      <c r="R184" s="34" t="s">
        <v>51</v>
      </c>
      <c r="S184" s="35" t="n">
        <f>1943.82</f>
        <v>1943.82</v>
      </c>
      <c r="T184" s="32" t="n">
        <f>62502</f>
        <v>62502.0</v>
      </c>
      <c r="U184" s="32" t="n">
        <f>2</f>
        <v>2.0</v>
      </c>
      <c r="V184" s="32" t="n">
        <f>121731878</f>
        <v>1.21731878E8</v>
      </c>
      <c r="W184" s="32" t="n">
        <f>3859</f>
        <v>3859.0</v>
      </c>
      <c r="X184" s="36" t="n">
        <f>22</f>
        <v>22.0</v>
      </c>
    </row>
    <row r="185">
      <c r="A185" s="27" t="s">
        <v>42</v>
      </c>
      <c r="B185" s="27" t="s">
        <v>602</v>
      </c>
      <c r="C185" s="27" t="s">
        <v>603</v>
      </c>
      <c r="D185" s="27" t="s">
        <v>604</v>
      </c>
      <c r="E185" s="28" t="s">
        <v>46</v>
      </c>
      <c r="F185" s="29" t="s">
        <v>46</v>
      </c>
      <c r="G185" s="30" t="s">
        <v>46</v>
      </c>
      <c r="H185" s="31"/>
      <c r="I185" s="31" t="s">
        <v>47</v>
      </c>
      <c r="J185" s="32" t="n">
        <v>1.0</v>
      </c>
      <c r="K185" s="33" t="n">
        <f>1104</f>
        <v>1104.0</v>
      </c>
      <c r="L185" s="34" t="s">
        <v>48</v>
      </c>
      <c r="M185" s="33" t="n">
        <f>1165</f>
        <v>1165.0</v>
      </c>
      <c r="N185" s="34" t="s">
        <v>66</v>
      </c>
      <c r="O185" s="33" t="n">
        <f>1052</f>
        <v>1052.0</v>
      </c>
      <c r="P185" s="34" t="s">
        <v>50</v>
      </c>
      <c r="Q185" s="33" t="n">
        <f>1095</f>
        <v>1095.0</v>
      </c>
      <c r="R185" s="34" t="s">
        <v>51</v>
      </c>
      <c r="S185" s="35" t="n">
        <f>1114.68</f>
        <v>1114.68</v>
      </c>
      <c r="T185" s="32" t="n">
        <f>3581846</f>
        <v>3581846.0</v>
      </c>
      <c r="U185" s="32" t="n">
        <f>335173</f>
        <v>335173.0</v>
      </c>
      <c r="V185" s="32" t="n">
        <f>3985184859</f>
        <v>3.985184859E9</v>
      </c>
      <c r="W185" s="32" t="n">
        <f>378966010</f>
        <v>3.7896601E8</v>
      </c>
      <c r="X185" s="36" t="n">
        <f>22</f>
        <v>22.0</v>
      </c>
    </row>
    <row r="186">
      <c r="A186" s="27" t="s">
        <v>42</v>
      </c>
      <c r="B186" s="27" t="s">
        <v>605</v>
      </c>
      <c r="C186" s="27" t="s">
        <v>606</v>
      </c>
      <c r="D186" s="27" t="s">
        <v>607</v>
      </c>
      <c r="E186" s="28" t="s">
        <v>46</v>
      </c>
      <c r="F186" s="29" t="s">
        <v>46</v>
      </c>
      <c r="G186" s="30" t="s">
        <v>46</v>
      </c>
      <c r="H186" s="31"/>
      <c r="I186" s="31" t="s">
        <v>47</v>
      </c>
      <c r="J186" s="32" t="n">
        <v>1.0</v>
      </c>
      <c r="K186" s="33" t="n">
        <f>1083</f>
        <v>1083.0</v>
      </c>
      <c r="L186" s="34" t="s">
        <v>48</v>
      </c>
      <c r="M186" s="33" t="n">
        <f>1146</f>
        <v>1146.0</v>
      </c>
      <c r="N186" s="34" t="s">
        <v>90</v>
      </c>
      <c r="O186" s="33" t="n">
        <f>1083</f>
        <v>1083.0</v>
      </c>
      <c r="P186" s="34" t="s">
        <v>48</v>
      </c>
      <c r="Q186" s="33" t="n">
        <f>1113</f>
        <v>1113.0</v>
      </c>
      <c r="R186" s="34" t="s">
        <v>51</v>
      </c>
      <c r="S186" s="35" t="n">
        <f>1110.73</f>
        <v>1110.73</v>
      </c>
      <c r="T186" s="32" t="n">
        <f>283649</f>
        <v>283649.0</v>
      </c>
      <c r="U186" s="32" t="str">
        <f>"－"</f>
        <v>－</v>
      </c>
      <c r="V186" s="32" t="n">
        <f>315229603</f>
        <v>3.15229603E8</v>
      </c>
      <c r="W186" s="32" t="str">
        <f>"－"</f>
        <v>－</v>
      </c>
      <c r="X186" s="36" t="n">
        <f>22</f>
        <v>22.0</v>
      </c>
    </row>
    <row r="187">
      <c r="A187" s="27" t="s">
        <v>42</v>
      </c>
      <c r="B187" s="27" t="s">
        <v>608</v>
      </c>
      <c r="C187" s="27" t="s">
        <v>609</v>
      </c>
      <c r="D187" s="27" t="s">
        <v>610</v>
      </c>
      <c r="E187" s="28" t="s">
        <v>46</v>
      </c>
      <c r="F187" s="29" t="s">
        <v>46</v>
      </c>
      <c r="G187" s="30" t="s">
        <v>46</v>
      </c>
      <c r="H187" s="31"/>
      <c r="I187" s="31" t="s">
        <v>47</v>
      </c>
      <c r="J187" s="32" t="n">
        <v>1.0</v>
      </c>
      <c r="K187" s="33" t="n">
        <f>1100</f>
        <v>1100.0</v>
      </c>
      <c r="L187" s="34" t="s">
        <v>48</v>
      </c>
      <c r="M187" s="33" t="n">
        <f>1106</f>
        <v>1106.0</v>
      </c>
      <c r="N187" s="34" t="s">
        <v>112</v>
      </c>
      <c r="O187" s="33" t="n">
        <f>1026</f>
        <v>1026.0</v>
      </c>
      <c r="P187" s="34" t="s">
        <v>91</v>
      </c>
      <c r="Q187" s="33" t="n">
        <f>1034</f>
        <v>1034.0</v>
      </c>
      <c r="R187" s="34" t="s">
        <v>51</v>
      </c>
      <c r="S187" s="35" t="n">
        <f>1078.27</f>
        <v>1078.27</v>
      </c>
      <c r="T187" s="32" t="n">
        <f>107356</f>
        <v>107356.0</v>
      </c>
      <c r="U187" s="32" t="str">
        <f>"－"</f>
        <v>－</v>
      </c>
      <c r="V187" s="32" t="n">
        <f>114820858</f>
        <v>1.14820858E8</v>
      </c>
      <c r="W187" s="32" t="str">
        <f>"－"</f>
        <v>－</v>
      </c>
      <c r="X187" s="36" t="n">
        <f>22</f>
        <v>22.0</v>
      </c>
    </row>
    <row r="188">
      <c r="A188" s="27" t="s">
        <v>42</v>
      </c>
      <c r="B188" s="27" t="s">
        <v>611</v>
      </c>
      <c r="C188" s="27" t="s">
        <v>612</v>
      </c>
      <c r="D188" s="27" t="s">
        <v>613</v>
      </c>
      <c r="E188" s="28" t="s">
        <v>46</v>
      </c>
      <c r="F188" s="29" t="s">
        <v>46</v>
      </c>
      <c r="G188" s="30" t="s">
        <v>46</v>
      </c>
      <c r="H188" s="31"/>
      <c r="I188" s="31" t="s">
        <v>47</v>
      </c>
      <c r="J188" s="32" t="n">
        <v>10.0</v>
      </c>
      <c r="K188" s="33" t="n">
        <f>217</f>
        <v>217.0</v>
      </c>
      <c r="L188" s="34" t="s">
        <v>48</v>
      </c>
      <c r="M188" s="33" t="n">
        <f>220</f>
        <v>220.0</v>
      </c>
      <c r="N188" s="34" t="s">
        <v>58</v>
      </c>
      <c r="O188" s="33" t="n">
        <f>201.9</f>
        <v>201.9</v>
      </c>
      <c r="P188" s="34" t="s">
        <v>91</v>
      </c>
      <c r="Q188" s="33" t="n">
        <f>209.5</f>
        <v>209.5</v>
      </c>
      <c r="R188" s="34" t="s">
        <v>51</v>
      </c>
      <c r="S188" s="35" t="n">
        <f>213.47</f>
        <v>213.47</v>
      </c>
      <c r="T188" s="32" t="n">
        <f>19316520</f>
        <v>1.931652E7</v>
      </c>
      <c r="U188" s="32" t="n">
        <f>318920</f>
        <v>318920.0</v>
      </c>
      <c r="V188" s="32" t="n">
        <f>4130189687</f>
        <v>4.130189687E9</v>
      </c>
      <c r="W188" s="32" t="n">
        <f>67418079</f>
        <v>6.7418079E7</v>
      </c>
      <c r="X188" s="36" t="n">
        <f>22</f>
        <v>22.0</v>
      </c>
    </row>
    <row r="189">
      <c r="A189" s="27" t="s">
        <v>42</v>
      </c>
      <c r="B189" s="27" t="s">
        <v>614</v>
      </c>
      <c r="C189" s="27" t="s">
        <v>615</v>
      </c>
      <c r="D189" s="27" t="s">
        <v>616</v>
      </c>
      <c r="E189" s="28" t="s">
        <v>46</v>
      </c>
      <c r="F189" s="29" t="s">
        <v>46</v>
      </c>
      <c r="G189" s="30" t="s">
        <v>46</v>
      </c>
      <c r="H189" s="31"/>
      <c r="I189" s="31" t="s">
        <v>425</v>
      </c>
      <c r="J189" s="32" t="n">
        <v>1.0</v>
      </c>
      <c r="K189" s="33" t="n">
        <f>4785</f>
        <v>4785.0</v>
      </c>
      <c r="L189" s="34" t="s">
        <v>48</v>
      </c>
      <c r="M189" s="33" t="n">
        <f>5080</f>
        <v>5080.0</v>
      </c>
      <c r="N189" s="34" t="s">
        <v>58</v>
      </c>
      <c r="O189" s="33" t="n">
        <f>4160</f>
        <v>4160.0</v>
      </c>
      <c r="P189" s="34" t="s">
        <v>91</v>
      </c>
      <c r="Q189" s="33" t="n">
        <f>4380</f>
        <v>4380.0</v>
      </c>
      <c r="R189" s="34" t="s">
        <v>51</v>
      </c>
      <c r="S189" s="35" t="n">
        <f>4670.23</f>
        <v>4670.23</v>
      </c>
      <c r="T189" s="32" t="n">
        <f>76260</f>
        <v>76260.0</v>
      </c>
      <c r="U189" s="32" t="str">
        <f>"－"</f>
        <v>－</v>
      </c>
      <c r="V189" s="32" t="n">
        <f>356589465</f>
        <v>3.56589465E8</v>
      </c>
      <c r="W189" s="32" t="str">
        <f>"－"</f>
        <v>－</v>
      </c>
      <c r="X189" s="36" t="n">
        <f>22</f>
        <v>22.0</v>
      </c>
    </row>
    <row r="190">
      <c r="A190" s="27" t="s">
        <v>42</v>
      </c>
      <c r="B190" s="27" t="s">
        <v>617</v>
      </c>
      <c r="C190" s="27" t="s">
        <v>618</v>
      </c>
      <c r="D190" s="27" t="s">
        <v>619</v>
      </c>
      <c r="E190" s="28" t="s">
        <v>46</v>
      </c>
      <c r="F190" s="29" t="s">
        <v>46</v>
      </c>
      <c r="G190" s="30" t="s">
        <v>46</v>
      </c>
      <c r="H190" s="31"/>
      <c r="I190" s="31" t="s">
        <v>425</v>
      </c>
      <c r="J190" s="32" t="n">
        <v>1.0</v>
      </c>
      <c r="K190" s="33" t="n">
        <f>9890</f>
        <v>9890.0</v>
      </c>
      <c r="L190" s="34" t="s">
        <v>48</v>
      </c>
      <c r="M190" s="33" t="n">
        <f>9974</f>
        <v>9974.0</v>
      </c>
      <c r="N190" s="34" t="s">
        <v>112</v>
      </c>
      <c r="O190" s="33" t="n">
        <f>9281</f>
        <v>9281.0</v>
      </c>
      <c r="P190" s="34" t="s">
        <v>207</v>
      </c>
      <c r="Q190" s="33" t="n">
        <f>9528</f>
        <v>9528.0</v>
      </c>
      <c r="R190" s="34" t="s">
        <v>51</v>
      </c>
      <c r="S190" s="35" t="n">
        <f>9635.82</f>
        <v>9635.82</v>
      </c>
      <c r="T190" s="32" t="n">
        <f>5954</f>
        <v>5954.0</v>
      </c>
      <c r="U190" s="32" t="str">
        <f>"－"</f>
        <v>－</v>
      </c>
      <c r="V190" s="32" t="n">
        <f>57109156</f>
        <v>5.7109156E7</v>
      </c>
      <c r="W190" s="32" t="str">
        <f>"－"</f>
        <v>－</v>
      </c>
      <c r="X190" s="36" t="n">
        <f>22</f>
        <v>22.0</v>
      </c>
    </row>
    <row r="191">
      <c r="A191" s="27" t="s">
        <v>42</v>
      </c>
      <c r="B191" s="27" t="s">
        <v>620</v>
      </c>
      <c r="C191" s="27" t="s">
        <v>621</v>
      </c>
      <c r="D191" s="27" t="s">
        <v>622</v>
      </c>
      <c r="E191" s="28" t="s">
        <v>46</v>
      </c>
      <c r="F191" s="29" t="s">
        <v>46</v>
      </c>
      <c r="G191" s="30" t="s">
        <v>46</v>
      </c>
      <c r="H191" s="31"/>
      <c r="I191" s="31" t="s">
        <v>425</v>
      </c>
      <c r="J191" s="32" t="n">
        <v>1.0</v>
      </c>
      <c r="K191" s="33" t="n">
        <f>15565</f>
        <v>15565.0</v>
      </c>
      <c r="L191" s="34" t="s">
        <v>48</v>
      </c>
      <c r="M191" s="33" t="n">
        <f>17020</f>
        <v>17020.0</v>
      </c>
      <c r="N191" s="34" t="s">
        <v>66</v>
      </c>
      <c r="O191" s="33" t="n">
        <f>14000</f>
        <v>14000.0</v>
      </c>
      <c r="P191" s="34" t="s">
        <v>50</v>
      </c>
      <c r="Q191" s="33" t="n">
        <f>14340</f>
        <v>14340.0</v>
      </c>
      <c r="R191" s="34" t="s">
        <v>51</v>
      </c>
      <c r="S191" s="35" t="n">
        <f>15567.95</f>
        <v>15567.95</v>
      </c>
      <c r="T191" s="32" t="n">
        <f>2116</f>
        <v>2116.0</v>
      </c>
      <c r="U191" s="32" t="str">
        <f>"－"</f>
        <v>－</v>
      </c>
      <c r="V191" s="32" t="n">
        <f>33276795</f>
        <v>3.3276795E7</v>
      </c>
      <c r="W191" s="32" t="str">
        <f>"－"</f>
        <v>－</v>
      </c>
      <c r="X191" s="36" t="n">
        <f>22</f>
        <v>22.0</v>
      </c>
    </row>
    <row r="192">
      <c r="A192" s="27" t="s">
        <v>42</v>
      </c>
      <c r="B192" s="27" t="s">
        <v>623</v>
      </c>
      <c r="C192" s="27" t="s">
        <v>624</v>
      </c>
      <c r="D192" s="27" t="s">
        <v>625</v>
      </c>
      <c r="E192" s="28" t="s">
        <v>46</v>
      </c>
      <c r="F192" s="29" t="s">
        <v>46</v>
      </c>
      <c r="G192" s="30" t="s">
        <v>46</v>
      </c>
      <c r="H192" s="31"/>
      <c r="I192" s="31" t="s">
        <v>425</v>
      </c>
      <c r="J192" s="32" t="n">
        <v>1.0</v>
      </c>
      <c r="K192" s="33" t="n">
        <f>7549</f>
        <v>7549.0</v>
      </c>
      <c r="L192" s="34" t="s">
        <v>48</v>
      </c>
      <c r="M192" s="33" t="n">
        <f>7549</f>
        <v>7549.0</v>
      </c>
      <c r="N192" s="34" t="s">
        <v>48</v>
      </c>
      <c r="O192" s="33" t="n">
        <f>7223</f>
        <v>7223.0</v>
      </c>
      <c r="P192" s="34" t="s">
        <v>220</v>
      </c>
      <c r="Q192" s="33" t="n">
        <f>7310</f>
        <v>7310.0</v>
      </c>
      <c r="R192" s="34" t="s">
        <v>51</v>
      </c>
      <c r="S192" s="35" t="n">
        <f>7364.76</f>
        <v>7364.76</v>
      </c>
      <c r="T192" s="32" t="n">
        <f>5415</f>
        <v>5415.0</v>
      </c>
      <c r="U192" s="32" t="str">
        <f>"－"</f>
        <v>－</v>
      </c>
      <c r="V192" s="32" t="n">
        <f>40116369</f>
        <v>4.0116369E7</v>
      </c>
      <c r="W192" s="32" t="str">
        <f>"－"</f>
        <v>－</v>
      </c>
      <c r="X192" s="36" t="n">
        <f>21</f>
        <v>21.0</v>
      </c>
    </row>
    <row r="193">
      <c r="A193" s="27" t="s">
        <v>42</v>
      </c>
      <c r="B193" s="27" t="s">
        <v>626</v>
      </c>
      <c r="C193" s="27" t="s">
        <v>627</v>
      </c>
      <c r="D193" s="27" t="s">
        <v>628</v>
      </c>
      <c r="E193" s="28" t="s">
        <v>46</v>
      </c>
      <c r="F193" s="29" t="s">
        <v>46</v>
      </c>
      <c r="G193" s="30" t="s">
        <v>46</v>
      </c>
      <c r="H193" s="31"/>
      <c r="I193" s="31" t="s">
        <v>425</v>
      </c>
      <c r="J193" s="32" t="n">
        <v>1.0</v>
      </c>
      <c r="K193" s="33" t="n">
        <f>59000</f>
        <v>59000.0</v>
      </c>
      <c r="L193" s="34" t="s">
        <v>48</v>
      </c>
      <c r="M193" s="33" t="n">
        <f>65620</f>
        <v>65620.0</v>
      </c>
      <c r="N193" s="34" t="s">
        <v>90</v>
      </c>
      <c r="O193" s="33" t="n">
        <f>55220</f>
        <v>55220.0</v>
      </c>
      <c r="P193" s="34" t="s">
        <v>91</v>
      </c>
      <c r="Q193" s="33" t="n">
        <f>59180</f>
        <v>59180.0</v>
      </c>
      <c r="R193" s="34" t="s">
        <v>51</v>
      </c>
      <c r="S193" s="35" t="n">
        <f>60579.55</f>
        <v>60579.55</v>
      </c>
      <c r="T193" s="32" t="n">
        <f>88814</f>
        <v>88814.0</v>
      </c>
      <c r="U193" s="32" t="n">
        <f>164</f>
        <v>164.0</v>
      </c>
      <c r="V193" s="32" t="n">
        <f>5368958520</f>
        <v>5.36895852E9</v>
      </c>
      <c r="W193" s="32" t="n">
        <f>9884820</f>
        <v>9884820.0</v>
      </c>
      <c r="X193" s="36" t="n">
        <f>22</f>
        <v>22.0</v>
      </c>
    </row>
    <row r="194">
      <c r="A194" s="27" t="s">
        <v>42</v>
      </c>
      <c r="B194" s="27" t="s">
        <v>629</v>
      </c>
      <c r="C194" s="27" t="s">
        <v>630</v>
      </c>
      <c r="D194" s="27" t="s">
        <v>631</v>
      </c>
      <c r="E194" s="28" t="s">
        <v>46</v>
      </c>
      <c r="F194" s="29" t="s">
        <v>46</v>
      </c>
      <c r="G194" s="30" t="s">
        <v>46</v>
      </c>
      <c r="H194" s="31"/>
      <c r="I194" s="31" t="s">
        <v>425</v>
      </c>
      <c r="J194" s="32" t="n">
        <v>1.0</v>
      </c>
      <c r="K194" s="33" t="n">
        <f>2760</f>
        <v>2760.0</v>
      </c>
      <c r="L194" s="34" t="s">
        <v>48</v>
      </c>
      <c r="M194" s="33" t="n">
        <f>2835</f>
        <v>2835.0</v>
      </c>
      <c r="N194" s="34" t="s">
        <v>91</v>
      </c>
      <c r="O194" s="33" t="n">
        <f>2605</f>
        <v>2605.0</v>
      </c>
      <c r="P194" s="34" t="s">
        <v>90</v>
      </c>
      <c r="Q194" s="33" t="n">
        <f>2742</f>
        <v>2742.0</v>
      </c>
      <c r="R194" s="34" t="s">
        <v>51</v>
      </c>
      <c r="S194" s="35" t="n">
        <f>2703.05</f>
        <v>2703.05</v>
      </c>
      <c r="T194" s="32" t="n">
        <f>14995</f>
        <v>14995.0</v>
      </c>
      <c r="U194" s="32" t="str">
        <f>"－"</f>
        <v>－</v>
      </c>
      <c r="V194" s="32" t="n">
        <f>40848849</f>
        <v>4.0848849E7</v>
      </c>
      <c r="W194" s="32" t="str">
        <f>"－"</f>
        <v>－</v>
      </c>
      <c r="X194" s="36" t="n">
        <f>22</f>
        <v>22.0</v>
      </c>
    </row>
    <row r="195">
      <c r="A195" s="27" t="s">
        <v>42</v>
      </c>
      <c r="B195" s="27" t="s">
        <v>632</v>
      </c>
      <c r="C195" s="27" t="s">
        <v>633</v>
      </c>
      <c r="D195" s="27" t="s">
        <v>634</v>
      </c>
      <c r="E195" s="28" t="s">
        <v>46</v>
      </c>
      <c r="F195" s="29" t="s">
        <v>46</v>
      </c>
      <c r="G195" s="30" t="s">
        <v>46</v>
      </c>
      <c r="H195" s="31"/>
      <c r="I195" s="31" t="s">
        <v>425</v>
      </c>
      <c r="J195" s="32" t="n">
        <v>1.0</v>
      </c>
      <c r="K195" s="33" t="n">
        <f>2601</f>
        <v>2601.0</v>
      </c>
      <c r="L195" s="34" t="s">
        <v>48</v>
      </c>
      <c r="M195" s="33" t="n">
        <f>2730</f>
        <v>2730.0</v>
      </c>
      <c r="N195" s="34" t="s">
        <v>49</v>
      </c>
      <c r="O195" s="33" t="n">
        <f>2016</f>
        <v>2016.0</v>
      </c>
      <c r="P195" s="34" t="s">
        <v>51</v>
      </c>
      <c r="Q195" s="33" t="n">
        <f>2080</f>
        <v>2080.0</v>
      </c>
      <c r="R195" s="34" t="s">
        <v>51</v>
      </c>
      <c r="S195" s="35" t="n">
        <f>2418.14</f>
        <v>2418.14</v>
      </c>
      <c r="T195" s="32" t="n">
        <f>6682388</f>
        <v>6682388.0</v>
      </c>
      <c r="U195" s="32" t="n">
        <f>784</f>
        <v>784.0</v>
      </c>
      <c r="V195" s="32" t="n">
        <f>15711749807</f>
        <v>1.5711749807E10</v>
      </c>
      <c r="W195" s="32" t="n">
        <f>1742387</f>
        <v>1742387.0</v>
      </c>
      <c r="X195" s="36" t="n">
        <f>22</f>
        <v>22.0</v>
      </c>
    </row>
    <row r="196">
      <c r="A196" s="27" t="s">
        <v>42</v>
      </c>
      <c r="B196" s="27" t="s">
        <v>635</v>
      </c>
      <c r="C196" s="27" t="s">
        <v>636</v>
      </c>
      <c r="D196" s="27" t="s">
        <v>637</v>
      </c>
      <c r="E196" s="28" t="s">
        <v>46</v>
      </c>
      <c r="F196" s="29" t="s">
        <v>46</v>
      </c>
      <c r="G196" s="30" t="s">
        <v>46</v>
      </c>
      <c r="H196" s="31"/>
      <c r="I196" s="31" t="s">
        <v>425</v>
      </c>
      <c r="J196" s="32" t="n">
        <v>1.0</v>
      </c>
      <c r="K196" s="33" t="n">
        <f>875</f>
        <v>875.0</v>
      </c>
      <c r="L196" s="34" t="s">
        <v>48</v>
      </c>
      <c r="M196" s="33" t="n">
        <f>967</f>
        <v>967.0</v>
      </c>
      <c r="N196" s="34" t="s">
        <v>51</v>
      </c>
      <c r="O196" s="33" t="n">
        <f>853</f>
        <v>853.0</v>
      </c>
      <c r="P196" s="34" t="s">
        <v>49</v>
      </c>
      <c r="Q196" s="33" t="n">
        <f>953</f>
        <v>953.0</v>
      </c>
      <c r="R196" s="34" t="s">
        <v>51</v>
      </c>
      <c r="S196" s="35" t="n">
        <f>895.32</f>
        <v>895.32</v>
      </c>
      <c r="T196" s="32" t="n">
        <f>1873024</f>
        <v>1873024.0</v>
      </c>
      <c r="U196" s="32" t="n">
        <f>4</f>
        <v>4.0</v>
      </c>
      <c r="V196" s="32" t="n">
        <f>1700225299</f>
        <v>1.700225299E9</v>
      </c>
      <c r="W196" s="32" t="n">
        <f>3191</f>
        <v>3191.0</v>
      </c>
      <c r="X196" s="36" t="n">
        <f>22</f>
        <v>22.0</v>
      </c>
    </row>
    <row r="197">
      <c r="A197" s="27" t="s">
        <v>42</v>
      </c>
      <c r="B197" s="27" t="s">
        <v>638</v>
      </c>
      <c r="C197" s="27" t="s">
        <v>639</v>
      </c>
      <c r="D197" s="27" t="s">
        <v>640</v>
      </c>
      <c r="E197" s="28" t="s">
        <v>46</v>
      </c>
      <c r="F197" s="29" t="s">
        <v>46</v>
      </c>
      <c r="G197" s="30" t="s">
        <v>46</v>
      </c>
      <c r="H197" s="31"/>
      <c r="I197" s="31" t="s">
        <v>425</v>
      </c>
      <c r="J197" s="32" t="n">
        <v>1.0</v>
      </c>
      <c r="K197" s="33" t="n">
        <f>27830</f>
        <v>27830.0</v>
      </c>
      <c r="L197" s="34" t="s">
        <v>48</v>
      </c>
      <c r="M197" s="33" t="n">
        <f>30750</f>
        <v>30750.0</v>
      </c>
      <c r="N197" s="34" t="s">
        <v>108</v>
      </c>
      <c r="O197" s="33" t="n">
        <f>27760</f>
        <v>27760.0</v>
      </c>
      <c r="P197" s="34" t="s">
        <v>70</v>
      </c>
      <c r="Q197" s="33" t="n">
        <f>29725</f>
        <v>29725.0</v>
      </c>
      <c r="R197" s="34" t="s">
        <v>51</v>
      </c>
      <c r="S197" s="35" t="n">
        <f>28906.14</f>
        <v>28906.14</v>
      </c>
      <c r="T197" s="32" t="n">
        <f>45562</f>
        <v>45562.0</v>
      </c>
      <c r="U197" s="32" t="n">
        <f>20</f>
        <v>20.0</v>
      </c>
      <c r="V197" s="32" t="n">
        <f>1336994730</f>
        <v>1.33699473E9</v>
      </c>
      <c r="W197" s="32" t="n">
        <f>585800</f>
        <v>585800.0</v>
      </c>
      <c r="X197" s="36" t="n">
        <f>22</f>
        <v>22.0</v>
      </c>
    </row>
    <row r="198">
      <c r="A198" s="27" t="s">
        <v>42</v>
      </c>
      <c r="B198" s="27" t="s">
        <v>641</v>
      </c>
      <c r="C198" s="27" t="s">
        <v>642</v>
      </c>
      <c r="D198" s="27" t="s">
        <v>643</v>
      </c>
      <c r="E198" s="28" t="s">
        <v>46</v>
      </c>
      <c r="F198" s="29" t="s">
        <v>46</v>
      </c>
      <c r="G198" s="30" t="s">
        <v>46</v>
      </c>
      <c r="H198" s="31"/>
      <c r="I198" s="31" t="s">
        <v>425</v>
      </c>
      <c r="J198" s="32" t="n">
        <v>1.0</v>
      </c>
      <c r="K198" s="33" t="n">
        <f>2573</f>
        <v>2573.0</v>
      </c>
      <c r="L198" s="34" t="s">
        <v>48</v>
      </c>
      <c r="M198" s="33" t="n">
        <f>2577</f>
        <v>2577.0</v>
      </c>
      <c r="N198" s="34" t="s">
        <v>70</v>
      </c>
      <c r="O198" s="33" t="n">
        <f>2447</f>
        <v>2447.0</v>
      </c>
      <c r="P198" s="34" t="s">
        <v>108</v>
      </c>
      <c r="Q198" s="33" t="n">
        <f>2485</f>
        <v>2485.0</v>
      </c>
      <c r="R198" s="34" t="s">
        <v>51</v>
      </c>
      <c r="S198" s="35" t="n">
        <f>2516.59</f>
        <v>2516.59</v>
      </c>
      <c r="T198" s="32" t="n">
        <f>319328</f>
        <v>319328.0</v>
      </c>
      <c r="U198" s="32" t="n">
        <f>83</f>
        <v>83.0</v>
      </c>
      <c r="V198" s="32" t="n">
        <f>797078589</f>
        <v>7.97078589E8</v>
      </c>
      <c r="W198" s="32" t="n">
        <f>205952</f>
        <v>205952.0</v>
      </c>
      <c r="X198" s="36" t="n">
        <f>22</f>
        <v>22.0</v>
      </c>
    </row>
    <row r="199">
      <c r="A199" s="27" t="s">
        <v>42</v>
      </c>
      <c r="B199" s="27" t="s">
        <v>644</v>
      </c>
      <c r="C199" s="27" t="s">
        <v>645</v>
      </c>
      <c r="D199" s="27" t="s">
        <v>646</v>
      </c>
      <c r="E199" s="28" t="s">
        <v>46</v>
      </c>
      <c r="F199" s="29" t="s">
        <v>46</v>
      </c>
      <c r="G199" s="30" t="s">
        <v>46</v>
      </c>
      <c r="H199" s="31"/>
      <c r="I199" s="31" t="s">
        <v>425</v>
      </c>
      <c r="J199" s="32" t="n">
        <v>1.0</v>
      </c>
      <c r="K199" s="33" t="n">
        <f>7002</f>
        <v>7002.0</v>
      </c>
      <c r="L199" s="34" t="s">
        <v>48</v>
      </c>
      <c r="M199" s="33" t="n">
        <f>7454</f>
        <v>7454.0</v>
      </c>
      <c r="N199" s="34" t="s">
        <v>108</v>
      </c>
      <c r="O199" s="33" t="n">
        <f>6695</f>
        <v>6695.0</v>
      </c>
      <c r="P199" s="34" t="s">
        <v>51</v>
      </c>
      <c r="Q199" s="33" t="n">
        <f>6848</f>
        <v>6848.0</v>
      </c>
      <c r="R199" s="34" t="s">
        <v>51</v>
      </c>
      <c r="S199" s="35" t="n">
        <f>6979.32</f>
        <v>6979.32</v>
      </c>
      <c r="T199" s="32" t="n">
        <f>57260</f>
        <v>57260.0</v>
      </c>
      <c r="U199" s="32" t="n">
        <f>12</f>
        <v>12.0</v>
      </c>
      <c r="V199" s="32" t="n">
        <f>404860942</f>
        <v>4.04860942E8</v>
      </c>
      <c r="W199" s="32" t="n">
        <f>83380</f>
        <v>83380.0</v>
      </c>
      <c r="X199" s="36" t="n">
        <f>22</f>
        <v>22.0</v>
      </c>
    </row>
    <row r="200">
      <c r="A200" s="27" t="s">
        <v>42</v>
      </c>
      <c r="B200" s="27" t="s">
        <v>647</v>
      </c>
      <c r="C200" s="27" t="s">
        <v>648</v>
      </c>
      <c r="D200" s="27" t="s">
        <v>649</v>
      </c>
      <c r="E200" s="28" t="s">
        <v>46</v>
      </c>
      <c r="F200" s="29" t="s">
        <v>46</v>
      </c>
      <c r="G200" s="30" t="s">
        <v>46</v>
      </c>
      <c r="H200" s="31"/>
      <c r="I200" s="31" t="s">
        <v>425</v>
      </c>
      <c r="J200" s="32" t="n">
        <v>1.0</v>
      </c>
      <c r="K200" s="33" t="n">
        <f>19680</f>
        <v>19680.0</v>
      </c>
      <c r="L200" s="34" t="s">
        <v>48</v>
      </c>
      <c r="M200" s="33" t="n">
        <f>20200</f>
        <v>20200.0</v>
      </c>
      <c r="N200" s="34" t="s">
        <v>66</v>
      </c>
      <c r="O200" s="33" t="n">
        <f>19000</f>
        <v>19000.0</v>
      </c>
      <c r="P200" s="34" t="s">
        <v>71</v>
      </c>
      <c r="Q200" s="33" t="n">
        <f>19000</f>
        <v>19000.0</v>
      </c>
      <c r="R200" s="34" t="s">
        <v>51</v>
      </c>
      <c r="S200" s="35" t="n">
        <f>19654.76</f>
        <v>19654.76</v>
      </c>
      <c r="T200" s="32" t="n">
        <f>459</f>
        <v>459.0</v>
      </c>
      <c r="U200" s="32" t="str">
        <f>"－"</f>
        <v>－</v>
      </c>
      <c r="V200" s="32" t="n">
        <f>9123385</f>
        <v>9123385.0</v>
      </c>
      <c r="W200" s="32" t="str">
        <f>"－"</f>
        <v>－</v>
      </c>
      <c r="X200" s="36" t="n">
        <f>21</f>
        <v>21.0</v>
      </c>
    </row>
    <row r="201">
      <c r="A201" s="27" t="s">
        <v>42</v>
      </c>
      <c r="B201" s="27" t="s">
        <v>650</v>
      </c>
      <c r="C201" s="27" t="s">
        <v>651</v>
      </c>
      <c r="D201" s="27" t="s">
        <v>652</v>
      </c>
      <c r="E201" s="28" t="s">
        <v>46</v>
      </c>
      <c r="F201" s="29" t="s">
        <v>46</v>
      </c>
      <c r="G201" s="30" t="s">
        <v>46</v>
      </c>
      <c r="H201" s="31"/>
      <c r="I201" s="31" t="s">
        <v>425</v>
      </c>
      <c r="J201" s="32" t="n">
        <v>1.0</v>
      </c>
      <c r="K201" s="33" t="n">
        <f>29695</f>
        <v>29695.0</v>
      </c>
      <c r="L201" s="34" t="s">
        <v>48</v>
      </c>
      <c r="M201" s="33" t="n">
        <f>30160</f>
        <v>30160.0</v>
      </c>
      <c r="N201" s="34" t="s">
        <v>90</v>
      </c>
      <c r="O201" s="33" t="n">
        <f>28630</f>
        <v>28630.0</v>
      </c>
      <c r="P201" s="34" t="s">
        <v>91</v>
      </c>
      <c r="Q201" s="33" t="n">
        <f>29635</f>
        <v>29635.0</v>
      </c>
      <c r="R201" s="34" t="s">
        <v>51</v>
      </c>
      <c r="S201" s="35" t="n">
        <f>29437.73</f>
        <v>29437.73</v>
      </c>
      <c r="T201" s="32" t="n">
        <f>10375</f>
        <v>10375.0</v>
      </c>
      <c r="U201" s="32" t="str">
        <f>"－"</f>
        <v>－</v>
      </c>
      <c r="V201" s="32" t="n">
        <f>305520460</f>
        <v>3.0552046E8</v>
      </c>
      <c r="W201" s="32" t="str">
        <f>"－"</f>
        <v>－</v>
      </c>
      <c r="X201" s="36" t="n">
        <f>22</f>
        <v>22.0</v>
      </c>
    </row>
    <row r="202">
      <c r="A202" s="27" t="s">
        <v>42</v>
      </c>
      <c r="B202" s="27" t="s">
        <v>653</v>
      </c>
      <c r="C202" s="27" t="s">
        <v>654</v>
      </c>
      <c r="D202" s="27" t="s">
        <v>655</v>
      </c>
      <c r="E202" s="28" t="s">
        <v>46</v>
      </c>
      <c r="F202" s="29" t="s">
        <v>46</v>
      </c>
      <c r="G202" s="30" t="s">
        <v>46</v>
      </c>
      <c r="H202" s="31"/>
      <c r="I202" s="31" t="s">
        <v>425</v>
      </c>
      <c r="J202" s="32" t="n">
        <v>1.0</v>
      </c>
      <c r="K202" s="33" t="n">
        <f>16230</f>
        <v>16230.0</v>
      </c>
      <c r="L202" s="34" t="s">
        <v>70</v>
      </c>
      <c r="M202" s="33" t="n">
        <f>17055</f>
        <v>17055.0</v>
      </c>
      <c r="N202" s="34" t="s">
        <v>220</v>
      </c>
      <c r="O202" s="33" t="n">
        <f>16200</f>
        <v>16200.0</v>
      </c>
      <c r="P202" s="34" t="s">
        <v>104</v>
      </c>
      <c r="Q202" s="33" t="n">
        <f>16640</f>
        <v>16640.0</v>
      </c>
      <c r="R202" s="34" t="s">
        <v>51</v>
      </c>
      <c r="S202" s="35" t="n">
        <f>16611.15</f>
        <v>16611.15</v>
      </c>
      <c r="T202" s="32" t="n">
        <f>239</f>
        <v>239.0</v>
      </c>
      <c r="U202" s="32" t="str">
        <f>"－"</f>
        <v>－</v>
      </c>
      <c r="V202" s="32" t="n">
        <f>3963920</f>
        <v>3963920.0</v>
      </c>
      <c r="W202" s="32" t="str">
        <f>"－"</f>
        <v>－</v>
      </c>
      <c r="X202" s="36" t="n">
        <f>13</f>
        <v>13.0</v>
      </c>
    </row>
    <row r="203">
      <c r="A203" s="27" t="s">
        <v>42</v>
      </c>
      <c r="B203" s="27" t="s">
        <v>656</v>
      </c>
      <c r="C203" s="27" t="s">
        <v>657</v>
      </c>
      <c r="D203" s="27" t="s">
        <v>658</v>
      </c>
      <c r="E203" s="28" t="s">
        <v>46</v>
      </c>
      <c r="F203" s="29" t="s">
        <v>46</v>
      </c>
      <c r="G203" s="30" t="s">
        <v>46</v>
      </c>
      <c r="H203" s="31"/>
      <c r="I203" s="31" t="s">
        <v>425</v>
      </c>
      <c r="J203" s="32" t="n">
        <v>1.0</v>
      </c>
      <c r="K203" s="33" t="n">
        <f>36140</f>
        <v>36140.0</v>
      </c>
      <c r="L203" s="34" t="s">
        <v>48</v>
      </c>
      <c r="M203" s="33" t="n">
        <f>39410</f>
        <v>39410.0</v>
      </c>
      <c r="N203" s="34" t="s">
        <v>104</v>
      </c>
      <c r="O203" s="33" t="n">
        <f>33140</f>
        <v>33140.0</v>
      </c>
      <c r="P203" s="34" t="s">
        <v>91</v>
      </c>
      <c r="Q203" s="33" t="n">
        <f>36320</f>
        <v>36320.0</v>
      </c>
      <c r="R203" s="34" t="s">
        <v>51</v>
      </c>
      <c r="S203" s="35" t="n">
        <f>36647.73</f>
        <v>36647.73</v>
      </c>
      <c r="T203" s="32" t="n">
        <f>178071</f>
        <v>178071.0</v>
      </c>
      <c r="U203" s="32" t="n">
        <f>151</f>
        <v>151.0</v>
      </c>
      <c r="V203" s="32" t="n">
        <f>6543685880</f>
        <v>6.54368588E9</v>
      </c>
      <c r="W203" s="32" t="n">
        <f>5467260</f>
        <v>5467260.0</v>
      </c>
      <c r="X203" s="36" t="n">
        <f>22</f>
        <v>22.0</v>
      </c>
    </row>
    <row r="204">
      <c r="A204" s="27" t="s">
        <v>42</v>
      </c>
      <c r="B204" s="27" t="s">
        <v>659</v>
      </c>
      <c r="C204" s="27" t="s">
        <v>660</v>
      </c>
      <c r="D204" s="27" t="s">
        <v>661</v>
      </c>
      <c r="E204" s="28" t="s">
        <v>46</v>
      </c>
      <c r="F204" s="29" t="s">
        <v>46</v>
      </c>
      <c r="G204" s="30" t="s">
        <v>46</v>
      </c>
      <c r="H204" s="31"/>
      <c r="I204" s="31" t="s">
        <v>425</v>
      </c>
      <c r="J204" s="32" t="n">
        <v>1.0</v>
      </c>
      <c r="K204" s="33" t="n">
        <f>3800</f>
        <v>3800.0</v>
      </c>
      <c r="L204" s="34" t="s">
        <v>48</v>
      </c>
      <c r="M204" s="33" t="n">
        <f>3865</f>
        <v>3865.0</v>
      </c>
      <c r="N204" s="34" t="s">
        <v>48</v>
      </c>
      <c r="O204" s="33" t="n">
        <f>3490</f>
        <v>3490.0</v>
      </c>
      <c r="P204" s="34" t="s">
        <v>71</v>
      </c>
      <c r="Q204" s="33" t="n">
        <f>3505</f>
        <v>3505.0</v>
      </c>
      <c r="R204" s="34" t="s">
        <v>51</v>
      </c>
      <c r="S204" s="35" t="n">
        <f>3703.86</f>
        <v>3703.86</v>
      </c>
      <c r="T204" s="32" t="n">
        <f>9420</f>
        <v>9420.0</v>
      </c>
      <c r="U204" s="32" t="str">
        <f>"－"</f>
        <v>－</v>
      </c>
      <c r="V204" s="32" t="n">
        <f>34630100</f>
        <v>3.46301E7</v>
      </c>
      <c r="W204" s="32" t="str">
        <f>"－"</f>
        <v>－</v>
      </c>
      <c r="X204" s="36" t="n">
        <f>22</f>
        <v>22.0</v>
      </c>
    </row>
    <row r="205">
      <c r="A205" s="27" t="s">
        <v>42</v>
      </c>
      <c r="B205" s="27" t="s">
        <v>662</v>
      </c>
      <c r="C205" s="27" t="s">
        <v>663</v>
      </c>
      <c r="D205" s="27" t="s">
        <v>664</v>
      </c>
      <c r="E205" s="28" t="s">
        <v>46</v>
      </c>
      <c r="F205" s="29" t="s">
        <v>46</v>
      </c>
      <c r="G205" s="30" t="s">
        <v>46</v>
      </c>
      <c r="H205" s="31"/>
      <c r="I205" s="31" t="s">
        <v>425</v>
      </c>
      <c r="J205" s="32" t="n">
        <v>1.0</v>
      </c>
      <c r="K205" s="33" t="n">
        <f>33350</f>
        <v>33350.0</v>
      </c>
      <c r="L205" s="34" t="s">
        <v>48</v>
      </c>
      <c r="M205" s="33" t="n">
        <f>33960</f>
        <v>33960.0</v>
      </c>
      <c r="N205" s="34" t="s">
        <v>66</v>
      </c>
      <c r="O205" s="33" t="n">
        <f>30030</f>
        <v>30030.0</v>
      </c>
      <c r="P205" s="34" t="s">
        <v>91</v>
      </c>
      <c r="Q205" s="33" t="n">
        <f>31280</f>
        <v>31280.0</v>
      </c>
      <c r="R205" s="34" t="s">
        <v>51</v>
      </c>
      <c r="S205" s="35" t="n">
        <f>32631.82</f>
        <v>32631.82</v>
      </c>
      <c r="T205" s="32" t="n">
        <f>6481</f>
        <v>6481.0</v>
      </c>
      <c r="U205" s="32" t="str">
        <f>"－"</f>
        <v>－</v>
      </c>
      <c r="V205" s="32" t="n">
        <f>210920460</f>
        <v>2.1092046E8</v>
      </c>
      <c r="W205" s="32" t="str">
        <f>"－"</f>
        <v>－</v>
      </c>
      <c r="X205" s="36" t="n">
        <f>22</f>
        <v>22.0</v>
      </c>
    </row>
    <row r="206">
      <c r="A206" s="27" t="s">
        <v>42</v>
      </c>
      <c r="B206" s="27" t="s">
        <v>665</v>
      </c>
      <c r="C206" s="27" t="s">
        <v>666</v>
      </c>
      <c r="D206" s="27" t="s">
        <v>667</v>
      </c>
      <c r="E206" s="28" t="s">
        <v>46</v>
      </c>
      <c r="F206" s="29" t="s">
        <v>46</v>
      </c>
      <c r="G206" s="30" t="s">
        <v>46</v>
      </c>
      <c r="H206" s="31"/>
      <c r="I206" s="31" t="s">
        <v>425</v>
      </c>
      <c r="J206" s="32" t="n">
        <v>1.0</v>
      </c>
      <c r="K206" s="33" t="n">
        <f>19545</f>
        <v>19545.0</v>
      </c>
      <c r="L206" s="34" t="s">
        <v>48</v>
      </c>
      <c r="M206" s="33" t="n">
        <f>19725</f>
        <v>19725.0</v>
      </c>
      <c r="N206" s="34" t="s">
        <v>108</v>
      </c>
      <c r="O206" s="33" t="n">
        <f>18800</f>
        <v>18800.0</v>
      </c>
      <c r="P206" s="34" t="s">
        <v>50</v>
      </c>
      <c r="Q206" s="33" t="n">
        <f>19120</f>
        <v>19120.0</v>
      </c>
      <c r="R206" s="34" t="s">
        <v>51</v>
      </c>
      <c r="S206" s="35" t="n">
        <f>19301.5</f>
        <v>19301.5</v>
      </c>
      <c r="T206" s="32" t="n">
        <f>217</f>
        <v>217.0</v>
      </c>
      <c r="U206" s="32" t="str">
        <f>"－"</f>
        <v>－</v>
      </c>
      <c r="V206" s="32" t="n">
        <f>4194930</f>
        <v>4194930.0</v>
      </c>
      <c r="W206" s="32" t="str">
        <f>"－"</f>
        <v>－</v>
      </c>
      <c r="X206" s="36" t="n">
        <f>10</f>
        <v>10.0</v>
      </c>
    </row>
    <row r="207">
      <c r="A207" s="27" t="s">
        <v>42</v>
      </c>
      <c r="B207" s="27" t="s">
        <v>668</v>
      </c>
      <c r="C207" s="27" t="s">
        <v>669</v>
      </c>
      <c r="D207" s="27" t="s">
        <v>670</v>
      </c>
      <c r="E207" s="28" t="s">
        <v>46</v>
      </c>
      <c r="F207" s="29" t="s">
        <v>46</v>
      </c>
      <c r="G207" s="30" t="s">
        <v>46</v>
      </c>
      <c r="H207" s="31"/>
      <c r="I207" s="31" t="s">
        <v>425</v>
      </c>
      <c r="J207" s="32" t="n">
        <v>1.0</v>
      </c>
      <c r="K207" s="33" t="n">
        <f>37480</f>
        <v>37480.0</v>
      </c>
      <c r="L207" s="34" t="s">
        <v>48</v>
      </c>
      <c r="M207" s="33" t="n">
        <f>38210</f>
        <v>38210.0</v>
      </c>
      <c r="N207" s="34" t="s">
        <v>66</v>
      </c>
      <c r="O207" s="33" t="n">
        <f>34370</f>
        <v>34370.0</v>
      </c>
      <c r="P207" s="34" t="s">
        <v>91</v>
      </c>
      <c r="Q207" s="33" t="n">
        <f>35040</f>
        <v>35040.0</v>
      </c>
      <c r="R207" s="34" t="s">
        <v>51</v>
      </c>
      <c r="S207" s="35" t="n">
        <f>36893.5</f>
        <v>36893.5</v>
      </c>
      <c r="T207" s="32" t="n">
        <f>2823</f>
        <v>2823.0</v>
      </c>
      <c r="U207" s="32" t="str">
        <f>"－"</f>
        <v>－</v>
      </c>
      <c r="V207" s="32" t="n">
        <f>105099750</f>
        <v>1.0509975E8</v>
      </c>
      <c r="W207" s="32" t="str">
        <f>"－"</f>
        <v>－</v>
      </c>
      <c r="X207" s="36" t="n">
        <f>20</f>
        <v>20.0</v>
      </c>
    </row>
    <row r="208">
      <c r="A208" s="27" t="s">
        <v>42</v>
      </c>
      <c r="B208" s="27" t="s">
        <v>671</v>
      </c>
      <c r="C208" s="27" t="s">
        <v>672</v>
      </c>
      <c r="D208" s="27" t="s">
        <v>673</v>
      </c>
      <c r="E208" s="28" t="s">
        <v>46</v>
      </c>
      <c r="F208" s="29" t="s">
        <v>46</v>
      </c>
      <c r="G208" s="30" t="s">
        <v>46</v>
      </c>
      <c r="H208" s="31"/>
      <c r="I208" s="31" t="s">
        <v>425</v>
      </c>
      <c r="J208" s="32" t="n">
        <v>1.0</v>
      </c>
      <c r="K208" s="33" t="n">
        <f>20055</f>
        <v>20055.0</v>
      </c>
      <c r="L208" s="34" t="s">
        <v>112</v>
      </c>
      <c r="M208" s="33" t="n">
        <f>20105</f>
        <v>20105.0</v>
      </c>
      <c r="N208" s="34" t="s">
        <v>66</v>
      </c>
      <c r="O208" s="33" t="n">
        <f>19215</f>
        <v>19215.0</v>
      </c>
      <c r="P208" s="34" t="s">
        <v>71</v>
      </c>
      <c r="Q208" s="33" t="n">
        <f>19215</f>
        <v>19215.0</v>
      </c>
      <c r="R208" s="34" t="s">
        <v>71</v>
      </c>
      <c r="S208" s="35" t="n">
        <f>19867.5</f>
        <v>19867.5</v>
      </c>
      <c r="T208" s="32" t="n">
        <f>8</f>
        <v>8.0</v>
      </c>
      <c r="U208" s="32" t="str">
        <f>"－"</f>
        <v>－</v>
      </c>
      <c r="V208" s="32" t="n">
        <f>159105</f>
        <v>159105.0</v>
      </c>
      <c r="W208" s="32" t="str">
        <f>"－"</f>
        <v>－</v>
      </c>
      <c r="X208" s="36" t="n">
        <f>6</f>
        <v>6.0</v>
      </c>
    </row>
    <row r="209">
      <c r="A209" s="27" t="s">
        <v>42</v>
      </c>
      <c r="B209" s="27" t="s">
        <v>674</v>
      </c>
      <c r="C209" s="27" t="s">
        <v>675</v>
      </c>
      <c r="D209" s="27" t="s">
        <v>676</v>
      </c>
      <c r="E209" s="28" t="s">
        <v>46</v>
      </c>
      <c r="F209" s="29" t="s">
        <v>46</v>
      </c>
      <c r="G209" s="30" t="s">
        <v>46</v>
      </c>
      <c r="H209" s="31"/>
      <c r="I209" s="31" t="s">
        <v>425</v>
      </c>
      <c r="J209" s="32" t="n">
        <v>1.0</v>
      </c>
      <c r="K209" s="33" t="n">
        <f>19900</f>
        <v>19900.0</v>
      </c>
      <c r="L209" s="34" t="s">
        <v>48</v>
      </c>
      <c r="M209" s="33" t="n">
        <f>20610</f>
        <v>20610.0</v>
      </c>
      <c r="N209" s="34" t="s">
        <v>66</v>
      </c>
      <c r="O209" s="33" t="n">
        <f>19000</f>
        <v>19000.0</v>
      </c>
      <c r="P209" s="34" t="s">
        <v>91</v>
      </c>
      <c r="Q209" s="33" t="n">
        <f>19235</f>
        <v>19235.0</v>
      </c>
      <c r="R209" s="34" t="s">
        <v>51</v>
      </c>
      <c r="S209" s="35" t="n">
        <f>19984.05</f>
        <v>19984.05</v>
      </c>
      <c r="T209" s="32" t="n">
        <f>814</f>
        <v>814.0</v>
      </c>
      <c r="U209" s="32" t="str">
        <f>"－"</f>
        <v>－</v>
      </c>
      <c r="V209" s="32" t="n">
        <f>16358250</f>
        <v>1.635825E7</v>
      </c>
      <c r="W209" s="32" t="str">
        <f>"－"</f>
        <v>－</v>
      </c>
      <c r="X209" s="36" t="n">
        <f>21</f>
        <v>21.0</v>
      </c>
    </row>
    <row r="210">
      <c r="A210" s="27" t="s">
        <v>42</v>
      </c>
      <c r="B210" s="27" t="s">
        <v>677</v>
      </c>
      <c r="C210" s="27" t="s">
        <v>678</v>
      </c>
      <c r="D210" s="27" t="s">
        <v>679</v>
      </c>
      <c r="E210" s="28" t="s">
        <v>46</v>
      </c>
      <c r="F210" s="29" t="s">
        <v>46</v>
      </c>
      <c r="G210" s="30" t="s">
        <v>46</v>
      </c>
      <c r="H210" s="31"/>
      <c r="I210" s="31" t="s">
        <v>425</v>
      </c>
      <c r="J210" s="32" t="n">
        <v>1.0</v>
      </c>
      <c r="K210" s="33" t="n">
        <f>24520</f>
        <v>24520.0</v>
      </c>
      <c r="L210" s="34" t="s">
        <v>48</v>
      </c>
      <c r="M210" s="33" t="n">
        <f>24855</f>
        <v>24855.0</v>
      </c>
      <c r="N210" s="34" t="s">
        <v>58</v>
      </c>
      <c r="O210" s="33" t="n">
        <f>22585</f>
        <v>22585.0</v>
      </c>
      <c r="P210" s="34" t="s">
        <v>50</v>
      </c>
      <c r="Q210" s="33" t="n">
        <f>23260</f>
        <v>23260.0</v>
      </c>
      <c r="R210" s="34" t="s">
        <v>71</v>
      </c>
      <c r="S210" s="35" t="n">
        <f>23741.67</f>
        <v>23741.67</v>
      </c>
      <c r="T210" s="32" t="n">
        <f>103</f>
        <v>103.0</v>
      </c>
      <c r="U210" s="32" t="str">
        <f>"－"</f>
        <v>－</v>
      </c>
      <c r="V210" s="32" t="n">
        <f>2377770</f>
        <v>2377770.0</v>
      </c>
      <c r="W210" s="32" t="str">
        <f>"－"</f>
        <v>－</v>
      </c>
      <c r="X210" s="36" t="n">
        <f>6</f>
        <v>6.0</v>
      </c>
    </row>
    <row r="211">
      <c r="A211" s="27" t="s">
        <v>42</v>
      </c>
      <c r="B211" s="27" t="s">
        <v>680</v>
      </c>
      <c r="C211" s="27" t="s">
        <v>681</v>
      </c>
      <c r="D211" s="27" t="s">
        <v>682</v>
      </c>
      <c r="E211" s="28" t="s">
        <v>46</v>
      </c>
      <c r="F211" s="29" t="s">
        <v>46</v>
      </c>
      <c r="G211" s="30" t="s">
        <v>46</v>
      </c>
      <c r="H211" s="31"/>
      <c r="I211" s="31" t="s">
        <v>425</v>
      </c>
      <c r="J211" s="32" t="n">
        <v>1.0</v>
      </c>
      <c r="K211" s="33" t="str">
        <f>"－"</f>
        <v>－</v>
      </c>
      <c r="L211" s="34"/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5" t="str">
        <f>"－"</f>
        <v>－</v>
      </c>
      <c r="T211" s="32" t="str">
        <f>"－"</f>
        <v>－</v>
      </c>
      <c r="U211" s="32" t="str">
        <f>"－"</f>
        <v>－</v>
      </c>
      <c r="V211" s="32" t="str">
        <f>"－"</f>
        <v>－</v>
      </c>
      <c r="W211" s="32" t="str">
        <f>"－"</f>
        <v>－</v>
      </c>
      <c r="X211" s="36" t="str">
        <f>"－"</f>
        <v>－</v>
      </c>
    </row>
    <row r="212">
      <c r="A212" s="27" t="s">
        <v>42</v>
      </c>
      <c r="B212" s="27" t="s">
        <v>683</v>
      </c>
      <c r="C212" s="27" t="s">
        <v>684</v>
      </c>
      <c r="D212" s="27" t="s">
        <v>685</v>
      </c>
      <c r="E212" s="28" t="s">
        <v>46</v>
      </c>
      <c r="F212" s="29" t="s">
        <v>46</v>
      </c>
      <c r="G212" s="30" t="s">
        <v>46</v>
      </c>
      <c r="H212" s="31"/>
      <c r="I212" s="31" t="s">
        <v>425</v>
      </c>
      <c r="J212" s="32" t="n">
        <v>1.0</v>
      </c>
      <c r="K212" s="33" t="n">
        <f>11865</f>
        <v>11865.0</v>
      </c>
      <c r="L212" s="34" t="s">
        <v>70</v>
      </c>
      <c r="M212" s="33" t="n">
        <f>12280</f>
        <v>12280.0</v>
      </c>
      <c r="N212" s="34" t="s">
        <v>66</v>
      </c>
      <c r="O212" s="33" t="n">
        <f>11700</f>
        <v>11700.0</v>
      </c>
      <c r="P212" s="34" t="s">
        <v>91</v>
      </c>
      <c r="Q212" s="33" t="n">
        <f>11945</f>
        <v>11945.0</v>
      </c>
      <c r="R212" s="34" t="s">
        <v>51</v>
      </c>
      <c r="S212" s="35" t="n">
        <f>12038.44</f>
        <v>12038.44</v>
      </c>
      <c r="T212" s="32" t="n">
        <f>10633</f>
        <v>10633.0</v>
      </c>
      <c r="U212" s="32" t="str">
        <f>"－"</f>
        <v>－</v>
      </c>
      <c r="V212" s="32" t="n">
        <f>127875805</f>
        <v>1.27875805E8</v>
      </c>
      <c r="W212" s="32" t="str">
        <f>"－"</f>
        <v>－</v>
      </c>
      <c r="X212" s="36" t="n">
        <f>16</f>
        <v>16.0</v>
      </c>
    </row>
    <row r="213">
      <c r="A213" s="27" t="s">
        <v>42</v>
      </c>
      <c r="B213" s="27" t="s">
        <v>686</v>
      </c>
      <c r="C213" s="27" t="s">
        <v>687</v>
      </c>
      <c r="D213" s="27" t="s">
        <v>688</v>
      </c>
      <c r="E213" s="28" t="s">
        <v>46</v>
      </c>
      <c r="F213" s="29" t="s">
        <v>46</v>
      </c>
      <c r="G213" s="30" t="s">
        <v>46</v>
      </c>
      <c r="H213" s="31"/>
      <c r="I213" s="31" t="s">
        <v>425</v>
      </c>
      <c r="J213" s="32" t="n">
        <v>1.0</v>
      </c>
      <c r="K213" s="33" t="n">
        <f>14170</f>
        <v>14170.0</v>
      </c>
      <c r="L213" s="34" t="s">
        <v>48</v>
      </c>
      <c r="M213" s="33" t="n">
        <f>14710</f>
        <v>14710.0</v>
      </c>
      <c r="N213" s="34" t="s">
        <v>66</v>
      </c>
      <c r="O213" s="33" t="n">
        <f>13790</f>
        <v>13790.0</v>
      </c>
      <c r="P213" s="34" t="s">
        <v>51</v>
      </c>
      <c r="Q213" s="33" t="n">
        <f>14020</f>
        <v>14020.0</v>
      </c>
      <c r="R213" s="34" t="s">
        <v>51</v>
      </c>
      <c r="S213" s="35" t="n">
        <f>14329.5</f>
        <v>14329.5</v>
      </c>
      <c r="T213" s="32" t="n">
        <f>23096</f>
        <v>23096.0</v>
      </c>
      <c r="U213" s="32" t="str">
        <f>"－"</f>
        <v>－</v>
      </c>
      <c r="V213" s="32" t="n">
        <f>330871040</f>
        <v>3.3087104E8</v>
      </c>
      <c r="W213" s="32" t="str">
        <f>"－"</f>
        <v>－</v>
      </c>
      <c r="X213" s="36" t="n">
        <f>20</f>
        <v>20.0</v>
      </c>
    </row>
    <row r="214">
      <c r="A214" s="27" t="s">
        <v>42</v>
      </c>
      <c r="B214" s="27" t="s">
        <v>689</v>
      </c>
      <c r="C214" s="27" t="s">
        <v>690</v>
      </c>
      <c r="D214" s="27" t="s">
        <v>691</v>
      </c>
      <c r="E214" s="28" t="s">
        <v>46</v>
      </c>
      <c r="F214" s="29" t="s">
        <v>46</v>
      </c>
      <c r="G214" s="30" t="s">
        <v>46</v>
      </c>
      <c r="H214" s="31"/>
      <c r="I214" s="31" t="s">
        <v>425</v>
      </c>
      <c r="J214" s="32" t="n">
        <v>1.0</v>
      </c>
      <c r="K214" s="33" t="n">
        <f>12830</f>
        <v>12830.0</v>
      </c>
      <c r="L214" s="34" t="s">
        <v>70</v>
      </c>
      <c r="M214" s="33" t="n">
        <f>13205</f>
        <v>13205.0</v>
      </c>
      <c r="N214" s="34" t="s">
        <v>66</v>
      </c>
      <c r="O214" s="33" t="n">
        <f>12565</f>
        <v>12565.0</v>
      </c>
      <c r="P214" s="34" t="s">
        <v>91</v>
      </c>
      <c r="Q214" s="33" t="n">
        <f>12840</f>
        <v>12840.0</v>
      </c>
      <c r="R214" s="34" t="s">
        <v>51</v>
      </c>
      <c r="S214" s="35" t="n">
        <f>12884.29</f>
        <v>12884.29</v>
      </c>
      <c r="T214" s="32" t="n">
        <f>41759</f>
        <v>41759.0</v>
      </c>
      <c r="U214" s="32" t="n">
        <f>15000</f>
        <v>15000.0</v>
      </c>
      <c r="V214" s="32" t="n">
        <f>537395515</f>
        <v>5.37395515E8</v>
      </c>
      <c r="W214" s="32" t="n">
        <f>191565000</f>
        <v>1.91565E8</v>
      </c>
      <c r="X214" s="36" t="n">
        <f>14</f>
        <v>14.0</v>
      </c>
    </row>
    <row r="215">
      <c r="A215" s="27" t="s">
        <v>42</v>
      </c>
      <c r="B215" s="27" t="s">
        <v>692</v>
      </c>
      <c r="C215" s="27" t="s">
        <v>693</v>
      </c>
      <c r="D215" s="27" t="s">
        <v>694</v>
      </c>
      <c r="E215" s="28" t="s">
        <v>46</v>
      </c>
      <c r="F215" s="29" t="s">
        <v>46</v>
      </c>
      <c r="G215" s="30" t="s">
        <v>46</v>
      </c>
      <c r="H215" s="31"/>
      <c r="I215" s="31" t="s">
        <v>425</v>
      </c>
      <c r="J215" s="32" t="n">
        <v>1.0</v>
      </c>
      <c r="K215" s="33" t="n">
        <f>12355</f>
        <v>12355.0</v>
      </c>
      <c r="L215" s="34" t="s">
        <v>104</v>
      </c>
      <c r="M215" s="33" t="n">
        <f>12800</f>
        <v>12800.0</v>
      </c>
      <c r="N215" s="34" t="s">
        <v>207</v>
      </c>
      <c r="O215" s="33" t="n">
        <f>12355</f>
        <v>12355.0</v>
      </c>
      <c r="P215" s="34" t="s">
        <v>104</v>
      </c>
      <c r="Q215" s="33" t="n">
        <f>12780</f>
        <v>12780.0</v>
      </c>
      <c r="R215" s="34" t="s">
        <v>385</v>
      </c>
      <c r="S215" s="35" t="n">
        <f>12637.5</f>
        <v>12637.5</v>
      </c>
      <c r="T215" s="32" t="n">
        <f>733</f>
        <v>733.0</v>
      </c>
      <c r="U215" s="32" t="str">
        <f>"－"</f>
        <v>－</v>
      </c>
      <c r="V215" s="32" t="n">
        <f>9381750</f>
        <v>9381750.0</v>
      </c>
      <c r="W215" s="32" t="str">
        <f>"－"</f>
        <v>－</v>
      </c>
      <c r="X215" s="36" t="n">
        <f>4</f>
        <v>4.0</v>
      </c>
    </row>
    <row r="216">
      <c r="A216" s="27" t="s">
        <v>42</v>
      </c>
      <c r="B216" s="27" t="s">
        <v>695</v>
      </c>
      <c r="C216" s="27" t="s">
        <v>696</v>
      </c>
      <c r="D216" s="27" t="s">
        <v>697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1246</f>
        <v>1246.0</v>
      </c>
      <c r="L216" s="34" t="s">
        <v>48</v>
      </c>
      <c r="M216" s="33" t="n">
        <f>1278</f>
        <v>1278.0</v>
      </c>
      <c r="N216" s="34" t="s">
        <v>49</v>
      </c>
      <c r="O216" s="33" t="n">
        <f>1185</f>
        <v>1185.0</v>
      </c>
      <c r="P216" s="34" t="s">
        <v>50</v>
      </c>
      <c r="Q216" s="33" t="n">
        <f>1240</f>
        <v>1240.0</v>
      </c>
      <c r="R216" s="34" t="s">
        <v>51</v>
      </c>
      <c r="S216" s="35" t="n">
        <f>1244.55</f>
        <v>1244.55</v>
      </c>
      <c r="T216" s="32" t="n">
        <f>2965635</f>
        <v>2965635.0</v>
      </c>
      <c r="U216" s="32" t="n">
        <f>125811</f>
        <v>125811.0</v>
      </c>
      <c r="V216" s="32" t="n">
        <f>3678885932</f>
        <v>3.678885932E9</v>
      </c>
      <c r="W216" s="32" t="n">
        <f>154492090</f>
        <v>1.5449209E8</v>
      </c>
      <c r="X216" s="36" t="n">
        <f>22</f>
        <v>22.0</v>
      </c>
    </row>
    <row r="217">
      <c r="A217" s="27" t="s">
        <v>42</v>
      </c>
      <c r="B217" s="27" t="s">
        <v>698</v>
      </c>
      <c r="C217" s="27" t="s">
        <v>699</v>
      </c>
      <c r="D217" s="27" t="s">
        <v>700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1.0</v>
      </c>
      <c r="K217" s="33" t="n">
        <f>1265</f>
        <v>1265.0</v>
      </c>
      <c r="L217" s="34" t="s">
        <v>48</v>
      </c>
      <c r="M217" s="33" t="n">
        <f>1305</f>
        <v>1305.0</v>
      </c>
      <c r="N217" s="34" t="s">
        <v>66</v>
      </c>
      <c r="O217" s="33" t="n">
        <f>1202</f>
        <v>1202.0</v>
      </c>
      <c r="P217" s="34" t="s">
        <v>50</v>
      </c>
      <c r="Q217" s="33" t="n">
        <f>1258</f>
        <v>1258.0</v>
      </c>
      <c r="R217" s="34" t="s">
        <v>51</v>
      </c>
      <c r="S217" s="35" t="n">
        <f>1265.64</f>
        <v>1265.64</v>
      </c>
      <c r="T217" s="32" t="n">
        <f>139724</f>
        <v>139724.0</v>
      </c>
      <c r="U217" s="32" t="str">
        <f>"－"</f>
        <v>－</v>
      </c>
      <c r="V217" s="32" t="n">
        <f>176600769</f>
        <v>1.76600769E8</v>
      </c>
      <c r="W217" s="32" t="str">
        <f>"－"</f>
        <v>－</v>
      </c>
      <c r="X217" s="36" t="n">
        <f>22</f>
        <v>22.0</v>
      </c>
    </row>
    <row r="218">
      <c r="A218" s="27" t="s">
        <v>42</v>
      </c>
      <c r="B218" s="27" t="s">
        <v>701</v>
      </c>
      <c r="C218" s="27" t="s">
        <v>702</v>
      </c>
      <c r="D218" s="27" t="s">
        <v>703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1.0</v>
      </c>
      <c r="K218" s="33" t="n">
        <f>1057</f>
        <v>1057.0</v>
      </c>
      <c r="L218" s="34" t="s">
        <v>48</v>
      </c>
      <c r="M218" s="33" t="n">
        <f>1082</f>
        <v>1082.0</v>
      </c>
      <c r="N218" s="34" t="s">
        <v>220</v>
      </c>
      <c r="O218" s="33" t="n">
        <f>1016</f>
        <v>1016.0</v>
      </c>
      <c r="P218" s="34" t="s">
        <v>50</v>
      </c>
      <c r="Q218" s="33" t="n">
        <f>1040</f>
        <v>1040.0</v>
      </c>
      <c r="R218" s="34" t="s">
        <v>51</v>
      </c>
      <c r="S218" s="35" t="n">
        <f>1052.09</f>
        <v>1052.09</v>
      </c>
      <c r="T218" s="32" t="n">
        <f>83992</f>
        <v>83992.0</v>
      </c>
      <c r="U218" s="32" t="str">
        <f>"－"</f>
        <v>－</v>
      </c>
      <c r="V218" s="32" t="n">
        <f>89213547</f>
        <v>8.9213547E7</v>
      </c>
      <c r="W218" s="32" t="str">
        <f>"－"</f>
        <v>－</v>
      </c>
      <c r="X218" s="36" t="n">
        <f>22</f>
        <v>22.0</v>
      </c>
    </row>
    <row r="219">
      <c r="A219" s="27" t="s">
        <v>42</v>
      </c>
      <c r="B219" s="27" t="s">
        <v>704</v>
      </c>
      <c r="C219" s="27" t="s">
        <v>705</v>
      </c>
      <c r="D219" s="27" t="s">
        <v>706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1.0</v>
      </c>
      <c r="K219" s="33" t="n">
        <f>2376</f>
        <v>2376.0</v>
      </c>
      <c r="L219" s="34" t="s">
        <v>48</v>
      </c>
      <c r="M219" s="33" t="n">
        <f>2457</f>
        <v>2457.0</v>
      </c>
      <c r="N219" s="34" t="s">
        <v>66</v>
      </c>
      <c r="O219" s="33" t="n">
        <f>2214</f>
        <v>2214.0</v>
      </c>
      <c r="P219" s="34" t="s">
        <v>50</v>
      </c>
      <c r="Q219" s="33" t="n">
        <f>2304</f>
        <v>2304.0</v>
      </c>
      <c r="R219" s="34" t="s">
        <v>51</v>
      </c>
      <c r="S219" s="35" t="n">
        <f>2359.77</f>
        <v>2359.77</v>
      </c>
      <c r="T219" s="32" t="n">
        <f>343749</f>
        <v>343749.0</v>
      </c>
      <c r="U219" s="32" t="n">
        <f>52</f>
        <v>52.0</v>
      </c>
      <c r="V219" s="32" t="n">
        <f>810420825</f>
        <v>8.10420825E8</v>
      </c>
      <c r="W219" s="32" t="n">
        <f>124775</f>
        <v>124775.0</v>
      </c>
      <c r="X219" s="36" t="n">
        <f>22</f>
        <v>22.0</v>
      </c>
    </row>
    <row r="220">
      <c r="A220" s="27" t="s">
        <v>42</v>
      </c>
      <c r="B220" s="27" t="s">
        <v>707</v>
      </c>
      <c r="C220" s="27" t="s">
        <v>708</v>
      </c>
      <c r="D220" s="27" t="s">
        <v>709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1.0</v>
      </c>
      <c r="K220" s="33" t="n">
        <f>2380</f>
        <v>2380.0</v>
      </c>
      <c r="L220" s="34" t="s">
        <v>48</v>
      </c>
      <c r="M220" s="33" t="n">
        <f>2437</f>
        <v>2437.0</v>
      </c>
      <c r="N220" s="34" t="s">
        <v>58</v>
      </c>
      <c r="O220" s="33" t="n">
        <f>2278</f>
        <v>2278.0</v>
      </c>
      <c r="P220" s="34" t="s">
        <v>50</v>
      </c>
      <c r="Q220" s="33" t="n">
        <f>2379</f>
        <v>2379.0</v>
      </c>
      <c r="R220" s="34" t="s">
        <v>51</v>
      </c>
      <c r="S220" s="35" t="n">
        <f>2377.41</f>
        <v>2377.41</v>
      </c>
      <c r="T220" s="32" t="n">
        <f>1210492</f>
        <v>1210492.0</v>
      </c>
      <c r="U220" s="32" t="n">
        <f>185967</f>
        <v>185967.0</v>
      </c>
      <c r="V220" s="32" t="n">
        <f>2852064829</f>
        <v>2.852064829E9</v>
      </c>
      <c r="W220" s="32" t="n">
        <f>446905706</f>
        <v>4.46905706E8</v>
      </c>
      <c r="X220" s="36" t="n">
        <f>22</f>
        <v>22.0</v>
      </c>
    </row>
    <row r="221">
      <c r="A221" s="27" t="s">
        <v>42</v>
      </c>
      <c r="B221" s="27" t="s">
        <v>710</v>
      </c>
      <c r="C221" s="27" t="s">
        <v>711</v>
      </c>
      <c r="D221" s="27" t="s">
        <v>712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573.9</f>
        <v>573.9</v>
      </c>
      <c r="L221" s="34" t="s">
        <v>48</v>
      </c>
      <c r="M221" s="33" t="n">
        <f>592</f>
        <v>592.0</v>
      </c>
      <c r="N221" s="34" t="s">
        <v>108</v>
      </c>
      <c r="O221" s="33" t="n">
        <f>557.3</f>
        <v>557.3</v>
      </c>
      <c r="P221" s="34" t="s">
        <v>50</v>
      </c>
      <c r="Q221" s="33" t="n">
        <f>574.6</f>
        <v>574.6</v>
      </c>
      <c r="R221" s="34" t="s">
        <v>51</v>
      </c>
      <c r="S221" s="35" t="n">
        <f>579.03</f>
        <v>579.03</v>
      </c>
      <c r="T221" s="32" t="n">
        <f>3231330</f>
        <v>3231330.0</v>
      </c>
      <c r="U221" s="32" t="n">
        <f>1393150</f>
        <v>1393150.0</v>
      </c>
      <c r="V221" s="32" t="n">
        <f>1878993593</f>
        <v>1.878993593E9</v>
      </c>
      <c r="W221" s="32" t="n">
        <f>816537637</f>
        <v>8.16537637E8</v>
      </c>
      <c r="X221" s="36" t="n">
        <f>22</f>
        <v>22.0</v>
      </c>
    </row>
    <row r="222">
      <c r="A222" s="27" t="s">
        <v>42</v>
      </c>
      <c r="B222" s="27" t="s">
        <v>713</v>
      </c>
      <c r="C222" s="27" t="s">
        <v>714</v>
      </c>
      <c r="D222" s="27" t="s">
        <v>715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2395.5</f>
        <v>2395.5</v>
      </c>
      <c r="L222" s="34" t="s">
        <v>104</v>
      </c>
      <c r="M222" s="33" t="n">
        <f>2497</f>
        <v>2497.0</v>
      </c>
      <c r="N222" s="34" t="s">
        <v>207</v>
      </c>
      <c r="O222" s="33" t="n">
        <f>2353</f>
        <v>2353.0</v>
      </c>
      <c r="P222" s="34" t="s">
        <v>50</v>
      </c>
      <c r="Q222" s="33" t="n">
        <f>2379.5</f>
        <v>2379.5</v>
      </c>
      <c r="R222" s="34" t="s">
        <v>71</v>
      </c>
      <c r="S222" s="35" t="n">
        <f>2402.23</f>
        <v>2402.23</v>
      </c>
      <c r="T222" s="32" t="n">
        <f>168260</f>
        <v>168260.0</v>
      </c>
      <c r="U222" s="32" t="n">
        <f>167400</f>
        <v>167400.0</v>
      </c>
      <c r="V222" s="32" t="n">
        <f>401769329</f>
        <v>4.01769329E8</v>
      </c>
      <c r="W222" s="32" t="n">
        <f>399691904</f>
        <v>3.99691904E8</v>
      </c>
      <c r="X222" s="36" t="n">
        <f>11</f>
        <v>11.0</v>
      </c>
    </row>
    <row r="223">
      <c r="A223" s="27" t="s">
        <v>42</v>
      </c>
      <c r="B223" s="27" t="s">
        <v>716</v>
      </c>
      <c r="C223" s="27" t="s">
        <v>717</v>
      </c>
      <c r="D223" s="27" t="s">
        <v>718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2527.5</f>
        <v>2527.5</v>
      </c>
      <c r="L223" s="34" t="s">
        <v>48</v>
      </c>
      <c r="M223" s="33" t="n">
        <f>2645.5</f>
        <v>2645.5</v>
      </c>
      <c r="N223" s="34" t="s">
        <v>108</v>
      </c>
      <c r="O223" s="33" t="n">
        <f>2408</f>
        <v>2408.0</v>
      </c>
      <c r="P223" s="34" t="s">
        <v>51</v>
      </c>
      <c r="Q223" s="33" t="n">
        <f>2418.5</f>
        <v>2418.5</v>
      </c>
      <c r="R223" s="34" t="s">
        <v>51</v>
      </c>
      <c r="S223" s="35" t="n">
        <f>2525.84</f>
        <v>2525.84</v>
      </c>
      <c r="T223" s="32" t="n">
        <f>2870</f>
        <v>2870.0</v>
      </c>
      <c r="U223" s="32" t="str">
        <f>"－"</f>
        <v>－</v>
      </c>
      <c r="V223" s="32" t="n">
        <f>7318800</f>
        <v>7318800.0</v>
      </c>
      <c r="W223" s="32" t="str">
        <f>"－"</f>
        <v>－</v>
      </c>
      <c r="X223" s="36" t="n">
        <f>16</f>
        <v>16.0</v>
      </c>
    </row>
    <row r="224">
      <c r="A224" s="27" t="s">
        <v>42</v>
      </c>
      <c r="B224" s="27" t="s">
        <v>719</v>
      </c>
      <c r="C224" s="27" t="s">
        <v>720</v>
      </c>
      <c r="D224" s="27" t="s">
        <v>721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2249</f>
        <v>2249.0</v>
      </c>
      <c r="L224" s="34" t="s">
        <v>71</v>
      </c>
      <c r="M224" s="33" t="n">
        <f>2249</f>
        <v>2249.0</v>
      </c>
      <c r="N224" s="34" t="s">
        <v>71</v>
      </c>
      <c r="O224" s="33" t="n">
        <f>2219.5</f>
        <v>2219.5</v>
      </c>
      <c r="P224" s="34" t="s">
        <v>351</v>
      </c>
      <c r="Q224" s="33" t="n">
        <f>2232</f>
        <v>2232.0</v>
      </c>
      <c r="R224" s="34" t="s">
        <v>351</v>
      </c>
      <c r="S224" s="35" t="n">
        <f>2240.5</f>
        <v>2240.5</v>
      </c>
      <c r="T224" s="32" t="n">
        <f>1822070</f>
        <v>1822070.0</v>
      </c>
      <c r="U224" s="32" t="n">
        <f>1822000</f>
        <v>1822000.0</v>
      </c>
      <c r="V224" s="32" t="n">
        <f>4027668845</f>
        <v>4.027668845E9</v>
      </c>
      <c r="W224" s="32" t="n">
        <f>4027512470</f>
        <v>4.02751247E9</v>
      </c>
      <c r="X224" s="36" t="n">
        <f>2</f>
        <v>2.0</v>
      </c>
    </row>
    <row r="225">
      <c r="A225" s="27" t="s">
        <v>42</v>
      </c>
      <c r="B225" s="27" t="s">
        <v>722</v>
      </c>
      <c r="C225" s="27" t="s">
        <v>723</v>
      </c>
      <c r="D225" s="27" t="s">
        <v>724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str">
        <f>"－"</f>
        <v>－</v>
      </c>
      <c r="L225" s="34"/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5" t="str">
        <f>"－"</f>
        <v>－</v>
      </c>
      <c r="T225" s="32" t="n">
        <f>451000</f>
        <v>451000.0</v>
      </c>
      <c r="U225" s="32" t="n">
        <f>451000</f>
        <v>451000.0</v>
      </c>
      <c r="V225" s="32" t="n">
        <f>1016865956</f>
        <v>1.016865956E9</v>
      </c>
      <c r="W225" s="32" t="n">
        <f>1016865956</f>
        <v>1.016865956E9</v>
      </c>
      <c r="X225" s="36" t="str">
        <f>"－"</f>
        <v>－</v>
      </c>
    </row>
    <row r="226">
      <c r="A226" s="27" t="s">
        <v>42</v>
      </c>
      <c r="B226" s="27" t="s">
        <v>725</v>
      </c>
      <c r="C226" s="27" t="s">
        <v>726</v>
      </c>
      <c r="D226" s="27" t="s">
        <v>727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10.0</v>
      </c>
      <c r="K226" s="33" t="n">
        <f>4958</f>
        <v>4958.0</v>
      </c>
      <c r="L226" s="34" t="s">
        <v>58</v>
      </c>
      <c r="M226" s="33" t="n">
        <f>4958</f>
        <v>4958.0</v>
      </c>
      <c r="N226" s="34" t="s">
        <v>58</v>
      </c>
      <c r="O226" s="33" t="n">
        <f>4958</f>
        <v>4958.0</v>
      </c>
      <c r="P226" s="34" t="s">
        <v>58</v>
      </c>
      <c r="Q226" s="33" t="n">
        <f>4958</f>
        <v>4958.0</v>
      </c>
      <c r="R226" s="34" t="s">
        <v>207</v>
      </c>
      <c r="S226" s="35" t="n">
        <f>4958</f>
        <v>4958.0</v>
      </c>
      <c r="T226" s="32" t="n">
        <f>20</f>
        <v>20.0</v>
      </c>
      <c r="U226" s="32" t="str">
        <f>"－"</f>
        <v>－</v>
      </c>
      <c r="V226" s="32" t="n">
        <f>99160</f>
        <v>99160.0</v>
      </c>
      <c r="W226" s="32" t="str">
        <f>"－"</f>
        <v>－</v>
      </c>
      <c r="X226" s="36" t="n">
        <f>2</f>
        <v>2.0</v>
      </c>
    </row>
    <row r="227">
      <c r="A227" s="27" t="s">
        <v>42</v>
      </c>
      <c r="B227" s="27" t="s">
        <v>728</v>
      </c>
      <c r="C227" s="27" t="s">
        <v>729</v>
      </c>
      <c r="D227" s="27" t="s">
        <v>730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10.0</v>
      </c>
      <c r="K227" s="33" t="str">
        <f>"－"</f>
        <v>－</v>
      </c>
      <c r="L227" s="34"/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5" t="str">
        <f>"－"</f>
        <v>－</v>
      </c>
      <c r="T227" s="32" t="str">
        <f>"－"</f>
        <v>－</v>
      </c>
      <c r="U227" s="32" t="str">
        <f>"－"</f>
        <v>－</v>
      </c>
      <c r="V227" s="32" t="str">
        <f>"－"</f>
        <v>－</v>
      </c>
      <c r="W227" s="32" t="str">
        <f>"－"</f>
        <v>－</v>
      </c>
      <c r="X227" s="36" t="str">
        <f>"－"</f>
        <v>－</v>
      </c>
    </row>
    <row r="228">
      <c r="A228" s="27" t="s">
        <v>42</v>
      </c>
      <c r="B228" s="27" t="s">
        <v>731</v>
      </c>
      <c r="C228" s="27" t="s">
        <v>732</v>
      </c>
      <c r="D228" s="27" t="s">
        <v>733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10.0</v>
      </c>
      <c r="K228" s="33" t="n">
        <f>4931</f>
        <v>4931.0</v>
      </c>
      <c r="L228" s="34" t="s">
        <v>188</v>
      </c>
      <c r="M228" s="33" t="n">
        <f>4931</f>
        <v>4931.0</v>
      </c>
      <c r="N228" s="34" t="s">
        <v>188</v>
      </c>
      <c r="O228" s="33" t="n">
        <f>4931</f>
        <v>4931.0</v>
      </c>
      <c r="P228" s="34" t="s">
        <v>188</v>
      </c>
      <c r="Q228" s="33" t="n">
        <f>4931</f>
        <v>4931.0</v>
      </c>
      <c r="R228" s="34" t="s">
        <v>188</v>
      </c>
      <c r="S228" s="35" t="n">
        <f>4931</f>
        <v>4931.0</v>
      </c>
      <c r="T228" s="32" t="n">
        <f>20000</f>
        <v>20000.0</v>
      </c>
      <c r="U228" s="32" t="str">
        <f>"－"</f>
        <v>－</v>
      </c>
      <c r="V228" s="32" t="n">
        <f>98620000</f>
        <v>9.862E7</v>
      </c>
      <c r="W228" s="32" t="str">
        <f>"－"</f>
        <v>－</v>
      </c>
      <c r="X228" s="36" t="n">
        <f>1</f>
        <v>1.0</v>
      </c>
    </row>
    <row r="229">
      <c r="A229" s="27" t="s">
        <v>42</v>
      </c>
      <c r="B229" s="27" t="s">
        <v>734</v>
      </c>
      <c r="C229" s="27" t="s">
        <v>735</v>
      </c>
      <c r="D229" s="27" t="s">
        <v>736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10.0</v>
      </c>
      <c r="K229" s="33" t="n">
        <f>5345</f>
        <v>5345.0</v>
      </c>
      <c r="L229" s="34" t="s">
        <v>48</v>
      </c>
      <c r="M229" s="33" t="n">
        <f>5442</f>
        <v>5442.0</v>
      </c>
      <c r="N229" s="34" t="s">
        <v>66</v>
      </c>
      <c r="O229" s="33" t="n">
        <f>5095</f>
        <v>5095.0</v>
      </c>
      <c r="P229" s="34" t="s">
        <v>91</v>
      </c>
      <c r="Q229" s="33" t="n">
        <f>5127</f>
        <v>5127.0</v>
      </c>
      <c r="R229" s="34" t="s">
        <v>51</v>
      </c>
      <c r="S229" s="35" t="n">
        <f>5272.5</f>
        <v>5272.5</v>
      </c>
      <c r="T229" s="32" t="n">
        <f>3495420</f>
        <v>3495420.0</v>
      </c>
      <c r="U229" s="32" t="n">
        <f>3043010</f>
        <v>3043010.0</v>
      </c>
      <c r="V229" s="32" t="n">
        <f>18371929185</f>
        <v>1.8371929185E10</v>
      </c>
      <c r="W229" s="32" t="n">
        <f>15976079295</f>
        <v>1.5976079295E10</v>
      </c>
      <c r="X229" s="36" t="n">
        <f>22</f>
        <v>22.0</v>
      </c>
    </row>
    <row r="230">
      <c r="A230" s="27" t="s">
        <v>42</v>
      </c>
      <c r="B230" s="27" t="s">
        <v>737</v>
      </c>
      <c r="C230" s="27" t="s">
        <v>738</v>
      </c>
      <c r="D230" s="27" t="s">
        <v>739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987</f>
        <v>987.0</v>
      </c>
      <c r="L230" s="34" t="s">
        <v>48</v>
      </c>
      <c r="M230" s="33" t="n">
        <f>1001</f>
        <v>1001.0</v>
      </c>
      <c r="N230" s="34" t="s">
        <v>104</v>
      </c>
      <c r="O230" s="33" t="n">
        <f>969</f>
        <v>969.0</v>
      </c>
      <c r="P230" s="34" t="s">
        <v>108</v>
      </c>
      <c r="Q230" s="33" t="n">
        <f>981</f>
        <v>981.0</v>
      </c>
      <c r="R230" s="34" t="s">
        <v>51</v>
      </c>
      <c r="S230" s="35" t="n">
        <f>988.73</f>
        <v>988.73</v>
      </c>
      <c r="T230" s="32" t="n">
        <f>20435</f>
        <v>20435.0</v>
      </c>
      <c r="U230" s="32" t="str">
        <f>"－"</f>
        <v>－</v>
      </c>
      <c r="V230" s="32" t="n">
        <f>20187413</f>
        <v>2.0187413E7</v>
      </c>
      <c r="W230" s="32" t="str">
        <f>"－"</f>
        <v>－</v>
      </c>
      <c r="X230" s="36" t="n">
        <f>22</f>
        <v>22.0</v>
      </c>
    </row>
    <row r="231">
      <c r="A231" s="27" t="s">
        <v>42</v>
      </c>
      <c r="B231" s="27" t="s">
        <v>740</v>
      </c>
      <c r="C231" s="27" t="s">
        <v>741</v>
      </c>
      <c r="D231" s="27" t="s">
        <v>742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1123</f>
        <v>1123.0</v>
      </c>
      <c r="L231" s="34" t="s">
        <v>48</v>
      </c>
      <c r="M231" s="33" t="n">
        <f>1147</f>
        <v>1147.0</v>
      </c>
      <c r="N231" s="34" t="s">
        <v>108</v>
      </c>
      <c r="O231" s="33" t="n">
        <f>1071</f>
        <v>1071.0</v>
      </c>
      <c r="P231" s="34" t="s">
        <v>58</v>
      </c>
      <c r="Q231" s="33" t="n">
        <f>1135</f>
        <v>1135.0</v>
      </c>
      <c r="R231" s="34" t="s">
        <v>51</v>
      </c>
      <c r="S231" s="35" t="n">
        <f>1105.68</f>
        <v>1105.68</v>
      </c>
      <c r="T231" s="32" t="n">
        <f>120456</f>
        <v>120456.0</v>
      </c>
      <c r="U231" s="32" t="str">
        <f>"－"</f>
        <v>－</v>
      </c>
      <c r="V231" s="32" t="n">
        <f>135437426</f>
        <v>1.35437426E8</v>
      </c>
      <c r="W231" s="32" t="str">
        <f>"－"</f>
        <v>－</v>
      </c>
      <c r="X231" s="36" t="n">
        <f>22</f>
        <v>22.0</v>
      </c>
    </row>
    <row r="232">
      <c r="A232" s="27" t="s">
        <v>42</v>
      </c>
      <c r="B232" s="27" t="s">
        <v>743</v>
      </c>
      <c r="C232" s="27" t="s">
        <v>744</v>
      </c>
      <c r="D232" s="27" t="s">
        <v>745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1.0</v>
      </c>
      <c r="K232" s="33" t="n">
        <f>927</f>
        <v>927.0</v>
      </c>
      <c r="L232" s="34" t="s">
        <v>48</v>
      </c>
      <c r="M232" s="33" t="n">
        <f>949</f>
        <v>949.0</v>
      </c>
      <c r="N232" s="34" t="s">
        <v>108</v>
      </c>
      <c r="O232" s="33" t="n">
        <f>914</f>
        <v>914.0</v>
      </c>
      <c r="P232" s="34" t="s">
        <v>48</v>
      </c>
      <c r="Q232" s="33" t="n">
        <f>932</f>
        <v>932.0</v>
      </c>
      <c r="R232" s="34" t="s">
        <v>51</v>
      </c>
      <c r="S232" s="35" t="n">
        <f>927.95</f>
        <v>927.95</v>
      </c>
      <c r="T232" s="32" t="n">
        <f>20959</f>
        <v>20959.0</v>
      </c>
      <c r="U232" s="32" t="str">
        <f>"－"</f>
        <v>－</v>
      </c>
      <c r="V232" s="32" t="n">
        <f>19378528</f>
        <v>1.9378528E7</v>
      </c>
      <c r="W232" s="32" t="str">
        <f>"－"</f>
        <v>－</v>
      </c>
      <c r="X232" s="36" t="n">
        <f>22</f>
        <v>22.0</v>
      </c>
    </row>
    <row r="233">
      <c r="A233" s="27" t="s">
        <v>42</v>
      </c>
      <c r="B233" s="27" t="s">
        <v>746</v>
      </c>
      <c r="C233" s="27" t="s">
        <v>747</v>
      </c>
      <c r="D233" s="27" t="s">
        <v>748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1.0</v>
      </c>
      <c r="K233" s="33" t="n">
        <f>996</f>
        <v>996.0</v>
      </c>
      <c r="L233" s="34" t="s">
        <v>48</v>
      </c>
      <c r="M233" s="33" t="n">
        <f>996</f>
        <v>996.0</v>
      </c>
      <c r="N233" s="34" t="s">
        <v>48</v>
      </c>
      <c r="O233" s="33" t="n">
        <f>942</f>
        <v>942.0</v>
      </c>
      <c r="P233" s="34" t="s">
        <v>749</v>
      </c>
      <c r="Q233" s="33" t="n">
        <f>983</f>
        <v>983.0</v>
      </c>
      <c r="R233" s="34" t="s">
        <v>51</v>
      </c>
      <c r="S233" s="35" t="n">
        <f>979</f>
        <v>979.0</v>
      </c>
      <c r="T233" s="32" t="n">
        <f>109291</f>
        <v>109291.0</v>
      </c>
      <c r="U233" s="32" t="str">
        <f>"－"</f>
        <v>－</v>
      </c>
      <c r="V233" s="32" t="n">
        <f>106737823</f>
        <v>1.06737823E8</v>
      </c>
      <c r="W233" s="32" t="str">
        <f>"－"</f>
        <v>－</v>
      </c>
      <c r="X233" s="36" t="n">
        <f>22</f>
        <v>22.0</v>
      </c>
    </row>
    <row r="234">
      <c r="A234" s="27" t="s">
        <v>42</v>
      </c>
      <c r="B234" s="27" t="s">
        <v>750</v>
      </c>
      <c r="C234" s="27" t="s">
        <v>751</v>
      </c>
      <c r="D234" s="27" t="s">
        <v>752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1010</f>
        <v>1010.0</v>
      </c>
      <c r="L234" s="34" t="s">
        <v>48</v>
      </c>
      <c r="M234" s="33" t="n">
        <f>1027</f>
        <v>1027.0</v>
      </c>
      <c r="N234" s="34" t="s">
        <v>108</v>
      </c>
      <c r="O234" s="33" t="n">
        <f>985</f>
        <v>985.0</v>
      </c>
      <c r="P234" s="34" t="s">
        <v>71</v>
      </c>
      <c r="Q234" s="33" t="n">
        <f>1016</f>
        <v>1016.0</v>
      </c>
      <c r="R234" s="34" t="s">
        <v>51</v>
      </c>
      <c r="S234" s="35" t="n">
        <f>1005.41</f>
        <v>1005.41</v>
      </c>
      <c r="T234" s="32" t="n">
        <f>159648</f>
        <v>159648.0</v>
      </c>
      <c r="U234" s="32" t="n">
        <f>2</f>
        <v>2.0</v>
      </c>
      <c r="V234" s="32" t="n">
        <f>159953201</f>
        <v>1.59953201E8</v>
      </c>
      <c r="W234" s="32" t="n">
        <f>2009</f>
        <v>2009.0</v>
      </c>
      <c r="X234" s="36" t="n">
        <f>22</f>
        <v>22.0</v>
      </c>
    </row>
    <row r="235">
      <c r="A235" s="27" t="s">
        <v>42</v>
      </c>
      <c r="B235" s="27" t="s">
        <v>753</v>
      </c>
      <c r="C235" s="27" t="s">
        <v>754</v>
      </c>
      <c r="D235" s="27" t="s">
        <v>755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1515</f>
        <v>1515.0</v>
      </c>
      <c r="L235" s="34" t="s">
        <v>48</v>
      </c>
      <c r="M235" s="33" t="n">
        <f>1532</f>
        <v>1532.0</v>
      </c>
      <c r="N235" s="34" t="s">
        <v>108</v>
      </c>
      <c r="O235" s="33" t="n">
        <f>1488</f>
        <v>1488.0</v>
      </c>
      <c r="P235" s="34" t="s">
        <v>112</v>
      </c>
      <c r="Q235" s="33" t="n">
        <f>1512</f>
        <v>1512.0</v>
      </c>
      <c r="R235" s="34" t="s">
        <v>51</v>
      </c>
      <c r="S235" s="35" t="n">
        <f>1506.82</f>
        <v>1506.82</v>
      </c>
      <c r="T235" s="32" t="n">
        <f>309278</f>
        <v>309278.0</v>
      </c>
      <c r="U235" s="32" t="n">
        <f>93510</f>
        <v>93510.0</v>
      </c>
      <c r="V235" s="32" t="n">
        <f>464810974</f>
        <v>4.64810974E8</v>
      </c>
      <c r="W235" s="32" t="n">
        <f>140524998</f>
        <v>1.40524998E8</v>
      </c>
      <c r="X235" s="36" t="n">
        <f>22</f>
        <v>22.0</v>
      </c>
    </row>
    <row r="236">
      <c r="A236" s="27" t="s">
        <v>42</v>
      </c>
      <c r="B236" s="27" t="s">
        <v>756</v>
      </c>
      <c r="C236" s="27" t="s">
        <v>757</v>
      </c>
      <c r="D236" s="27" t="s">
        <v>758</v>
      </c>
      <c r="E236" s="28" t="s">
        <v>759</v>
      </c>
      <c r="F236" s="29" t="s">
        <v>760</v>
      </c>
      <c r="G236" s="30" t="s">
        <v>761</v>
      </c>
      <c r="H236" s="31"/>
      <c r="I236" s="31" t="s">
        <v>47</v>
      </c>
      <c r="J236" s="32" t="n">
        <v>10.0</v>
      </c>
      <c r="K236" s="33" t="n">
        <f>200</f>
        <v>200.0</v>
      </c>
      <c r="L236" s="34" t="s">
        <v>207</v>
      </c>
      <c r="M236" s="33" t="n">
        <f>201</f>
        <v>201.0</v>
      </c>
      <c r="N236" s="34" t="s">
        <v>207</v>
      </c>
      <c r="O236" s="33" t="n">
        <f>154.7</f>
        <v>154.7</v>
      </c>
      <c r="P236" s="34" t="s">
        <v>50</v>
      </c>
      <c r="Q236" s="33" t="n">
        <f>168.8</f>
        <v>168.8</v>
      </c>
      <c r="R236" s="34" t="s">
        <v>51</v>
      </c>
      <c r="S236" s="35" t="n">
        <f>173.71</f>
        <v>173.71</v>
      </c>
      <c r="T236" s="32" t="n">
        <f>25664610</f>
        <v>2.566461E7</v>
      </c>
      <c r="U236" s="32" t="n">
        <f>9101430</f>
        <v>9101430.0</v>
      </c>
      <c r="V236" s="32" t="n">
        <f>4587867545</f>
        <v>4.587867545E9</v>
      </c>
      <c r="W236" s="32" t="n">
        <f>1607876758</f>
        <v>1.607876758E9</v>
      </c>
      <c r="X236" s="36" t="n">
        <f>13</f>
        <v>13.0</v>
      </c>
    </row>
    <row r="237">
      <c r="A237" s="27" t="s">
        <v>42</v>
      </c>
      <c r="B237" s="27" t="s">
        <v>762</v>
      </c>
      <c r="C237" s="27" t="s">
        <v>763</v>
      </c>
      <c r="D237" s="27" t="s">
        <v>764</v>
      </c>
      <c r="E237" s="28" t="s">
        <v>759</v>
      </c>
      <c r="F237" s="29" t="s">
        <v>760</v>
      </c>
      <c r="G237" s="30" t="s">
        <v>765</v>
      </c>
      <c r="H237" s="31"/>
      <c r="I237" s="31" t="s">
        <v>47</v>
      </c>
      <c r="J237" s="32" t="n">
        <v>10.0</v>
      </c>
      <c r="K237" s="33" t="n">
        <f>503</f>
        <v>503.0</v>
      </c>
      <c r="L237" s="34" t="s">
        <v>385</v>
      </c>
      <c r="M237" s="33" t="n">
        <f>518</f>
        <v>518.0</v>
      </c>
      <c r="N237" s="34" t="s">
        <v>62</v>
      </c>
      <c r="O237" s="33" t="n">
        <f>441</f>
        <v>441.0</v>
      </c>
      <c r="P237" s="34" t="s">
        <v>50</v>
      </c>
      <c r="Q237" s="33" t="n">
        <f>477</f>
        <v>477.0</v>
      </c>
      <c r="R237" s="34" t="s">
        <v>51</v>
      </c>
      <c r="S237" s="35" t="n">
        <f>475.47</f>
        <v>475.47</v>
      </c>
      <c r="T237" s="32" t="n">
        <f>1823510</f>
        <v>1823510.0</v>
      </c>
      <c r="U237" s="32" t="n">
        <f>199800</f>
        <v>199800.0</v>
      </c>
      <c r="V237" s="32" t="n">
        <f>886133756</f>
        <v>8.86133756E8</v>
      </c>
      <c r="W237" s="32" t="n">
        <f>99999900</f>
        <v>9.99999E7</v>
      </c>
      <c r="X237" s="36" t="n">
        <f>9</f>
        <v>9.0</v>
      </c>
    </row>
    <row r="238">
      <c r="A238" s="27" t="s">
        <v>42</v>
      </c>
      <c r="B238" s="27" t="s">
        <v>766</v>
      </c>
      <c r="C238" s="27" t="s">
        <v>767</v>
      </c>
      <c r="D238" s="27" t="s">
        <v>768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10.0</v>
      </c>
      <c r="K238" s="33" t="n">
        <f>2773</f>
        <v>2773.0</v>
      </c>
      <c r="L238" s="34" t="s">
        <v>48</v>
      </c>
      <c r="M238" s="33" t="n">
        <f>2849.5</f>
        <v>2849.5</v>
      </c>
      <c r="N238" s="34" t="s">
        <v>108</v>
      </c>
      <c r="O238" s="33" t="n">
        <f>2645</f>
        <v>2645.0</v>
      </c>
      <c r="P238" s="34" t="s">
        <v>91</v>
      </c>
      <c r="Q238" s="33" t="n">
        <f>2711.5</f>
        <v>2711.5</v>
      </c>
      <c r="R238" s="34" t="s">
        <v>51</v>
      </c>
      <c r="S238" s="35" t="n">
        <f>2755.7</f>
        <v>2755.7</v>
      </c>
      <c r="T238" s="32" t="n">
        <f>144910</f>
        <v>144910.0</v>
      </c>
      <c r="U238" s="32" t="str">
        <f>"－"</f>
        <v>－</v>
      </c>
      <c r="V238" s="32" t="n">
        <f>401604065</f>
        <v>4.01604065E8</v>
      </c>
      <c r="W238" s="32" t="str">
        <f>"－"</f>
        <v>－</v>
      </c>
      <c r="X238" s="36" t="n">
        <f>22</f>
        <v>22.0</v>
      </c>
    </row>
    <row r="239">
      <c r="A239" s="27" t="s">
        <v>42</v>
      </c>
      <c r="B239" s="27" t="s">
        <v>769</v>
      </c>
      <c r="C239" s="27" t="s">
        <v>770</v>
      </c>
      <c r="D239" s="27" t="s">
        <v>771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1270</f>
        <v>1270.0</v>
      </c>
      <c r="L239" s="34" t="s">
        <v>48</v>
      </c>
      <c r="M239" s="33" t="n">
        <f>1300</f>
        <v>1300.0</v>
      </c>
      <c r="N239" s="34" t="s">
        <v>385</v>
      </c>
      <c r="O239" s="33" t="n">
        <f>1226</f>
        <v>1226.0</v>
      </c>
      <c r="P239" s="34" t="s">
        <v>91</v>
      </c>
      <c r="Q239" s="33" t="n">
        <f>1257</f>
        <v>1257.0</v>
      </c>
      <c r="R239" s="34" t="s">
        <v>51</v>
      </c>
      <c r="S239" s="35" t="n">
        <f>1262.77</f>
        <v>1262.77</v>
      </c>
      <c r="T239" s="32" t="n">
        <f>1559223</f>
        <v>1559223.0</v>
      </c>
      <c r="U239" s="32" t="n">
        <f>887120</f>
        <v>887120.0</v>
      </c>
      <c r="V239" s="32" t="n">
        <f>1968423506</f>
        <v>1.968423506E9</v>
      </c>
      <c r="W239" s="32" t="n">
        <f>1117841600</f>
        <v>1.1178416E9</v>
      </c>
      <c r="X239" s="36" t="n">
        <f>22</f>
        <v>22.0</v>
      </c>
    </row>
    <row r="240">
      <c r="A240" s="27" t="s">
        <v>42</v>
      </c>
      <c r="B240" s="27" t="s">
        <v>772</v>
      </c>
      <c r="C240" s="27" t="s">
        <v>773</v>
      </c>
      <c r="D240" s="27" t="s">
        <v>774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80150</f>
        <v>80150.0</v>
      </c>
      <c r="L240" s="34" t="s">
        <v>48</v>
      </c>
      <c r="M240" s="33" t="n">
        <f>84210</f>
        <v>84210.0</v>
      </c>
      <c r="N240" s="34" t="s">
        <v>90</v>
      </c>
      <c r="O240" s="33" t="n">
        <f>76560</f>
        <v>76560.0</v>
      </c>
      <c r="P240" s="34" t="s">
        <v>50</v>
      </c>
      <c r="Q240" s="33" t="n">
        <f>78320</f>
        <v>78320.0</v>
      </c>
      <c r="R240" s="34" t="s">
        <v>51</v>
      </c>
      <c r="S240" s="35" t="n">
        <f>80484.09</f>
        <v>80484.09</v>
      </c>
      <c r="T240" s="32" t="n">
        <f>32145</f>
        <v>32145.0</v>
      </c>
      <c r="U240" s="32" t="n">
        <f>2</f>
        <v>2.0</v>
      </c>
      <c r="V240" s="32" t="n">
        <f>2590946650</f>
        <v>2.59094665E9</v>
      </c>
      <c r="W240" s="32" t="n">
        <f>160280</f>
        <v>160280.0</v>
      </c>
      <c r="X240" s="36" t="n">
        <f>22</f>
        <v>22.0</v>
      </c>
    </row>
    <row r="241">
      <c r="A241" s="27" t="s">
        <v>42</v>
      </c>
      <c r="B241" s="27" t="s">
        <v>775</v>
      </c>
      <c r="C241" s="27" t="s">
        <v>776</v>
      </c>
      <c r="D241" s="27" t="s">
        <v>777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1.0</v>
      </c>
      <c r="K241" s="33" t="n">
        <f>7304</f>
        <v>7304.0</v>
      </c>
      <c r="L241" s="34" t="s">
        <v>48</v>
      </c>
      <c r="M241" s="33" t="n">
        <f>7463</f>
        <v>7463.0</v>
      </c>
      <c r="N241" s="34" t="s">
        <v>385</v>
      </c>
      <c r="O241" s="33" t="n">
        <f>7066</f>
        <v>7066.0</v>
      </c>
      <c r="P241" s="34" t="s">
        <v>90</v>
      </c>
      <c r="Q241" s="33" t="n">
        <f>7305</f>
        <v>7305.0</v>
      </c>
      <c r="R241" s="34" t="s">
        <v>51</v>
      </c>
      <c r="S241" s="35" t="n">
        <f>7238.91</f>
        <v>7238.91</v>
      </c>
      <c r="T241" s="32" t="n">
        <f>72842</f>
        <v>72842.0</v>
      </c>
      <c r="U241" s="32" t="n">
        <f>34902</f>
        <v>34902.0</v>
      </c>
      <c r="V241" s="32" t="n">
        <f>524472421</f>
        <v>5.24472421E8</v>
      </c>
      <c r="W241" s="32" t="n">
        <f>247999533</f>
        <v>2.47999533E8</v>
      </c>
      <c r="X241" s="36" t="n">
        <f>22</f>
        <v>22.0</v>
      </c>
    </row>
    <row r="242">
      <c r="A242" s="27" t="s">
        <v>42</v>
      </c>
      <c r="B242" s="27" t="s">
        <v>778</v>
      </c>
      <c r="C242" s="27" t="s">
        <v>779</v>
      </c>
      <c r="D242" s="27" t="s">
        <v>780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17500</f>
        <v>17500.0</v>
      </c>
      <c r="L242" s="34" t="s">
        <v>48</v>
      </c>
      <c r="M242" s="33" t="n">
        <f>18155</f>
        <v>18155.0</v>
      </c>
      <c r="N242" s="34" t="s">
        <v>90</v>
      </c>
      <c r="O242" s="33" t="n">
        <f>16525</f>
        <v>16525.0</v>
      </c>
      <c r="P242" s="34" t="s">
        <v>50</v>
      </c>
      <c r="Q242" s="33" t="n">
        <f>16905</f>
        <v>16905.0</v>
      </c>
      <c r="R242" s="34" t="s">
        <v>51</v>
      </c>
      <c r="S242" s="35" t="n">
        <f>17383.64</f>
        <v>17383.64</v>
      </c>
      <c r="T242" s="32" t="n">
        <f>48450</f>
        <v>48450.0</v>
      </c>
      <c r="U242" s="32" t="n">
        <f>10</f>
        <v>10.0</v>
      </c>
      <c r="V242" s="32" t="n">
        <f>847027900</f>
        <v>8.470279E8</v>
      </c>
      <c r="W242" s="32" t="n">
        <f>176850</f>
        <v>176850.0</v>
      </c>
      <c r="X242" s="36" t="n">
        <f>22</f>
        <v>22.0</v>
      </c>
    </row>
    <row r="243">
      <c r="A243" s="27" t="s">
        <v>42</v>
      </c>
      <c r="B243" s="27" t="s">
        <v>781</v>
      </c>
      <c r="C243" s="27" t="s">
        <v>782</v>
      </c>
      <c r="D243" s="27" t="s">
        <v>783</v>
      </c>
      <c r="E243" s="28" t="s">
        <v>759</v>
      </c>
      <c r="F243" s="29" t="s">
        <v>760</v>
      </c>
      <c r="G243" s="30" t="s">
        <v>784</v>
      </c>
      <c r="H243" s="31"/>
      <c r="I243" s="31" t="s">
        <v>47</v>
      </c>
      <c r="J243" s="32" t="n">
        <v>1.0</v>
      </c>
      <c r="K243" s="33" t="n">
        <f>963</f>
        <v>963.0</v>
      </c>
      <c r="L243" s="34" t="s">
        <v>91</v>
      </c>
      <c r="M243" s="33" t="n">
        <f>969</f>
        <v>969.0</v>
      </c>
      <c r="N243" s="34" t="s">
        <v>71</v>
      </c>
      <c r="O243" s="33" t="n">
        <f>939</f>
        <v>939.0</v>
      </c>
      <c r="P243" s="34" t="s">
        <v>51</v>
      </c>
      <c r="Q243" s="33" t="n">
        <f>950</f>
        <v>950.0</v>
      </c>
      <c r="R243" s="34" t="s">
        <v>51</v>
      </c>
      <c r="S243" s="35" t="n">
        <f>954.6</f>
        <v>954.6</v>
      </c>
      <c r="T243" s="32" t="n">
        <f>114197</f>
        <v>114197.0</v>
      </c>
      <c r="U243" s="32" t="str">
        <f>"－"</f>
        <v>－</v>
      </c>
      <c r="V243" s="32" t="n">
        <f>109008712</f>
        <v>1.09008712E8</v>
      </c>
      <c r="W243" s="32" t="str">
        <f>"－"</f>
        <v>－</v>
      </c>
      <c r="X243" s="36" t="n">
        <f>5</f>
        <v>5.0</v>
      </c>
    </row>
    <row r="244">
      <c r="A244" s="27" t="s">
        <v>42</v>
      </c>
      <c r="B244" s="27" t="s">
        <v>785</v>
      </c>
      <c r="C244" s="27" t="s">
        <v>786</v>
      </c>
      <c r="D244" s="27" t="s">
        <v>787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10.0</v>
      </c>
      <c r="K244" s="33" t="n">
        <f>7200</f>
        <v>7200.0</v>
      </c>
      <c r="L244" s="34" t="s">
        <v>48</v>
      </c>
      <c r="M244" s="33" t="n">
        <f>7543</f>
        <v>7543.0</v>
      </c>
      <c r="N244" s="34" t="s">
        <v>51</v>
      </c>
      <c r="O244" s="33" t="n">
        <f>7110</f>
        <v>7110.0</v>
      </c>
      <c r="P244" s="34" t="s">
        <v>90</v>
      </c>
      <c r="Q244" s="33" t="n">
        <f>7358</f>
        <v>7358.0</v>
      </c>
      <c r="R244" s="34" t="s">
        <v>51</v>
      </c>
      <c r="S244" s="35" t="n">
        <f>7270.5</f>
        <v>7270.5</v>
      </c>
      <c r="T244" s="32" t="n">
        <f>17400</f>
        <v>17400.0</v>
      </c>
      <c r="U244" s="32" t="n">
        <f>11300</f>
        <v>11300.0</v>
      </c>
      <c r="V244" s="32" t="n">
        <f>127528960</f>
        <v>1.2752896E8</v>
      </c>
      <c r="W244" s="32" t="n">
        <f>82930600</f>
        <v>8.29306E7</v>
      </c>
      <c r="X244" s="36" t="n">
        <f>22</f>
        <v>22.0</v>
      </c>
    </row>
    <row r="245">
      <c r="A245" s="27" t="s">
        <v>42</v>
      </c>
      <c r="B245" s="27" t="s">
        <v>788</v>
      </c>
      <c r="C245" s="27" t="s">
        <v>789</v>
      </c>
      <c r="D245" s="27" t="s">
        <v>790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709.8</f>
        <v>709.8</v>
      </c>
      <c r="L245" s="34" t="s">
        <v>48</v>
      </c>
      <c r="M245" s="33" t="n">
        <f>727.2</f>
        <v>727.2</v>
      </c>
      <c r="N245" s="34" t="s">
        <v>90</v>
      </c>
      <c r="O245" s="33" t="n">
        <f>663.8</f>
        <v>663.8</v>
      </c>
      <c r="P245" s="34" t="s">
        <v>91</v>
      </c>
      <c r="Q245" s="33" t="n">
        <f>694.3</f>
        <v>694.3</v>
      </c>
      <c r="R245" s="34" t="s">
        <v>51</v>
      </c>
      <c r="S245" s="35" t="n">
        <f>705.1</f>
        <v>705.1</v>
      </c>
      <c r="T245" s="32" t="n">
        <f>802280</f>
        <v>802280.0</v>
      </c>
      <c r="U245" s="32" t="str">
        <f>"－"</f>
        <v>－</v>
      </c>
      <c r="V245" s="32" t="n">
        <f>565111459</f>
        <v>5.65111459E8</v>
      </c>
      <c r="W245" s="32" t="str">
        <f>"－"</f>
        <v>－</v>
      </c>
      <c r="X245" s="36" t="n">
        <f>22</f>
        <v>22.0</v>
      </c>
    </row>
    <row r="246">
      <c r="A246" s="27" t="s">
        <v>42</v>
      </c>
      <c r="B246" s="27" t="s">
        <v>791</v>
      </c>
      <c r="C246" s="27" t="s">
        <v>792</v>
      </c>
      <c r="D246" s="27" t="s">
        <v>793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550.8</f>
        <v>550.8</v>
      </c>
      <c r="L246" s="34" t="s">
        <v>48</v>
      </c>
      <c r="M246" s="33" t="n">
        <f>579.2</f>
        <v>579.2</v>
      </c>
      <c r="N246" s="34" t="s">
        <v>108</v>
      </c>
      <c r="O246" s="33" t="n">
        <f>550.1</f>
        <v>550.1</v>
      </c>
      <c r="P246" s="34" t="s">
        <v>70</v>
      </c>
      <c r="Q246" s="33" t="n">
        <f>570.3</f>
        <v>570.3</v>
      </c>
      <c r="R246" s="34" t="s">
        <v>51</v>
      </c>
      <c r="S246" s="35" t="n">
        <f>561.35</f>
        <v>561.35</v>
      </c>
      <c r="T246" s="32" t="n">
        <f>515040</f>
        <v>515040.0</v>
      </c>
      <c r="U246" s="32" t="n">
        <f>40</f>
        <v>40.0</v>
      </c>
      <c r="V246" s="32" t="n">
        <f>293674493</f>
        <v>2.93674493E8</v>
      </c>
      <c r="W246" s="32" t="n">
        <f>22872</f>
        <v>22872.0</v>
      </c>
      <c r="X246" s="36" t="n">
        <f>22</f>
        <v>22.0</v>
      </c>
    </row>
    <row r="247">
      <c r="A247" s="27" t="s">
        <v>42</v>
      </c>
      <c r="B247" s="27" t="s">
        <v>794</v>
      </c>
      <c r="C247" s="27" t="s">
        <v>795</v>
      </c>
      <c r="D247" s="27" t="s">
        <v>796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2106</f>
        <v>2106.0</v>
      </c>
      <c r="L247" s="34" t="s">
        <v>48</v>
      </c>
      <c r="M247" s="33" t="n">
        <f>2277</f>
        <v>2277.0</v>
      </c>
      <c r="N247" s="34" t="s">
        <v>66</v>
      </c>
      <c r="O247" s="33" t="n">
        <f>1807</f>
        <v>1807.0</v>
      </c>
      <c r="P247" s="34" t="s">
        <v>51</v>
      </c>
      <c r="Q247" s="33" t="n">
        <f>1864</f>
        <v>1864.0</v>
      </c>
      <c r="R247" s="34" t="s">
        <v>51</v>
      </c>
      <c r="S247" s="35" t="n">
        <f>2075.14</f>
        <v>2075.14</v>
      </c>
      <c r="T247" s="32" t="n">
        <f>17857670</f>
        <v>1.785767E7</v>
      </c>
      <c r="U247" s="32" t="n">
        <f>1373402</f>
        <v>1373402.0</v>
      </c>
      <c r="V247" s="32" t="n">
        <f>36761534474</f>
        <v>3.6761534474E10</v>
      </c>
      <c r="W247" s="32" t="n">
        <f>2943764128</f>
        <v>2.943764128E9</v>
      </c>
      <c r="X247" s="36" t="n">
        <f>22</f>
        <v>22.0</v>
      </c>
    </row>
    <row r="248">
      <c r="A248" s="27" t="s">
        <v>42</v>
      </c>
      <c r="B248" s="27" t="s">
        <v>797</v>
      </c>
      <c r="C248" s="27" t="s">
        <v>798</v>
      </c>
      <c r="D248" s="27" t="s">
        <v>799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1.0</v>
      </c>
      <c r="K248" s="33" t="n">
        <f>2263</f>
        <v>2263.0</v>
      </c>
      <c r="L248" s="34" t="s">
        <v>48</v>
      </c>
      <c r="M248" s="33" t="n">
        <f>2439</f>
        <v>2439.0</v>
      </c>
      <c r="N248" s="34" t="s">
        <v>66</v>
      </c>
      <c r="O248" s="33" t="n">
        <f>2038</f>
        <v>2038.0</v>
      </c>
      <c r="P248" s="34" t="s">
        <v>51</v>
      </c>
      <c r="Q248" s="33" t="n">
        <f>2069</f>
        <v>2069.0</v>
      </c>
      <c r="R248" s="34" t="s">
        <v>51</v>
      </c>
      <c r="S248" s="35" t="n">
        <f>2259.5</f>
        <v>2259.5</v>
      </c>
      <c r="T248" s="32" t="n">
        <f>19225924</f>
        <v>1.9225924E7</v>
      </c>
      <c r="U248" s="32" t="n">
        <f>176209</f>
        <v>176209.0</v>
      </c>
      <c r="V248" s="32" t="n">
        <f>43744602907</f>
        <v>4.3744602907E10</v>
      </c>
      <c r="W248" s="32" t="n">
        <f>406732556</f>
        <v>4.06732556E8</v>
      </c>
      <c r="X248" s="36" t="n">
        <f>22</f>
        <v>22.0</v>
      </c>
    </row>
    <row r="249">
      <c r="A249" s="27" t="s">
        <v>42</v>
      </c>
      <c r="B249" s="27" t="s">
        <v>800</v>
      </c>
      <c r="C249" s="27" t="s">
        <v>801</v>
      </c>
      <c r="D249" s="27" t="s">
        <v>802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10.0</v>
      </c>
      <c r="K249" s="33" t="n">
        <f>765.2</f>
        <v>765.2</v>
      </c>
      <c r="L249" s="34" t="s">
        <v>48</v>
      </c>
      <c r="M249" s="33" t="n">
        <f>780.9</f>
        <v>780.9</v>
      </c>
      <c r="N249" s="34" t="s">
        <v>48</v>
      </c>
      <c r="O249" s="33" t="n">
        <f>759.3</f>
        <v>759.3</v>
      </c>
      <c r="P249" s="34" t="s">
        <v>71</v>
      </c>
      <c r="Q249" s="33" t="n">
        <f>776</f>
        <v>776.0</v>
      </c>
      <c r="R249" s="34" t="s">
        <v>51</v>
      </c>
      <c r="S249" s="35" t="n">
        <f>769.5</f>
        <v>769.5</v>
      </c>
      <c r="T249" s="32" t="n">
        <f>13821810</f>
        <v>1.382181E7</v>
      </c>
      <c r="U249" s="32" t="n">
        <f>12900020</f>
        <v>1.290002E7</v>
      </c>
      <c r="V249" s="32" t="n">
        <f>10582463777</f>
        <v>1.0582463777E10</v>
      </c>
      <c r="W249" s="32" t="n">
        <f>9872643418</f>
        <v>9.872643418E9</v>
      </c>
      <c r="X249" s="36" t="n">
        <f>18</f>
        <v>18.0</v>
      </c>
    </row>
    <row r="250">
      <c r="A250" s="27" t="s">
        <v>42</v>
      </c>
      <c r="B250" s="27" t="s">
        <v>803</v>
      </c>
      <c r="C250" s="27" t="s">
        <v>804</v>
      </c>
      <c r="D250" s="27" t="s">
        <v>805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10.0</v>
      </c>
      <c r="K250" s="33" t="n">
        <f>757.9</f>
        <v>757.9</v>
      </c>
      <c r="L250" s="34" t="s">
        <v>48</v>
      </c>
      <c r="M250" s="33" t="n">
        <f>772</f>
        <v>772.0</v>
      </c>
      <c r="N250" s="34" t="s">
        <v>207</v>
      </c>
      <c r="O250" s="33" t="n">
        <f>754.5</f>
        <v>754.5</v>
      </c>
      <c r="P250" s="34" t="s">
        <v>70</v>
      </c>
      <c r="Q250" s="33" t="n">
        <f>771.2</f>
        <v>771.2</v>
      </c>
      <c r="R250" s="34" t="s">
        <v>51</v>
      </c>
      <c r="S250" s="35" t="n">
        <f>762.83</f>
        <v>762.83</v>
      </c>
      <c r="T250" s="32" t="n">
        <f>410200</f>
        <v>410200.0</v>
      </c>
      <c r="U250" s="32" t="str">
        <f>"－"</f>
        <v>－</v>
      </c>
      <c r="V250" s="32" t="n">
        <f>312678418</f>
        <v>3.12678418E8</v>
      </c>
      <c r="W250" s="32" t="str">
        <f>"－"</f>
        <v>－</v>
      </c>
      <c r="X250" s="36" t="n">
        <f>13</f>
        <v>13.0</v>
      </c>
    </row>
    <row r="251">
      <c r="A251" s="27" t="s">
        <v>42</v>
      </c>
      <c r="B251" s="27" t="s">
        <v>806</v>
      </c>
      <c r="C251" s="27" t="s">
        <v>807</v>
      </c>
      <c r="D251" s="27" t="s">
        <v>808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1.0</v>
      </c>
      <c r="K251" s="33" t="n">
        <f>16810</f>
        <v>16810.0</v>
      </c>
      <c r="L251" s="34" t="s">
        <v>48</v>
      </c>
      <c r="M251" s="33" t="n">
        <f>17495</f>
        <v>17495.0</v>
      </c>
      <c r="N251" s="34" t="s">
        <v>66</v>
      </c>
      <c r="O251" s="33" t="n">
        <f>15565</f>
        <v>15565.0</v>
      </c>
      <c r="P251" s="34" t="s">
        <v>51</v>
      </c>
      <c r="Q251" s="33" t="n">
        <f>15745</f>
        <v>15745.0</v>
      </c>
      <c r="R251" s="34" t="s">
        <v>51</v>
      </c>
      <c r="S251" s="35" t="n">
        <f>16448.18</f>
        <v>16448.18</v>
      </c>
      <c r="T251" s="32" t="n">
        <f>406345</f>
        <v>406345.0</v>
      </c>
      <c r="U251" s="32" t="n">
        <f>151447</f>
        <v>151447.0</v>
      </c>
      <c r="V251" s="32" t="n">
        <f>6655072256</f>
        <v>6.655072256E9</v>
      </c>
      <c r="W251" s="32" t="n">
        <f>2498768206</f>
        <v>2.498768206E9</v>
      </c>
      <c r="X251" s="36" t="n">
        <f>22</f>
        <v>22.0</v>
      </c>
    </row>
    <row r="252">
      <c r="A252" s="27" t="s">
        <v>42</v>
      </c>
      <c r="B252" s="27" t="s">
        <v>809</v>
      </c>
      <c r="C252" s="27" t="s">
        <v>810</v>
      </c>
      <c r="D252" s="27" t="s">
        <v>811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1.0</v>
      </c>
      <c r="K252" s="33" t="n">
        <f>43070</f>
        <v>43070.0</v>
      </c>
      <c r="L252" s="34" t="s">
        <v>48</v>
      </c>
      <c r="M252" s="33" t="n">
        <f>45000</f>
        <v>45000.0</v>
      </c>
      <c r="N252" s="34" t="s">
        <v>66</v>
      </c>
      <c r="O252" s="33" t="n">
        <f>42520</f>
        <v>42520.0</v>
      </c>
      <c r="P252" s="34" t="s">
        <v>50</v>
      </c>
      <c r="Q252" s="33" t="n">
        <f>42860</f>
        <v>42860.0</v>
      </c>
      <c r="R252" s="34" t="s">
        <v>51</v>
      </c>
      <c r="S252" s="35" t="n">
        <f>43503.18</f>
        <v>43503.18</v>
      </c>
      <c r="T252" s="32" t="n">
        <f>34552</f>
        <v>34552.0</v>
      </c>
      <c r="U252" s="32" t="n">
        <f>6</f>
        <v>6.0</v>
      </c>
      <c r="V252" s="32" t="n">
        <f>1514564240</f>
        <v>1.51456424E9</v>
      </c>
      <c r="W252" s="32" t="n">
        <f>263410</f>
        <v>263410.0</v>
      </c>
      <c r="X252" s="36" t="n">
        <f>22</f>
        <v>22.0</v>
      </c>
    </row>
    <row r="253">
      <c r="A253" s="27" t="s">
        <v>42</v>
      </c>
      <c r="B253" s="27" t="s">
        <v>812</v>
      </c>
      <c r="C253" s="27" t="s">
        <v>813</v>
      </c>
      <c r="D253" s="27" t="s">
        <v>814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19590</f>
        <v>19590.0</v>
      </c>
      <c r="L253" s="34" t="s">
        <v>48</v>
      </c>
      <c r="M253" s="33" t="n">
        <f>20500</f>
        <v>20500.0</v>
      </c>
      <c r="N253" s="34" t="s">
        <v>51</v>
      </c>
      <c r="O253" s="33" t="n">
        <f>18250</f>
        <v>18250.0</v>
      </c>
      <c r="P253" s="34" t="s">
        <v>66</v>
      </c>
      <c r="Q253" s="33" t="n">
        <f>19595</f>
        <v>19595.0</v>
      </c>
      <c r="R253" s="34" t="s">
        <v>51</v>
      </c>
      <c r="S253" s="35" t="n">
        <f>19126.14</f>
        <v>19126.14</v>
      </c>
      <c r="T253" s="32" t="n">
        <f>88016</f>
        <v>88016.0</v>
      </c>
      <c r="U253" s="32" t="n">
        <f>64</f>
        <v>64.0</v>
      </c>
      <c r="V253" s="32" t="n">
        <f>1707328745</f>
        <v>1.707328745E9</v>
      </c>
      <c r="W253" s="32" t="n">
        <f>1244010</f>
        <v>1244010.0</v>
      </c>
      <c r="X253" s="36" t="n">
        <f>22</f>
        <v>22.0</v>
      </c>
    </row>
    <row r="254">
      <c r="A254" s="27" t="s">
        <v>42</v>
      </c>
      <c r="B254" s="27" t="s">
        <v>815</v>
      </c>
      <c r="C254" s="27" t="s">
        <v>816</v>
      </c>
      <c r="D254" s="27" t="s">
        <v>817</v>
      </c>
      <c r="E254" s="28" t="s">
        <v>759</v>
      </c>
      <c r="F254" s="29" t="s">
        <v>760</v>
      </c>
      <c r="G254" s="30" t="s">
        <v>784</v>
      </c>
      <c r="H254" s="31"/>
      <c r="I254" s="31" t="s">
        <v>47</v>
      </c>
      <c r="J254" s="32" t="n">
        <v>1.0</v>
      </c>
      <c r="K254" s="33" t="n">
        <f>976</f>
        <v>976.0</v>
      </c>
      <c r="L254" s="34" t="s">
        <v>91</v>
      </c>
      <c r="M254" s="33" t="n">
        <f>977</f>
        <v>977.0</v>
      </c>
      <c r="N254" s="34" t="s">
        <v>91</v>
      </c>
      <c r="O254" s="33" t="n">
        <f>940</f>
        <v>940.0</v>
      </c>
      <c r="P254" s="34" t="s">
        <v>91</v>
      </c>
      <c r="Q254" s="33" t="n">
        <f>958</f>
        <v>958.0</v>
      </c>
      <c r="R254" s="34" t="s">
        <v>51</v>
      </c>
      <c r="S254" s="35" t="n">
        <f>957.4</f>
        <v>957.4</v>
      </c>
      <c r="T254" s="32" t="n">
        <f>93747</f>
        <v>93747.0</v>
      </c>
      <c r="U254" s="32" t="str">
        <f>"－"</f>
        <v>－</v>
      </c>
      <c r="V254" s="32" t="n">
        <f>89648106</f>
        <v>8.9648106E7</v>
      </c>
      <c r="W254" s="32" t="str">
        <f>"－"</f>
        <v>－</v>
      </c>
      <c r="X254" s="36" t="n">
        <f>5</f>
        <v>5.0</v>
      </c>
    </row>
    <row r="255">
      <c r="A255" s="27" t="s">
        <v>42</v>
      </c>
      <c r="B255" s="27" t="s">
        <v>818</v>
      </c>
      <c r="C255" s="27" t="s">
        <v>819</v>
      </c>
      <c r="D255" s="27" t="s">
        <v>820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10.0</v>
      </c>
      <c r="K255" s="33" t="n">
        <f>249.9</f>
        <v>249.9</v>
      </c>
      <c r="L255" s="34" t="s">
        <v>48</v>
      </c>
      <c r="M255" s="33" t="n">
        <f>270</f>
        <v>270.0</v>
      </c>
      <c r="N255" s="34" t="s">
        <v>220</v>
      </c>
      <c r="O255" s="33" t="n">
        <f>242</f>
        <v>242.0</v>
      </c>
      <c r="P255" s="34" t="s">
        <v>50</v>
      </c>
      <c r="Q255" s="33" t="n">
        <f>249.4</f>
        <v>249.4</v>
      </c>
      <c r="R255" s="34" t="s">
        <v>51</v>
      </c>
      <c r="S255" s="35" t="n">
        <f>254.64</f>
        <v>254.64</v>
      </c>
      <c r="T255" s="32" t="n">
        <f>1116100</f>
        <v>1116100.0</v>
      </c>
      <c r="U255" s="32" t="n">
        <f>1090000</f>
        <v>1090000.0</v>
      </c>
      <c r="V255" s="32" t="n">
        <f>267482854</f>
        <v>2.67482854E8</v>
      </c>
      <c r="W255" s="32" t="n">
        <f>260858800</f>
        <v>2.608588E8</v>
      </c>
      <c r="X255" s="36" t="n">
        <f>22</f>
        <v>22.0</v>
      </c>
    </row>
    <row r="256">
      <c r="A256" s="27" t="s">
        <v>42</v>
      </c>
      <c r="B256" s="27" t="s">
        <v>821</v>
      </c>
      <c r="C256" s="27" t="s">
        <v>822</v>
      </c>
      <c r="D256" s="27" t="s">
        <v>823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774.2</f>
        <v>774.2</v>
      </c>
      <c r="L256" s="34" t="s">
        <v>48</v>
      </c>
      <c r="M256" s="33" t="n">
        <f>779.3</f>
        <v>779.3</v>
      </c>
      <c r="N256" s="34" t="s">
        <v>104</v>
      </c>
      <c r="O256" s="33" t="n">
        <f>765.9</f>
        <v>765.9</v>
      </c>
      <c r="P256" s="34" t="s">
        <v>90</v>
      </c>
      <c r="Q256" s="33" t="n">
        <f>774.5</f>
        <v>774.5</v>
      </c>
      <c r="R256" s="34" t="s">
        <v>51</v>
      </c>
      <c r="S256" s="35" t="n">
        <f>772.85</f>
        <v>772.85</v>
      </c>
      <c r="T256" s="32" t="n">
        <f>8063170</f>
        <v>8063170.0</v>
      </c>
      <c r="U256" s="32" t="n">
        <f>5850500</f>
        <v>5850500.0</v>
      </c>
      <c r="V256" s="32" t="n">
        <f>6222129924</f>
        <v>6.222129924E9</v>
      </c>
      <c r="W256" s="32" t="n">
        <f>4511433314</f>
        <v>4.511433314E9</v>
      </c>
      <c r="X256" s="36" t="n">
        <f>22</f>
        <v>22.0</v>
      </c>
    </row>
    <row r="257">
      <c r="A257" s="27" t="s">
        <v>42</v>
      </c>
      <c r="B257" s="27" t="s">
        <v>824</v>
      </c>
      <c r="C257" s="27" t="s">
        <v>825</v>
      </c>
      <c r="D257" s="27" t="s">
        <v>826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1.0</v>
      </c>
      <c r="K257" s="33" t="n">
        <f>1201</f>
        <v>1201.0</v>
      </c>
      <c r="L257" s="34" t="s">
        <v>48</v>
      </c>
      <c r="M257" s="33" t="n">
        <f>1247</f>
        <v>1247.0</v>
      </c>
      <c r="N257" s="34" t="s">
        <v>90</v>
      </c>
      <c r="O257" s="33" t="n">
        <f>1150</f>
        <v>1150.0</v>
      </c>
      <c r="P257" s="34" t="s">
        <v>91</v>
      </c>
      <c r="Q257" s="33" t="n">
        <f>1198</f>
        <v>1198.0</v>
      </c>
      <c r="R257" s="34" t="s">
        <v>51</v>
      </c>
      <c r="S257" s="35" t="n">
        <f>1194.18</f>
        <v>1194.18</v>
      </c>
      <c r="T257" s="32" t="n">
        <f>811816</f>
        <v>811816.0</v>
      </c>
      <c r="U257" s="32" t="str">
        <f>"－"</f>
        <v>－</v>
      </c>
      <c r="V257" s="32" t="n">
        <f>976430122</f>
        <v>9.76430122E8</v>
      </c>
      <c r="W257" s="32" t="str">
        <f>"－"</f>
        <v>－</v>
      </c>
      <c r="X257" s="36" t="n">
        <f>22</f>
        <v>22.0</v>
      </c>
    </row>
    <row r="258">
      <c r="A258" s="27" t="s">
        <v>42</v>
      </c>
      <c r="B258" s="27" t="s">
        <v>827</v>
      </c>
      <c r="C258" s="27" t="s">
        <v>828</v>
      </c>
      <c r="D258" s="27" t="s">
        <v>829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1.0</v>
      </c>
      <c r="K258" s="33" t="n">
        <f>1214</f>
        <v>1214.0</v>
      </c>
      <c r="L258" s="34" t="s">
        <v>48</v>
      </c>
      <c r="M258" s="33" t="n">
        <f>1235</f>
        <v>1235.0</v>
      </c>
      <c r="N258" s="34" t="s">
        <v>385</v>
      </c>
      <c r="O258" s="33" t="n">
        <f>1168</f>
        <v>1168.0</v>
      </c>
      <c r="P258" s="34" t="s">
        <v>91</v>
      </c>
      <c r="Q258" s="33" t="n">
        <f>1190</f>
        <v>1190.0</v>
      </c>
      <c r="R258" s="34" t="s">
        <v>51</v>
      </c>
      <c r="S258" s="35" t="n">
        <f>1195.59</f>
        <v>1195.59</v>
      </c>
      <c r="T258" s="32" t="n">
        <f>111204</f>
        <v>111204.0</v>
      </c>
      <c r="U258" s="32" t="n">
        <f>11</f>
        <v>11.0</v>
      </c>
      <c r="V258" s="32" t="n">
        <f>133173896</f>
        <v>1.33173896E8</v>
      </c>
      <c r="W258" s="32" t="n">
        <f>12352</f>
        <v>12352.0</v>
      </c>
      <c r="X258" s="36" t="n">
        <f>22</f>
        <v>22.0</v>
      </c>
    </row>
    <row r="259">
      <c r="A259" s="27" t="s">
        <v>42</v>
      </c>
      <c r="B259" s="27" t="s">
        <v>830</v>
      </c>
      <c r="C259" s="27" t="s">
        <v>831</v>
      </c>
      <c r="D259" s="27" t="s">
        <v>832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1.0</v>
      </c>
      <c r="K259" s="33" t="n">
        <f>773</f>
        <v>773.0</v>
      </c>
      <c r="L259" s="34" t="s">
        <v>48</v>
      </c>
      <c r="M259" s="33" t="n">
        <f>778</f>
        <v>778.0</v>
      </c>
      <c r="N259" s="34" t="s">
        <v>207</v>
      </c>
      <c r="O259" s="33" t="n">
        <f>694</f>
        <v>694.0</v>
      </c>
      <c r="P259" s="34" t="s">
        <v>91</v>
      </c>
      <c r="Q259" s="33" t="n">
        <f>718</f>
        <v>718.0</v>
      </c>
      <c r="R259" s="34" t="s">
        <v>51</v>
      </c>
      <c r="S259" s="35" t="n">
        <f>742.86</f>
        <v>742.86</v>
      </c>
      <c r="T259" s="32" t="n">
        <f>211016</f>
        <v>211016.0</v>
      </c>
      <c r="U259" s="32" t="str">
        <f>"－"</f>
        <v>－</v>
      </c>
      <c r="V259" s="32" t="n">
        <f>157080421</f>
        <v>1.57080421E8</v>
      </c>
      <c r="W259" s="32" t="str">
        <f>"－"</f>
        <v>－</v>
      </c>
      <c r="X259" s="36" t="n">
        <f>22</f>
        <v>22.0</v>
      </c>
    </row>
    <row r="260">
      <c r="A260" s="27" t="s">
        <v>42</v>
      </c>
      <c r="B260" s="27" t="s">
        <v>833</v>
      </c>
      <c r="C260" s="27" t="s">
        <v>834</v>
      </c>
      <c r="D260" s="27" t="s">
        <v>835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227</f>
        <v>227.0</v>
      </c>
      <c r="L260" s="34" t="s">
        <v>48</v>
      </c>
      <c r="M260" s="33" t="n">
        <f>227.2</f>
        <v>227.2</v>
      </c>
      <c r="N260" s="34" t="s">
        <v>112</v>
      </c>
      <c r="O260" s="33" t="n">
        <f>211.1</f>
        <v>211.1</v>
      </c>
      <c r="P260" s="34" t="s">
        <v>91</v>
      </c>
      <c r="Q260" s="33" t="n">
        <f>216.6</f>
        <v>216.6</v>
      </c>
      <c r="R260" s="34" t="s">
        <v>51</v>
      </c>
      <c r="S260" s="35" t="n">
        <f>221.35</f>
        <v>221.35</v>
      </c>
      <c r="T260" s="32" t="n">
        <f>12075500</f>
        <v>1.20755E7</v>
      </c>
      <c r="U260" s="32" t="n">
        <f>467010</f>
        <v>467010.0</v>
      </c>
      <c r="V260" s="32" t="n">
        <f>2669961846</f>
        <v>2.669961846E9</v>
      </c>
      <c r="W260" s="32" t="n">
        <f>104832948</f>
        <v>1.04832948E8</v>
      </c>
      <c r="X260" s="36" t="n">
        <f>22</f>
        <v>22.0</v>
      </c>
    </row>
    <row r="261">
      <c r="A261" s="27" t="s">
        <v>42</v>
      </c>
      <c r="B261" s="27" t="s">
        <v>836</v>
      </c>
      <c r="C261" s="27" t="s">
        <v>837</v>
      </c>
      <c r="D261" s="27" t="s">
        <v>838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10.0</v>
      </c>
      <c r="K261" s="33" t="n">
        <f>223</f>
        <v>223.0</v>
      </c>
      <c r="L261" s="34" t="s">
        <v>48</v>
      </c>
      <c r="M261" s="33" t="n">
        <f>232</f>
        <v>232.0</v>
      </c>
      <c r="N261" s="34" t="s">
        <v>236</v>
      </c>
      <c r="O261" s="33" t="n">
        <f>210.8</f>
        <v>210.8</v>
      </c>
      <c r="P261" s="34" t="s">
        <v>91</v>
      </c>
      <c r="Q261" s="33" t="n">
        <f>213.5</f>
        <v>213.5</v>
      </c>
      <c r="R261" s="34" t="s">
        <v>51</v>
      </c>
      <c r="S261" s="35" t="n">
        <f>219.13</f>
        <v>219.13</v>
      </c>
      <c r="T261" s="32" t="n">
        <f>1615860</f>
        <v>1615860.0</v>
      </c>
      <c r="U261" s="32" t="n">
        <f>1150</f>
        <v>1150.0</v>
      </c>
      <c r="V261" s="32" t="n">
        <f>353803695</f>
        <v>3.53803695E8</v>
      </c>
      <c r="W261" s="32" t="n">
        <f>247052</f>
        <v>247052.0</v>
      </c>
      <c r="X261" s="36" t="n">
        <f>22</f>
        <v>22.0</v>
      </c>
    </row>
    <row r="262">
      <c r="A262" s="27" t="s">
        <v>42</v>
      </c>
      <c r="B262" s="27" t="s">
        <v>839</v>
      </c>
      <c r="C262" s="27" t="s">
        <v>840</v>
      </c>
      <c r="D262" s="27" t="s">
        <v>841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10.0</v>
      </c>
      <c r="K262" s="33" t="n">
        <f>225.6</f>
        <v>225.6</v>
      </c>
      <c r="L262" s="34" t="s">
        <v>48</v>
      </c>
      <c r="M262" s="33" t="n">
        <f>235</f>
        <v>235.0</v>
      </c>
      <c r="N262" s="34" t="s">
        <v>112</v>
      </c>
      <c r="O262" s="33" t="n">
        <f>210.9</f>
        <v>210.9</v>
      </c>
      <c r="P262" s="34" t="s">
        <v>91</v>
      </c>
      <c r="Q262" s="33" t="n">
        <f>214.2</f>
        <v>214.2</v>
      </c>
      <c r="R262" s="34" t="s">
        <v>51</v>
      </c>
      <c r="S262" s="35" t="n">
        <f>220.23</f>
        <v>220.23</v>
      </c>
      <c r="T262" s="32" t="n">
        <f>710530</f>
        <v>710530.0</v>
      </c>
      <c r="U262" s="32" t="n">
        <f>680</f>
        <v>680.0</v>
      </c>
      <c r="V262" s="32" t="n">
        <f>156752595</f>
        <v>1.56752595E8</v>
      </c>
      <c r="W262" s="32" t="n">
        <f>142968</f>
        <v>142968.0</v>
      </c>
      <c r="X262" s="36" t="n">
        <f>22</f>
        <v>22.0</v>
      </c>
    </row>
    <row r="263">
      <c r="A263" s="27" t="s">
        <v>42</v>
      </c>
      <c r="B263" s="27" t="s">
        <v>842</v>
      </c>
      <c r="C263" s="27" t="s">
        <v>843</v>
      </c>
      <c r="D263" s="27" t="s">
        <v>844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10.0</v>
      </c>
      <c r="K263" s="33" t="n">
        <f>225.8</f>
        <v>225.8</v>
      </c>
      <c r="L263" s="34" t="s">
        <v>48</v>
      </c>
      <c r="M263" s="33" t="n">
        <f>229</f>
        <v>229.0</v>
      </c>
      <c r="N263" s="34" t="s">
        <v>112</v>
      </c>
      <c r="O263" s="33" t="n">
        <f>213.8</f>
        <v>213.8</v>
      </c>
      <c r="P263" s="34" t="s">
        <v>91</v>
      </c>
      <c r="Q263" s="33" t="n">
        <f>215.2</f>
        <v>215.2</v>
      </c>
      <c r="R263" s="34" t="s">
        <v>51</v>
      </c>
      <c r="S263" s="35" t="n">
        <f>221.87</f>
        <v>221.87</v>
      </c>
      <c r="T263" s="32" t="n">
        <f>656480</f>
        <v>656480.0</v>
      </c>
      <c r="U263" s="32" t="n">
        <f>3750</f>
        <v>3750.0</v>
      </c>
      <c r="V263" s="32" t="n">
        <f>145136395</f>
        <v>1.45136395E8</v>
      </c>
      <c r="W263" s="32" t="n">
        <f>836744</f>
        <v>836744.0</v>
      </c>
      <c r="X263" s="36" t="n">
        <f>22</f>
        <v>22.0</v>
      </c>
    </row>
    <row r="264">
      <c r="A264" s="27" t="s">
        <v>42</v>
      </c>
      <c r="B264" s="27" t="s">
        <v>845</v>
      </c>
      <c r="C264" s="27" t="s">
        <v>846</v>
      </c>
      <c r="D264" s="27" t="s">
        <v>847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196.7</f>
        <v>196.7</v>
      </c>
      <c r="L264" s="34" t="s">
        <v>48</v>
      </c>
      <c r="M264" s="33" t="n">
        <f>210.5</f>
        <v>210.5</v>
      </c>
      <c r="N264" s="34" t="s">
        <v>112</v>
      </c>
      <c r="O264" s="33" t="n">
        <f>193.9</f>
        <v>193.9</v>
      </c>
      <c r="P264" s="34" t="s">
        <v>104</v>
      </c>
      <c r="Q264" s="33" t="n">
        <f>198.3</f>
        <v>198.3</v>
      </c>
      <c r="R264" s="34" t="s">
        <v>51</v>
      </c>
      <c r="S264" s="35" t="n">
        <f>197.05</f>
        <v>197.05</v>
      </c>
      <c r="T264" s="32" t="n">
        <f>2189680</f>
        <v>2189680.0</v>
      </c>
      <c r="U264" s="32" t="n">
        <f>1766000</f>
        <v>1766000.0</v>
      </c>
      <c r="V264" s="32" t="n">
        <f>430549897</f>
        <v>4.30549897E8</v>
      </c>
      <c r="W264" s="32" t="n">
        <f>347035352</f>
        <v>3.47035352E8</v>
      </c>
      <c r="X264" s="36" t="n">
        <f>19</f>
        <v>19.0</v>
      </c>
    </row>
    <row r="265">
      <c r="A265" s="27" t="s">
        <v>42</v>
      </c>
      <c r="B265" s="27" t="s">
        <v>848</v>
      </c>
      <c r="C265" s="27" t="s">
        <v>849</v>
      </c>
      <c r="D265" s="27" t="s">
        <v>850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906</f>
        <v>906.0</v>
      </c>
      <c r="L265" s="34" t="s">
        <v>48</v>
      </c>
      <c r="M265" s="33" t="n">
        <f>910.6</f>
        <v>910.6</v>
      </c>
      <c r="N265" s="34" t="s">
        <v>749</v>
      </c>
      <c r="O265" s="33" t="n">
        <f>900</f>
        <v>900.0</v>
      </c>
      <c r="P265" s="34" t="s">
        <v>104</v>
      </c>
      <c r="Q265" s="33" t="n">
        <f>902</f>
        <v>902.0</v>
      </c>
      <c r="R265" s="34" t="s">
        <v>51</v>
      </c>
      <c r="S265" s="35" t="n">
        <f>903.28</f>
        <v>903.28</v>
      </c>
      <c r="T265" s="32" t="n">
        <f>8362800</f>
        <v>8362800.0</v>
      </c>
      <c r="U265" s="32" t="n">
        <f>6958970</f>
        <v>6958970.0</v>
      </c>
      <c r="V265" s="32" t="n">
        <f>7556658579</f>
        <v>7.556658579E9</v>
      </c>
      <c r="W265" s="32" t="n">
        <f>6288264978</f>
        <v>6.288264978E9</v>
      </c>
      <c r="X265" s="36" t="n">
        <f>22</f>
        <v>22.0</v>
      </c>
    </row>
    <row r="266">
      <c r="A266" s="27" t="s">
        <v>42</v>
      </c>
      <c r="B266" s="27" t="s">
        <v>851</v>
      </c>
      <c r="C266" s="27" t="s">
        <v>852</v>
      </c>
      <c r="D266" s="27" t="s">
        <v>853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1140</f>
        <v>1140.0</v>
      </c>
      <c r="L266" s="34" t="s">
        <v>48</v>
      </c>
      <c r="M266" s="33" t="n">
        <f>1164</f>
        <v>1164.0</v>
      </c>
      <c r="N266" s="34" t="s">
        <v>66</v>
      </c>
      <c r="O266" s="33" t="n">
        <f>1100</f>
        <v>1100.0</v>
      </c>
      <c r="P266" s="34" t="s">
        <v>91</v>
      </c>
      <c r="Q266" s="33" t="n">
        <f>1112</f>
        <v>1112.0</v>
      </c>
      <c r="R266" s="34" t="s">
        <v>51</v>
      </c>
      <c r="S266" s="35" t="n">
        <f>1138.75</f>
        <v>1138.75</v>
      </c>
      <c r="T266" s="32" t="n">
        <f>5934650</f>
        <v>5934650.0</v>
      </c>
      <c r="U266" s="32" t="n">
        <f>4694590</f>
        <v>4694590.0</v>
      </c>
      <c r="V266" s="32" t="n">
        <f>6681357513</f>
        <v>6.681357513E9</v>
      </c>
      <c r="W266" s="32" t="n">
        <f>5271728918</f>
        <v>5.271728918E9</v>
      </c>
      <c r="X266" s="36" t="n">
        <f>22</f>
        <v>22.0</v>
      </c>
    </row>
    <row r="267">
      <c r="A267" s="27" t="s">
        <v>42</v>
      </c>
      <c r="B267" s="27" t="s">
        <v>854</v>
      </c>
      <c r="C267" s="27" t="s">
        <v>855</v>
      </c>
      <c r="D267" s="27" t="s">
        <v>856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778.7</f>
        <v>778.7</v>
      </c>
      <c r="L267" s="34" t="s">
        <v>48</v>
      </c>
      <c r="M267" s="33" t="n">
        <f>792.2</f>
        <v>792.2</v>
      </c>
      <c r="N267" s="34" t="s">
        <v>236</v>
      </c>
      <c r="O267" s="33" t="n">
        <f>772</f>
        <v>772.0</v>
      </c>
      <c r="P267" s="34" t="s">
        <v>104</v>
      </c>
      <c r="Q267" s="33" t="n">
        <f>785.7</f>
        <v>785.7</v>
      </c>
      <c r="R267" s="34" t="s">
        <v>51</v>
      </c>
      <c r="S267" s="35" t="n">
        <f>781.06</f>
        <v>781.06</v>
      </c>
      <c r="T267" s="32" t="n">
        <f>12028060</f>
        <v>1.202806E7</v>
      </c>
      <c r="U267" s="32" t="n">
        <f>11290460</f>
        <v>1.129046E7</v>
      </c>
      <c r="V267" s="32" t="n">
        <f>9324924161</f>
        <v>9.324924161E9</v>
      </c>
      <c r="W267" s="32" t="n">
        <f>8750316433</f>
        <v>8.750316433E9</v>
      </c>
      <c r="X267" s="36" t="n">
        <f>22</f>
        <v>22.0</v>
      </c>
    </row>
    <row r="268">
      <c r="A268" s="27" t="s">
        <v>42</v>
      </c>
      <c r="B268" s="27" t="s">
        <v>857</v>
      </c>
      <c r="C268" s="27" t="s">
        <v>858</v>
      </c>
      <c r="D268" s="27" t="s">
        <v>859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2608.5</f>
        <v>2608.5</v>
      </c>
      <c r="L268" s="34" t="s">
        <v>48</v>
      </c>
      <c r="M268" s="33" t="n">
        <f>2689.5</f>
        <v>2689.5</v>
      </c>
      <c r="N268" s="34" t="s">
        <v>66</v>
      </c>
      <c r="O268" s="33" t="n">
        <f>2455</f>
        <v>2455.0</v>
      </c>
      <c r="P268" s="34" t="s">
        <v>51</v>
      </c>
      <c r="Q268" s="33" t="n">
        <f>2486.5</f>
        <v>2486.5</v>
      </c>
      <c r="R268" s="34" t="s">
        <v>51</v>
      </c>
      <c r="S268" s="35" t="n">
        <f>2592.16</f>
        <v>2592.16</v>
      </c>
      <c r="T268" s="32" t="n">
        <f>1634570</f>
        <v>1634570.0</v>
      </c>
      <c r="U268" s="32" t="n">
        <f>968800</f>
        <v>968800.0</v>
      </c>
      <c r="V268" s="32" t="n">
        <f>4140767465</f>
        <v>4.140767465E9</v>
      </c>
      <c r="W268" s="32" t="n">
        <f>2433563425</f>
        <v>2.433563425E9</v>
      </c>
      <c r="X268" s="36" t="n">
        <f>22</f>
        <v>22.0</v>
      </c>
    </row>
    <row r="269">
      <c r="A269" s="27" t="s">
        <v>42</v>
      </c>
      <c r="B269" s="27" t="s">
        <v>860</v>
      </c>
      <c r="C269" s="27" t="s">
        <v>861</v>
      </c>
      <c r="D269" s="27" t="s">
        <v>862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1604</f>
        <v>1604.0</v>
      </c>
      <c r="L269" s="34" t="s">
        <v>48</v>
      </c>
      <c r="M269" s="33" t="n">
        <f>1648</f>
        <v>1648.0</v>
      </c>
      <c r="N269" s="34" t="s">
        <v>90</v>
      </c>
      <c r="O269" s="33" t="n">
        <f>1582.5</f>
        <v>1582.5</v>
      </c>
      <c r="P269" s="34" t="s">
        <v>50</v>
      </c>
      <c r="Q269" s="33" t="n">
        <f>1601.5</f>
        <v>1601.5</v>
      </c>
      <c r="R269" s="34" t="s">
        <v>51</v>
      </c>
      <c r="S269" s="35" t="n">
        <f>1613.34</f>
        <v>1613.34</v>
      </c>
      <c r="T269" s="32" t="n">
        <f>461410</f>
        <v>461410.0</v>
      </c>
      <c r="U269" s="32" t="n">
        <f>296000</f>
        <v>296000.0</v>
      </c>
      <c r="V269" s="32" t="n">
        <f>737342900</f>
        <v>7.373429E8</v>
      </c>
      <c r="W269" s="32" t="n">
        <f>470462400</f>
        <v>4.704624E8</v>
      </c>
      <c r="X269" s="36" t="n">
        <f>22</f>
        <v>22.0</v>
      </c>
    </row>
    <row r="270">
      <c r="A270" s="27" t="s">
        <v>42</v>
      </c>
      <c r="B270" s="27" t="s">
        <v>863</v>
      </c>
      <c r="C270" s="27" t="s">
        <v>864</v>
      </c>
      <c r="D270" s="27" t="s">
        <v>865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1398.5</f>
        <v>1398.5</v>
      </c>
      <c r="L270" s="34" t="s">
        <v>48</v>
      </c>
      <c r="M270" s="33" t="n">
        <f>1487</f>
        <v>1487.0</v>
      </c>
      <c r="N270" s="34" t="s">
        <v>90</v>
      </c>
      <c r="O270" s="33" t="n">
        <f>1398.5</f>
        <v>1398.5</v>
      </c>
      <c r="P270" s="34" t="s">
        <v>48</v>
      </c>
      <c r="Q270" s="33" t="n">
        <f>1438</f>
        <v>1438.0</v>
      </c>
      <c r="R270" s="34" t="s">
        <v>51</v>
      </c>
      <c r="S270" s="35" t="n">
        <f>1440.66</f>
        <v>1440.66</v>
      </c>
      <c r="T270" s="32" t="n">
        <f>2287950</f>
        <v>2287950.0</v>
      </c>
      <c r="U270" s="32" t="n">
        <f>1735100</f>
        <v>1735100.0</v>
      </c>
      <c r="V270" s="32" t="n">
        <f>3234515155</f>
        <v>3.234515155E9</v>
      </c>
      <c r="W270" s="32" t="n">
        <f>2440443300</f>
        <v>2.4404433E9</v>
      </c>
      <c r="X270" s="36" t="n">
        <f>22</f>
        <v>22.0</v>
      </c>
    </row>
    <row r="271">
      <c r="A271" s="27" t="s">
        <v>42</v>
      </c>
      <c r="B271" s="27" t="s">
        <v>866</v>
      </c>
      <c r="C271" s="27" t="s">
        <v>867</v>
      </c>
      <c r="D271" s="27" t="s">
        <v>868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517.6</f>
        <v>517.6</v>
      </c>
      <c r="L271" s="34" t="s">
        <v>48</v>
      </c>
      <c r="M271" s="33" t="n">
        <f>549.4</f>
        <v>549.4</v>
      </c>
      <c r="N271" s="34" t="s">
        <v>108</v>
      </c>
      <c r="O271" s="33" t="n">
        <f>497.1</f>
        <v>497.1</v>
      </c>
      <c r="P271" s="34" t="s">
        <v>51</v>
      </c>
      <c r="Q271" s="33" t="n">
        <f>509</f>
        <v>509.0</v>
      </c>
      <c r="R271" s="34" t="s">
        <v>51</v>
      </c>
      <c r="S271" s="35" t="n">
        <f>515.77</f>
        <v>515.77</v>
      </c>
      <c r="T271" s="32" t="n">
        <f>25922050</f>
        <v>2.592205E7</v>
      </c>
      <c r="U271" s="32" t="n">
        <f>321310</f>
        <v>321310.0</v>
      </c>
      <c r="V271" s="32" t="n">
        <f>13512368955</f>
        <v>1.3512368955E10</v>
      </c>
      <c r="W271" s="32" t="n">
        <f>173958079</f>
        <v>1.73958079E8</v>
      </c>
      <c r="X271" s="36" t="n">
        <f>22</f>
        <v>22.0</v>
      </c>
    </row>
    <row r="272">
      <c r="A272" s="27" t="s">
        <v>42</v>
      </c>
      <c r="B272" s="27" t="s">
        <v>869</v>
      </c>
      <c r="C272" s="27" t="s">
        <v>870</v>
      </c>
      <c r="D272" s="27" t="s">
        <v>871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1050</f>
        <v>1050.0</v>
      </c>
      <c r="L272" s="34" t="s">
        <v>48</v>
      </c>
      <c r="M272" s="33" t="n">
        <f>1062</f>
        <v>1062.0</v>
      </c>
      <c r="N272" s="34" t="s">
        <v>108</v>
      </c>
      <c r="O272" s="33" t="n">
        <f>1031.5</f>
        <v>1031.5</v>
      </c>
      <c r="P272" s="34" t="s">
        <v>112</v>
      </c>
      <c r="Q272" s="33" t="n">
        <f>1049</f>
        <v>1049.0</v>
      </c>
      <c r="R272" s="34" t="s">
        <v>51</v>
      </c>
      <c r="S272" s="35" t="n">
        <f>1044.68</f>
        <v>1044.68</v>
      </c>
      <c r="T272" s="32" t="n">
        <f>287350</f>
        <v>287350.0</v>
      </c>
      <c r="U272" s="32" t="n">
        <f>127880</f>
        <v>127880.0</v>
      </c>
      <c r="V272" s="32" t="n">
        <f>298902082</f>
        <v>2.98902082E8</v>
      </c>
      <c r="W272" s="32" t="n">
        <f>132506587</f>
        <v>1.32506587E8</v>
      </c>
      <c r="X272" s="36" t="n">
        <f>22</f>
        <v>22.0</v>
      </c>
    </row>
    <row r="273">
      <c r="A273" s="27" t="s">
        <v>42</v>
      </c>
      <c r="B273" s="27" t="s">
        <v>872</v>
      </c>
      <c r="C273" s="27" t="s">
        <v>873</v>
      </c>
      <c r="D273" s="27" t="s">
        <v>874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1.0</v>
      </c>
      <c r="K273" s="33" t="n">
        <f>1623</f>
        <v>1623.0</v>
      </c>
      <c r="L273" s="34" t="s">
        <v>48</v>
      </c>
      <c r="M273" s="33" t="n">
        <f>1701</f>
        <v>1701.0</v>
      </c>
      <c r="N273" s="34" t="s">
        <v>66</v>
      </c>
      <c r="O273" s="33" t="n">
        <f>1563</f>
        <v>1563.0</v>
      </c>
      <c r="P273" s="34" t="s">
        <v>50</v>
      </c>
      <c r="Q273" s="33" t="n">
        <f>1620</f>
        <v>1620.0</v>
      </c>
      <c r="R273" s="34" t="s">
        <v>51</v>
      </c>
      <c r="S273" s="35" t="n">
        <f>1640.45</f>
        <v>1640.45</v>
      </c>
      <c r="T273" s="32" t="n">
        <f>79814</f>
        <v>79814.0</v>
      </c>
      <c r="U273" s="32" t="n">
        <f>2</f>
        <v>2.0</v>
      </c>
      <c r="V273" s="32" t="n">
        <f>131225865</f>
        <v>1.31225865E8</v>
      </c>
      <c r="W273" s="32" t="n">
        <f>3290</f>
        <v>3290.0</v>
      </c>
      <c r="X273" s="36" t="n">
        <f>22</f>
        <v>22.0</v>
      </c>
    </row>
    <row r="274">
      <c r="A274" s="27" t="s">
        <v>42</v>
      </c>
      <c r="B274" s="27" t="s">
        <v>875</v>
      </c>
      <c r="C274" s="27" t="s">
        <v>876</v>
      </c>
      <c r="D274" s="27" t="s">
        <v>877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1120</f>
        <v>1120.0</v>
      </c>
      <c r="L274" s="34" t="s">
        <v>48</v>
      </c>
      <c r="M274" s="33" t="n">
        <f>1134</f>
        <v>1134.0</v>
      </c>
      <c r="N274" s="34" t="s">
        <v>207</v>
      </c>
      <c r="O274" s="33" t="n">
        <f>1068.5</f>
        <v>1068.5</v>
      </c>
      <c r="P274" s="34" t="s">
        <v>91</v>
      </c>
      <c r="Q274" s="33" t="n">
        <f>1087.5</f>
        <v>1087.5</v>
      </c>
      <c r="R274" s="34" t="s">
        <v>51</v>
      </c>
      <c r="S274" s="35" t="n">
        <f>1108.2</f>
        <v>1108.2</v>
      </c>
      <c r="T274" s="32" t="n">
        <f>359410</f>
        <v>359410.0</v>
      </c>
      <c r="U274" s="32" t="n">
        <f>66580</f>
        <v>66580.0</v>
      </c>
      <c r="V274" s="32" t="n">
        <f>395539491</f>
        <v>3.95539491E8</v>
      </c>
      <c r="W274" s="32" t="n">
        <f>73494596</f>
        <v>7.3494596E7</v>
      </c>
      <c r="X274" s="36" t="n">
        <f>22</f>
        <v>22.0</v>
      </c>
    </row>
    <row r="275">
      <c r="A275" s="27" t="s">
        <v>42</v>
      </c>
      <c r="B275" s="27" t="s">
        <v>878</v>
      </c>
      <c r="C275" s="27" t="s">
        <v>879</v>
      </c>
      <c r="D275" s="27" t="s">
        <v>880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10.0</v>
      </c>
      <c r="K275" s="33" t="n">
        <f>1557</f>
        <v>1557.0</v>
      </c>
      <c r="L275" s="34" t="s">
        <v>48</v>
      </c>
      <c r="M275" s="33" t="n">
        <f>1594.5</f>
        <v>1594.5</v>
      </c>
      <c r="N275" s="34" t="s">
        <v>58</v>
      </c>
      <c r="O275" s="33" t="n">
        <f>1416</f>
        <v>1416.0</v>
      </c>
      <c r="P275" s="34" t="s">
        <v>51</v>
      </c>
      <c r="Q275" s="33" t="n">
        <f>1440.5</f>
        <v>1440.5</v>
      </c>
      <c r="R275" s="34" t="s">
        <v>51</v>
      </c>
      <c r="S275" s="35" t="n">
        <f>1526.18</f>
        <v>1526.18</v>
      </c>
      <c r="T275" s="32" t="n">
        <f>102970</f>
        <v>102970.0</v>
      </c>
      <c r="U275" s="32" t="n">
        <f>240</f>
        <v>240.0</v>
      </c>
      <c r="V275" s="32" t="n">
        <f>156710950</f>
        <v>1.5671095E8</v>
      </c>
      <c r="W275" s="32" t="n">
        <f>363960</f>
        <v>363960.0</v>
      </c>
      <c r="X275" s="36" t="n">
        <f>22</f>
        <v>22.0</v>
      </c>
    </row>
    <row r="276">
      <c r="A276" s="27" t="s">
        <v>42</v>
      </c>
      <c r="B276" s="27" t="s">
        <v>881</v>
      </c>
      <c r="C276" s="27" t="s">
        <v>882</v>
      </c>
      <c r="D276" s="27" t="s">
        <v>883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1691.5</f>
        <v>1691.5</v>
      </c>
      <c r="L276" s="34" t="s">
        <v>48</v>
      </c>
      <c r="M276" s="33" t="n">
        <f>1747</f>
        <v>1747.0</v>
      </c>
      <c r="N276" s="34" t="s">
        <v>90</v>
      </c>
      <c r="O276" s="33" t="n">
        <f>1668.5</f>
        <v>1668.5</v>
      </c>
      <c r="P276" s="34" t="s">
        <v>50</v>
      </c>
      <c r="Q276" s="33" t="n">
        <f>1687</f>
        <v>1687.0</v>
      </c>
      <c r="R276" s="34" t="s">
        <v>51</v>
      </c>
      <c r="S276" s="35" t="n">
        <f>1711</f>
        <v>1711.0</v>
      </c>
      <c r="T276" s="32" t="n">
        <f>5235440</f>
        <v>5235440.0</v>
      </c>
      <c r="U276" s="32" t="n">
        <f>4260660</f>
        <v>4260660.0</v>
      </c>
      <c r="V276" s="32" t="n">
        <f>8829817251</f>
        <v>8.829817251E9</v>
      </c>
      <c r="W276" s="32" t="n">
        <f>7157482796</f>
        <v>7.157482796E9</v>
      </c>
      <c r="X276" s="36" t="n">
        <f>22</f>
        <v>22.0</v>
      </c>
    </row>
    <row r="277">
      <c r="A277" s="27" t="s">
        <v>42</v>
      </c>
      <c r="B277" s="27" t="s">
        <v>884</v>
      </c>
      <c r="C277" s="27" t="s">
        <v>885</v>
      </c>
      <c r="D277" s="27" t="s">
        <v>886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1.0</v>
      </c>
      <c r="K277" s="33" t="n">
        <f>5560</f>
        <v>5560.0</v>
      </c>
      <c r="L277" s="34" t="s">
        <v>48</v>
      </c>
      <c r="M277" s="33" t="n">
        <f>5750</f>
        <v>5750.0</v>
      </c>
      <c r="N277" s="34" t="s">
        <v>90</v>
      </c>
      <c r="O277" s="33" t="n">
        <f>5190</f>
        <v>5190.0</v>
      </c>
      <c r="P277" s="34" t="s">
        <v>91</v>
      </c>
      <c r="Q277" s="33" t="n">
        <f>5280</f>
        <v>5280.0</v>
      </c>
      <c r="R277" s="34" t="s">
        <v>51</v>
      </c>
      <c r="S277" s="35" t="n">
        <f>5531.36</f>
        <v>5531.36</v>
      </c>
      <c r="T277" s="32" t="n">
        <f>153686</f>
        <v>153686.0</v>
      </c>
      <c r="U277" s="32" t="n">
        <f>100000</f>
        <v>100000.0</v>
      </c>
      <c r="V277" s="32" t="n">
        <f>824283360</f>
        <v>8.2428336E8</v>
      </c>
      <c r="W277" s="32" t="n">
        <f>534447200</f>
        <v>5.344472E8</v>
      </c>
      <c r="X277" s="36" t="n">
        <f>22</f>
        <v>22.0</v>
      </c>
    </row>
    <row r="278">
      <c r="A278" s="27" t="s">
        <v>42</v>
      </c>
      <c r="B278" s="27" t="s">
        <v>887</v>
      </c>
      <c r="C278" s="27" t="s">
        <v>888</v>
      </c>
      <c r="D278" s="27" t="s">
        <v>889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10.0</v>
      </c>
      <c r="K278" s="33" t="n">
        <f>2382</f>
        <v>2382.0</v>
      </c>
      <c r="L278" s="34" t="s">
        <v>236</v>
      </c>
      <c r="M278" s="33" t="n">
        <f>2467</f>
        <v>2467.0</v>
      </c>
      <c r="N278" s="34" t="s">
        <v>112</v>
      </c>
      <c r="O278" s="33" t="n">
        <f>2253.5</f>
        <v>2253.5</v>
      </c>
      <c r="P278" s="34" t="s">
        <v>51</v>
      </c>
      <c r="Q278" s="33" t="n">
        <f>2253.5</f>
        <v>2253.5</v>
      </c>
      <c r="R278" s="34" t="s">
        <v>51</v>
      </c>
      <c r="S278" s="35" t="n">
        <f>2354.71</f>
        <v>2354.71</v>
      </c>
      <c r="T278" s="32" t="n">
        <f>690</f>
        <v>690.0</v>
      </c>
      <c r="U278" s="32" t="str">
        <f>"－"</f>
        <v>－</v>
      </c>
      <c r="V278" s="32" t="n">
        <f>1645340</f>
        <v>1645340.0</v>
      </c>
      <c r="W278" s="32" t="str">
        <f>"－"</f>
        <v>－</v>
      </c>
      <c r="X278" s="36" t="n">
        <f>7</f>
        <v>7.0</v>
      </c>
    </row>
    <row r="279">
      <c r="A279" s="27" t="s">
        <v>42</v>
      </c>
      <c r="B279" s="27" t="s">
        <v>890</v>
      </c>
      <c r="C279" s="27" t="s">
        <v>891</v>
      </c>
      <c r="D279" s="27" t="s">
        <v>892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10.0</v>
      </c>
      <c r="K279" s="33" t="n">
        <f>2906.5</f>
        <v>2906.5</v>
      </c>
      <c r="L279" s="34" t="s">
        <v>48</v>
      </c>
      <c r="M279" s="33" t="n">
        <f>3031</f>
        <v>3031.0</v>
      </c>
      <c r="N279" s="34" t="s">
        <v>66</v>
      </c>
      <c r="O279" s="33" t="n">
        <f>2746</f>
        <v>2746.0</v>
      </c>
      <c r="P279" s="34" t="s">
        <v>50</v>
      </c>
      <c r="Q279" s="33" t="n">
        <f>2884.5</f>
        <v>2884.5</v>
      </c>
      <c r="R279" s="34" t="s">
        <v>51</v>
      </c>
      <c r="S279" s="35" t="n">
        <f>2933.43</f>
        <v>2933.43</v>
      </c>
      <c r="T279" s="32" t="n">
        <f>2842200</f>
        <v>2842200.0</v>
      </c>
      <c r="U279" s="32" t="n">
        <f>2611990</f>
        <v>2611990.0</v>
      </c>
      <c r="V279" s="32" t="n">
        <f>8374262358</f>
        <v>8.374262358E9</v>
      </c>
      <c r="W279" s="32" t="n">
        <f>7698663378</f>
        <v>7.698663378E9</v>
      </c>
      <c r="X279" s="36" t="n">
        <f>22</f>
        <v>22.0</v>
      </c>
    </row>
    <row r="280">
      <c r="A280" s="27" t="s">
        <v>42</v>
      </c>
      <c r="B280" s="27" t="s">
        <v>893</v>
      </c>
      <c r="C280" s="27" t="s">
        <v>894</v>
      </c>
      <c r="D280" s="27" t="s">
        <v>895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1.0</v>
      </c>
      <c r="K280" s="33" t="n">
        <f>40600</f>
        <v>40600.0</v>
      </c>
      <c r="L280" s="34" t="s">
        <v>48</v>
      </c>
      <c r="M280" s="33" t="n">
        <f>43270</f>
        <v>43270.0</v>
      </c>
      <c r="N280" s="34" t="s">
        <v>66</v>
      </c>
      <c r="O280" s="33" t="n">
        <f>38580</f>
        <v>38580.0</v>
      </c>
      <c r="P280" s="34" t="s">
        <v>50</v>
      </c>
      <c r="Q280" s="33" t="n">
        <f>39770</f>
        <v>39770.0</v>
      </c>
      <c r="R280" s="34" t="s">
        <v>51</v>
      </c>
      <c r="S280" s="35" t="n">
        <f>40944.09</f>
        <v>40944.09</v>
      </c>
      <c r="T280" s="32" t="n">
        <f>269406</f>
        <v>269406.0</v>
      </c>
      <c r="U280" s="32" t="n">
        <f>151010</f>
        <v>151010.0</v>
      </c>
      <c r="V280" s="32" t="n">
        <f>10745920758</f>
        <v>1.0745920758E10</v>
      </c>
      <c r="W280" s="32" t="n">
        <f>6008192238</f>
        <v>6.008192238E9</v>
      </c>
      <c r="X280" s="36" t="n">
        <f>22</f>
        <v>22.0</v>
      </c>
    </row>
    <row r="281">
      <c r="A281" s="27" t="s">
        <v>42</v>
      </c>
      <c r="B281" s="27" t="s">
        <v>896</v>
      </c>
      <c r="C281" s="27" t="s">
        <v>897</v>
      </c>
      <c r="D281" s="27" t="s">
        <v>898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1.0</v>
      </c>
      <c r="K281" s="33" t="n">
        <f>26805</f>
        <v>26805.0</v>
      </c>
      <c r="L281" s="34" t="s">
        <v>48</v>
      </c>
      <c r="M281" s="33" t="n">
        <f>27340</f>
        <v>27340.0</v>
      </c>
      <c r="N281" s="34" t="s">
        <v>220</v>
      </c>
      <c r="O281" s="33" t="n">
        <f>25340</f>
        <v>25340.0</v>
      </c>
      <c r="P281" s="34" t="s">
        <v>91</v>
      </c>
      <c r="Q281" s="33" t="n">
        <f>25960</f>
        <v>25960.0</v>
      </c>
      <c r="R281" s="34" t="s">
        <v>51</v>
      </c>
      <c r="S281" s="35" t="n">
        <f>26638.93</f>
        <v>26638.93</v>
      </c>
      <c r="T281" s="32" t="n">
        <f>22916</f>
        <v>22916.0</v>
      </c>
      <c r="U281" s="32" t="n">
        <f>21763</f>
        <v>21763.0</v>
      </c>
      <c r="V281" s="32" t="n">
        <f>611008917</f>
        <v>6.11008917E8</v>
      </c>
      <c r="W281" s="32" t="n">
        <f>580361712</f>
        <v>5.80361712E8</v>
      </c>
      <c r="X281" s="36" t="n">
        <f>14</f>
        <v>14.0</v>
      </c>
    </row>
    <row r="282">
      <c r="A282" s="27" t="s">
        <v>42</v>
      </c>
      <c r="B282" s="27" t="s">
        <v>899</v>
      </c>
      <c r="C282" s="27" t="s">
        <v>900</v>
      </c>
      <c r="D282" s="27" t="s">
        <v>901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10.0</v>
      </c>
      <c r="K282" s="33" t="n">
        <f>1060</f>
        <v>1060.0</v>
      </c>
      <c r="L282" s="34" t="s">
        <v>48</v>
      </c>
      <c r="M282" s="33" t="n">
        <f>1060</f>
        <v>1060.0</v>
      </c>
      <c r="N282" s="34" t="s">
        <v>48</v>
      </c>
      <c r="O282" s="33" t="n">
        <f>1030.5</f>
        <v>1030.5</v>
      </c>
      <c r="P282" s="34" t="s">
        <v>91</v>
      </c>
      <c r="Q282" s="33" t="n">
        <f>1045</f>
        <v>1045.0</v>
      </c>
      <c r="R282" s="34" t="s">
        <v>51</v>
      </c>
      <c r="S282" s="35" t="n">
        <f>1046.29</f>
        <v>1046.29</v>
      </c>
      <c r="T282" s="32" t="n">
        <f>1156020</f>
        <v>1156020.0</v>
      </c>
      <c r="U282" s="32" t="n">
        <f>1024970</f>
        <v>1024970.0</v>
      </c>
      <c r="V282" s="32" t="n">
        <f>1216506312</f>
        <v>1.216506312E9</v>
      </c>
      <c r="W282" s="32" t="n">
        <f>1078308627</f>
        <v>1.078308627E9</v>
      </c>
      <c r="X282" s="36" t="n">
        <f>21</f>
        <v>21.0</v>
      </c>
    </row>
    <row r="283">
      <c r="A283" s="27" t="s">
        <v>42</v>
      </c>
      <c r="B283" s="27" t="s">
        <v>902</v>
      </c>
      <c r="C283" s="27" t="s">
        <v>903</v>
      </c>
      <c r="D283" s="27" t="s">
        <v>904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1041</f>
        <v>1041.0</v>
      </c>
      <c r="L283" s="34" t="s">
        <v>48</v>
      </c>
      <c r="M283" s="33" t="n">
        <f>1058</f>
        <v>1058.0</v>
      </c>
      <c r="N283" s="34" t="s">
        <v>108</v>
      </c>
      <c r="O283" s="33" t="n">
        <f>1027</f>
        <v>1027.0</v>
      </c>
      <c r="P283" s="34" t="s">
        <v>50</v>
      </c>
      <c r="Q283" s="33" t="n">
        <f>1041</f>
        <v>1041.0</v>
      </c>
      <c r="R283" s="34" t="s">
        <v>51</v>
      </c>
      <c r="S283" s="35" t="n">
        <f>1038.91</f>
        <v>1038.91</v>
      </c>
      <c r="T283" s="32" t="n">
        <f>34312</f>
        <v>34312.0</v>
      </c>
      <c r="U283" s="32" t="str">
        <f>"－"</f>
        <v>－</v>
      </c>
      <c r="V283" s="32" t="n">
        <f>35622104</f>
        <v>3.5622104E7</v>
      </c>
      <c r="W283" s="32" t="str">
        <f>"－"</f>
        <v>－</v>
      </c>
      <c r="X283" s="36" t="n">
        <f>22</f>
        <v>22.0</v>
      </c>
    </row>
    <row r="284">
      <c r="A284" s="27" t="s">
        <v>42</v>
      </c>
      <c r="B284" s="27" t="s">
        <v>905</v>
      </c>
      <c r="C284" s="27" t="s">
        <v>906</v>
      </c>
      <c r="D284" s="27" t="s">
        <v>907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1.0</v>
      </c>
      <c r="K284" s="33" t="n">
        <f>1769</f>
        <v>1769.0</v>
      </c>
      <c r="L284" s="34" t="s">
        <v>48</v>
      </c>
      <c r="M284" s="33" t="n">
        <f>1793</f>
        <v>1793.0</v>
      </c>
      <c r="N284" s="34" t="s">
        <v>90</v>
      </c>
      <c r="O284" s="33" t="n">
        <f>1689</f>
        <v>1689.0</v>
      </c>
      <c r="P284" s="34" t="s">
        <v>50</v>
      </c>
      <c r="Q284" s="33" t="n">
        <f>1744</f>
        <v>1744.0</v>
      </c>
      <c r="R284" s="34" t="s">
        <v>51</v>
      </c>
      <c r="S284" s="35" t="n">
        <f>1759</f>
        <v>1759.0</v>
      </c>
      <c r="T284" s="32" t="n">
        <f>729494</f>
        <v>729494.0</v>
      </c>
      <c r="U284" s="32" t="n">
        <f>384472</f>
        <v>384472.0</v>
      </c>
      <c r="V284" s="32" t="n">
        <f>1263175595</f>
        <v>1.263175595E9</v>
      </c>
      <c r="W284" s="32" t="n">
        <f>660784102</f>
        <v>6.60784102E8</v>
      </c>
      <c r="X284" s="36" t="n">
        <f>22</f>
        <v>22.0</v>
      </c>
    </row>
    <row r="285">
      <c r="A285" s="27" t="s">
        <v>42</v>
      </c>
      <c r="B285" s="27" t="s">
        <v>908</v>
      </c>
      <c r="C285" s="27" t="s">
        <v>909</v>
      </c>
      <c r="D285" s="27" t="s">
        <v>910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13540</f>
        <v>13540.0</v>
      </c>
      <c r="L285" s="34" t="s">
        <v>48</v>
      </c>
      <c r="M285" s="33" t="n">
        <f>13900</f>
        <v>13900.0</v>
      </c>
      <c r="N285" s="34" t="s">
        <v>66</v>
      </c>
      <c r="O285" s="33" t="n">
        <f>12885</f>
        <v>12885.0</v>
      </c>
      <c r="P285" s="34" t="s">
        <v>50</v>
      </c>
      <c r="Q285" s="33" t="n">
        <f>13085</f>
        <v>13085.0</v>
      </c>
      <c r="R285" s="34" t="s">
        <v>51</v>
      </c>
      <c r="S285" s="35" t="n">
        <f>13537.5</f>
        <v>13537.5</v>
      </c>
      <c r="T285" s="32" t="n">
        <f>764</f>
        <v>764.0</v>
      </c>
      <c r="U285" s="32" t="str">
        <f>"－"</f>
        <v>－</v>
      </c>
      <c r="V285" s="32" t="n">
        <f>10301375</f>
        <v>1.0301375E7</v>
      </c>
      <c r="W285" s="32" t="str">
        <f>"－"</f>
        <v>－</v>
      </c>
      <c r="X285" s="36" t="n">
        <f>22</f>
        <v>22.0</v>
      </c>
    </row>
    <row r="286">
      <c r="A286" s="27" t="s">
        <v>42</v>
      </c>
      <c r="B286" s="27" t="s">
        <v>911</v>
      </c>
      <c r="C286" s="27" t="s">
        <v>912</v>
      </c>
      <c r="D286" s="27" t="s">
        <v>913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1860</f>
        <v>1860.0</v>
      </c>
      <c r="L286" s="34" t="s">
        <v>48</v>
      </c>
      <c r="M286" s="33" t="n">
        <f>1890</f>
        <v>1890.0</v>
      </c>
      <c r="N286" s="34" t="s">
        <v>385</v>
      </c>
      <c r="O286" s="33" t="n">
        <f>1831</f>
        <v>1831.0</v>
      </c>
      <c r="P286" s="34" t="s">
        <v>104</v>
      </c>
      <c r="Q286" s="33" t="n">
        <f>1864</f>
        <v>1864.0</v>
      </c>
      <c r="R286" s="34" t="s">
        <v>51</v>
      </c>
      <c r="S286" s="35" t="n">
        <f>1853.73</f>
        <v>1853.73</v>
      </c>
      <c r="T286" s="32" t="n">
        <f>307364</f>
        <v>307364.0</v>
      </c>
      <c r="U286" s="32" t="n">
        <f>271553</f>
        <v>271553.0</v>
      </c>
      <c r="V286" s="32" t="n">
        <f>566344189</f>
        <v>5.66344189E8</v>
      </c>
      <c r="W286" s="32" t="n">
        <f>500010681</f>
        <v>5.00010681E8</v>
      </c>
      <c r="X286" s="36" t="n">
        <f>22</f>
        <v>22.0</v>
      </c>
    </row>
    <row r="287">
      <c r="A287" s="27" t="s">
        <v>42</v>
      </c>
      <c r="B287" s="27" t="s">
        <v>914</v>
      </c>
      <c r="C287" s="27" t="s">
        <v>915</v>
      </c>
      <c r="D287" s="27" t="s">
        <v>916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10.0</v>
      </c>
      <c r="K287" s="33" t="n">
        <f>1580</f>
        <v>1580.0</v>
      </c>
      <c r="L287" s="34" t="s">
        <v>48</v>
      </c>
      <c r="M287" s="33" t="n">
        <f>1580</f>
        <v>1580.0</v>
      </c>
      <c r="N287" s="34" t="s">
        <v>48</v>
      </c>
      <c r="O287" s="33" t="n">
        <f>1333</f>
        <v>1333.0</v>
      </c>
      <c r="P287" s="34" t="s">
        <v>91</v>
      </c>
      <c r="Q287" s="33" t="n">
        <f>1360</f>
        <v>1360.0</v>
      </c>
      <c r="R287" s="34" t="s">
        <v>51</v>
      </c>
      <c r="S287" s="35" t="n">
        <f>1433.36</f>
        <v>1433.36</v>
      </c>
      <c r="T287" s="32" t="n">
        <f>1550</f>
        <v>1550.0</v>
      </c>
      <c r="U287" s="32" t="str">
        <f>"－"</f>
        <v>－</v>
      </c>
      <c r="V287" s="32" t="n">
        <f>2227835</f>
        <v>2227835.0</v>
      </c>
      <c r="W287" s="32" t="str">
        <f>"－"</f>
        <v>－</v>
      </c>
      <c r="X287" s="36" t="n">
        <f>22</f>
        <v>22.0</v>
      </c>
    </row>
    <row r="288">
      <c r="A288" s="27" t="s">
        <v>42</v>
      </c>
      <c r="B288" s="27" t="s">
        <v>917</v>
      </c>
      <c r="C288" s="27" t="s">
        <v>918</v>
      </c>
      <c r="D288" s="27" t="s">
        <v>919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10.0</v>
      </c>
      <c r="K288" s="33" t="n">
        <f>793.1</f>
        <v>793.1</v>
      </c>
      <c r="L288" s="34" t="s">
        <v>48</v>
      </c>
      <c r="M288" s="33" t="n">
        <f>805</f>
        <v>805.0</v>
      </c>
      <c r="N288" s="34" t="s">
        <v>71</v>
      </c>
      <c r="O288" s="33" t="n">
        <f>792</f>
        <v>792.0</v>
      </c>
      <c r="P288" s="34" t="s">
        <v>70</v>
      </c>
      <c r="Q288" s="33" t="n">
        <f>803.2</f>
        <v>803.2</v>
      </c>
      <c r="R288" s="34" t="s">
        <v>51</v>
      </c>
      <c r="S288" s="35" t="n">
        <f>799.2</f>
        <v>799.2</v>
      </c>
      <c r="T288" s="32" t="n">
        <f>229990</f>
        <v>229990.0</v>
      </c>
      <c r="U288" s="32" t="n">
        <f>136870</f>
        <v>136870.0</v>
      </c>
      <c r="V288" s="32" t="n">
        <f>184162708</f>
        <v>1.84162708E8</v>
      </c>
      <c r="W288" s="32" t="n">
        <f>109728679</f>
        <v>1.09728679E8</v>
      </c>
      <c r="X288" s="36" t="n">
        <f>22</f>
        <v>22.0</v>
      </c>
    </row>
    <row r="289">
      <c r="A289" s="27" t="s">
        <v>42</v>
      </c>
      <c r="B289" s="27" t="s">
        <v>920</v>
      </c>
      <c r="C289" s="27" t="s">
        <v>921</v>
      </c>
      <c r="D289" s="27" t="s">
        <v>922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1790</f>
        <v>1790.0</v>
      </c>
      <c r="L289" s="34" t="s">
        <v>48</v>
      </c>
      <c r="M289" s="33" t="n">
        <f>1797.5</f>
        <v>1797.5</v>
      </c>
      <c r="N289" s="34" t="s">
        <v>108</v>
      </c>
      <c r="O289" s="33" t="n">
        <f>1744</f>
        <v>1744.0</v>
      </c>
      <c r="P289" s="34" t="s">
        <v>91</v>
      </c>
      <c r="Q289" s="33" t="n">
        <f>1774.5</f>
        <v>1774.5</v>
      </c>
      <c r="R289" s="34" t="s">
        <v>51</v>
      </c>
      <c r="S289" s="35" t="n">
        <f>1768.07</f>
        <v>1768.07</v>
      </c>
      <c r="T289" s="32" t="n">
        <f>186650</f>
        <v>186650.0</v>
      </c>
      <c r="U289" s="32" t="n">
        <f>1060</f>
        <v>1060.0</v>
      </c>
      <c r="V289" s="32" t="n">
        <f>330420163</f>
        <v>3.30420163E8</v>
      </c>
      <c r="W289" s="32" t="n">
        <f>1872453</f>
        <v>1872453.0</v>
      </c>
      <c r="X289" s="36" t="n">
        <f>22</f>
        <v>22.0</v>
      </c>
    </row>
    <row r="290">
      <c r="A290" s="27" t="s">
        <v>42</v>
      </c>
      <c r="B290" s="27" t="s">
        <v>923</v>
      </c>
      <c r="C290" s="27" t="s">
        <v>924</v>
      </c>
      <c r="D290" s="27" t="s">
        <v>925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10.0</v>
      </c>
      <c r="K290" s="33" t="n">
        <f>1790.5</f>
        <v>1790.5</v>
      </c>
      <c r="L290" s="34" t="s">
        <v>48</v>
      </c>
      <c r="M290" s="33" t="n">
        <f>1795</f>
        <v>1795.0</v>
      </c>
      <c r="N290" s="34" t="s">
        <v>108</v>
      </c>
      <c r="O290" s="33" t="n">
        <f>1738</f>
        <v>1738.0</v>
      </c>
      <c r="P290" s="34" t="s">
        <v>112</v>
      </c>
      <c r="Q290" s="33" t="n">
        <f>1769</f>
        <v>1769.0</v>
      </c>
      <c r="R290" s="34" t="s">
        <v>51</v>
      </c>
      <c r="S290" s="35" t="n">
        <f>1765.25</f>
        <v>1765.25</v>
      </c>
      <c r="T290" s="32" t="n">
        <f>1809560</f>
        <v>1809560.0</v>
      </c>
      <c r="U290" s="32" t="n">
        <f>730020</f>
        <v>730020.0</v>
      </c>
      <c r="V290" s="32" t="n">
        <f>3185654529</f>
        <v>3.185654529E9</v>
      </c>
      <c r="W290" s="32" t="n">
        <f>1282776634</f>
        <v>1.282776634E9</v>
      </c>
      <c r="X290" s="36" t="n">
        <f>22</f>
        <v>22.0</v>
      </c>
    </row>
    <row r="291">
      <c r="A291" s="27" t="s">
        <v>42</v>
      </c>
      <c r="B291" s="27" t="s">
        <v>926</v>
      </c>
      <c r="C291" s="27" t="s">
        <v>927</v>
      </c>
      <c r="D291" s="27" t="s">
        <v>928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10.0</v>
      </c>
      <c r="K291" s="33" t="n">
        <f>2864</f>
        <v>2864.0</v>
      </c>
      <c r="L291" s="34" t="s">
        <v>48</v>
      </c>
      <c r="M291" s="33" t="n">
        <f>2955</f>
        <v>2955.0</v>
      </c>
      <c r="N291" s="34" t="s">
        <v>66</v>
      </c>
      <c r="O291" s="33" t="n">
        <f>2727</f>
        <v>2727.0</v>
      </c>
      <c r="P291" s="34" t="s">
        <v>51</v>
      </c>
      <c r="Q291" s="33" t="n">
        <f>2727</f>
        <v>2727.0</v>
      </c>
      <c r="R291" s="34" t="s">
        <v>51</v>
      </c>
      <c r="S291" s="35" t="n">
        <f>2869.3</f>
        <v>2869.3</v>
      </c>
      <c r="T291" s="32" t="n">
        <f>2544880</f>
        <v>2544880.0</v>
      </c>
      <c r="U291" s="32" t="n">
        <f>460170</f>
        <v>460170.0</v>
      </c>
      <c r="V291" s="32" t="n">
        <f>7318818852</f>
        <v>7.318818852E9</v>
      </c>
      <c r="W291" s="32" t="n">
        <f>1341295317</f>
        <v>1.341295317E9</v>
      </c>
      <c r="X291" s="36" t="n">
        <f>22</f>
        <v>22.0</v>
      </c>
    </row>
    <row r="292">
      <c r="A292" s="27" t="s">
        <v>42</v>
      </c>
      <c r="B292" s="27" t="s">
        <v>929</v>
      </c>
      <c r="C292" s="27" t="s">
        <v>930</v>
      </c>
      <c r="D292" s="27" t="s">
        <v>931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1.0</v>
      </c>
      <c r="K292" s="33" t="n">
        <f>25285</f>
        <v>25285.0</v>
      </c>
      <c r="L292" s="34" t="s">
        <v>48</v>
      </c>
      <c r="M292" s="33" t="n">
        <f>26165</f>
        <v>26165.0</v>
      </c>
      <c r="N292" s="34" t="s">
        <v>66</v>
      </c>
      <c r="O292" s="33" t="n">
        <f>23760</f>
        <v>23760.0</v>
      </c>
      <c r="P292" s="34" t="s">
        <v>51</v>
      </c>
      <c r="Q292" s="33" t="n">
        <f>24050</f>
        <v>24050.0</v>
      </c>
      <c r="R292" s="34" t="s">
        <v>51</v>
      </c>
      <c r="S292" s="35" t="n">
        <f>25135.68</f>
        <v>25135.68</v>
      </c>
      <c r="T292" s="32" t="n">
        <f>1332435</f>
        <v>1332435.0</v>
      </c>
      <c r="U292" s="32" t="n">
        <f>169009</f>
        <v>169009.0</v>
      </c>
      <c r="V292" s="32" t="n">
        <f>33539408422</f>
        <v>3.3539408422E10</v>
      </c>
      <c r="W292" s="32" t="n">
        <f>4283801422</f>
        <v>4.283801422E9</v>
      </c>
      <c r="X292" s="36" t="n">
        <f>22</f>
        <v>22.0</v>
      </c>
    </row>
    <row r="293">
      <c r="A293" s="27" t="s">
        <v>42</v>
      </c>
      <c r="B293" s="27" t="s">
        <v>932</v>
      </c>
      <c r="C293" s="27" t="s">
        <v>933</v>
      </c>
      <c r="D293" s="27" t="s">
        <v>934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1.0</v>
      </c>
      <c r="K293" s="33" t="n">
        <f>21300</f>
        <v>21300.0</v>
      </c>
      <c r="L293" s="34" t="s">
        <v>48</v>
      </c>
      <c r="M293" s="33" t="n">
        <f>21975</f>
        <v>21975.0</v>
      </c>
      <c r="N293" s="34" t="s">
        <v>66</v>
      </c>
      <c r="O293" s="33" t="n">
        <f>19990</f>
        <v>19990.0</v>
      </c>
      <c r="P293" s="34" t="s">
        <v>91</v>
      </c>
      <c r="Q293" s="33" t="n">
        <f>20355</f>
        <v>20355.0</v>
      </c>
      <c r="R293" s="34" t="s">
        <v>51</v>
      </c>
      <c r="S293" s="35" t="n">
        <f>21154.09</f>
        <v>21154.09</v>
      </c>
      <c r="T293" s="32" t="n">
        <f>548192</f>
        <v>548192.0</v>
      </c>
      <c r="U293" s="32" t="n">
        <f>8831</f>
        <v>8831.0</v>
      </c>
      <c r="V293" s="32" t="n">
        <f>11566677528</f>
        <v>1.1566677528E10</v>
      </c>
      <c r="W293" s="32" t="n">
        <f>184955163</f>
        <v>1.84955163E8</v>
      </c>
      <c r="X293" s="36" t="n">
        <f>22</f>
        <v>22.0</v>
      </c>
    </row>
    <row r="294">
      <c r="A294" s="27" t="s">
        <v>42</v>
      </c>
      <c r="B294" s="27" t="s">
        <v>935</v>
      </c>
      <c r="C294" s="27" t="s">
        <v>936</v>
      </c>
      <c r="D294" s="27" t="s">
        <v>937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1.0</v>
      </c>
      <c r="K294" s="33" t="n">
        <f>37770</f>
        <v>37770.0</v>
      </c>
      <c r="L294" s="34" t="s">
        <v>48</v>
      </c>
      <c r="M294" s="33" t="n">
        <f>38990</f>
        <v>38990.0</v>
      </c>
      <c r="N294" s="34" t="s">
        <v>66</v>
      </c>
      <c r="O294" s="33" t="n">
        <f>35820</f>
        <v>35820.0</v>
      </c>
      <c r="P294" s="34" t="s">
        <v>50</v>
      </c>
      <c r="Q294" s="33" t="n">
        <f>36480</f>
        <v>36480.0</v>
      </c>
      <c r="R294" s="34" t="s">
        <v>351</v>
      </c>
      <c r="S294" s="35" t="n">
        <f>37521.82</f>
        <v>37521.82</v>
      </c>
      <c r="T294" s="32" t="n">
        <f>493</f>
        <v>493.0</v>
      </c>
      <c r="U294" s="32" t="str">
        <f>"－"</f>
        <v>－</v>
      </c>
      <c r="V294" s="32" t="n">
        <f>18503430</f>
        <v>1.850343E7</v>
      </c>
      <c r="W294" s="32" t="str">
        <f>"－"</f>
        <v>－</v>
      </c>
      <c r="X294" s="36" t="n">
        <f>11</f>
        <v>11.0</v>
      </c>
    </row>
    <row r="295">
      <c r="A295" s="27" t="s">
        <v>42</v>
      </c>
      <c r="B295" s="27" t="s">
        <v>938</v>
      </c>
      <c r="C295" s="27" t="s">
        <v>939</v>
      </c>
      <c r="D295" s="27" t="s">
        <v>940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1.0</v>
      </c>
      <c r="K295" s="33" t="n">
        <f>2345</f>
        <v>2345.0</v>
      </c>
      <c r="L295" s="34" t="s">
        <v>48</v>
      </c>
      <c r="M295" s="33" t="n">
        <f>2363</f>
        <v>2363.0</v>
      </c>
      <c r="N295" s="34" t="s">
        <v>48</v>
      </c>
      <c r="O295" s="33" t="n">
        <f>2320</f>
        <v>2320.0</v>
      </c>
      <c r="P295" s="34" t="s">
        <v>66</v>
      </c>
      <c r="Q295" s="33" t="n">
        <f>2333</f>
        <v>2333.0</v>
      </c>
      <c r="R295" s="34" t="s">
        <v>51</v>
      </c>
      <c r="S295" s="35" t="n">
        <f>2335.18</f>
        <v>2335.18</v>
      </c>
      <c r="T295" s="32" t="n">
        <f>984974</f>
        <v>984974.0</v>
      </c>
      <c r="U295" s="32" t="n">
        <f>589853</f>
        <v>589853.0</v>
      </c>
      <c r="V295" s="32" t="n">
        <f>2299186313</f>
        <v>2.299186313E9</v>
      </c>
      <c r="W295" s="32" t="n">
        <f>1373706624</f>
        <v>1.373706624E9</v>
      </c>
      <c r="X295" s="36" t="n">
        <f>22</f>
        <v>22.0</v>
      </c>
    </row>
    <row r="296">
      <c r="A296" s="27" t="s">
        <v>42</v>
      </c>
      <c r="B296" s="27" t="s">
        <v>941</v>
      </c>
      <c r="C296" s="27" t="s">
        <v>942</v>
      </c>
      <c r="D296" s="27" t="s">
        <v>943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10.0</v>
      </c>
      <c r="K296" s="33" t="n">
        <f>3011</f>
        <v>3011.0</v>
      </c>
      <c r="L296" s="34" t="s">
        <v>48</v>
      </c>
      <c r="M296" s="33" t="n">
        <f>3138</f>
        <v>3138.0</v>
      </c>
      <c r="N296" s="34" t="s">
        <v>108</v>
      </c>
      <c r="O296" s="33" t="n">
        <f>2952.5</f>
        <v>2952.5</v>
      </c>
      <c r="P296" s="34" t="s">
        <v>91</v>
      </c>
      <c r="Q296" s="33" t="n">
        <f>3100</f>
        <v>3100.0</v>
      </c>
      <c r="R296" s="34" t="s">
        <v>51</v>
      </c>
      <c r="S296" s="35" t="n">
        <f>3046.55</f>
        <v>3046.55</v>
      </c>
      <c r="T296" s="32" t="n">
        <f>2445470</f>
        <v>2445470.0</v>
      </c>
      <c r="U296" s="32" t="n">
        <f>1641170</f>
        <v>1641170.0</v>
      </c>
      <c r="V296" s="32" t="n">
        <f>7522264072</f>
        <v>7.522264072E9</v>
      </c>
      <c r="W296" s="32" t="n">
        <f>5045793577</f>
        <v>5.045793577E9</v>
      </c>
      <c r="X296" s="36" t="n">
        <f>22</f>
        <v>22.0</v>
      </c>
    </row>
    <row r="297">
      <c r="A297" s="27" t="s">
        <v>42</v>
      </c>
      <c r="B297" s="27" t="s">
        <v>944</v>
      </c>
      <c r="C297" s="27" t="s">
        <v>945</v>
      </c>
      <c r="D297" s="27" t="s">
        <v>946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10.0</v>
      </c>
      <c r="K297" s="33" t="n">
        <f>317.8</f>
        <v>317.8</v>
      </c>
      <c r="L297" s="34" t="s">
        <v>48</v>
      </c>
      <c r="M297" s="33" t="n">
        <f>327.3</f>
        <v>327.3</v>
      </c>
      <c r="N297" s="34" t="s">
        <v>90</v>
      </c>
      <c r="O297" s="33" t="n">
        <f>312.5</f>
        <v>312.5</v>
      </c>
      <c r="P297" s="34" t="s">
        <v>50</v>
      </c>
      <c r="Q297" s="33" t="n">
        <f>315.7</f>
        <v>315.7</v>
      </c>
      <c r="R297" s="34" t="s">
        <v>51</v>
      </c>
      <c r="S297" s="35" t="n">
        <f>320.08</f>
        <v>320.08</v>
      </c>
      <c r="T297" s="32" t="n">
        <f>33287960</f>
        <v>3.328796E7</v>
      </c>
      <c r="U297" s="32" t="n">
        <f>9687680</f>
        <v>9687680.0</v>
      </c>
      <c r="V297" s="32" t="n">
        <f>10649760175</f>
        <v>1.0649760175E10</v>
      </c>
      <c r="W297" s="32" t="n">
        <f>3097025920</f>
        <v>3.09702592E9</v>
      </c>
      <c r="X297" s="36" t="n">
        <f>22</f>
        <v>22.0</v>
      </c>
    </row>
    <row r="298">
      <c r="A298" s="27" t="s">
        <v>42</v>
      </c>
      <c r="B298" s="27" t="s">
        <v>947</v>
      </c>
      <c r="C298" s="27" t="s">
        <v>948</v>
      </c>
      <c r="D298" s="27" t="s">
        <v>949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2890</f>
        <v>2890.0</v>
      </c>
      <c r="L298" s="34" t="s">
        <v>48</v>
      </c>
      <c r="M298" s="33" t="n">
        <f>2984</f>
        <v>2984.0</v>
      </c>
      <c r="N298" s="34" t="s">
        <v>90</v>
      </c>
      <c r="O298" s="33" t="n">
        <f>2812</f>
        <v>2812.0</v>
      </c>
      <c r="P298" s="34" t="s">
        <v>50</v>
      </c>
      <c r="Q298" s="33" t="n">
        <f>2907</f>
        <v>2907.0</v>
      </c>
      <c r="R298" s="34" t="s">
        <v>51</v>
      </c>
      <c r="S298" s="35" t="n">
        <f>2911.23</f>
        <v>2911.23</v>
      </c>
      <c r="T298" s="32" t="n">
        <f>804458</f>
        <v>804458.0</v>
      </c>
      <c r="U298" s="32" t="n">
        <f>213925</f>
        <v>213925.0</v>
      </c>
      <c r="V298" s="32" t="n">
        <f>2343406596</f>
        <v>2.343406596E9</v>
      </c>
      <c r="W298" s="32" t="n">
        <f>631175292</f>
        <v>6.31175292E8</v>
      </c>
      <c r="X298" s="36" t="n">
        <f>22</f>
        <v>22.0</v>
      </c>
    </row>
    <row r="299">
      <c r="A299" s="27" t="s">
        <v>42</v>
      </c>
      <c r="B299" s="27" t="s">
        <v>950</v>
      </c>
      <c r="C299" s="27" t="s">
        <v>951</v>
      </c>
      <c r="D299" s="27" t="s">
        <v>952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1.0</v>
      </c>
      <c r="K299" s="33" t="n">
        <f>874</f>
        <v>874.0</v>
      </c>
      <c r="L299" s="34" t="s">
        <v>48</v>
      </c>
      <c r="M299" s="33" t="n">
        <f>883</f>
        <v>883.0</v>
      </c>
      <c r="N299" s="34" t="s">
        <v>108</v>
      </c>
      <c r="O299" s="33" t="n">
        <f>850</f>
        <v>850.0</v>
      </c>
      <c r="P299" s="34" t="s">
        <v>49</v>
      </c>
      <c r="Q299" s="33" t="n">
        <f>869</f>
        <v>869.0</v>
      </c>
      <c r="R299" s="34" t="s">
        <v>51</v>
      </c>
      <c r="S299" s="35" t="n">
        <f>866.45</f>
        <v>866.45</v>
      </c>
      <c r="T299" s="32" t="n">
        <f>395119</f>
        <v>395119.0</v>
      </c>
      <c r="U299" s="32" t="n">
        <f>75172</f>
        <v>75172.0</v>
      </c>
      <c r="V299" s="32" t="n">
        <f>340716162</f>
        <v>3.40716162E8</v>
      </c>
      <c r="W299" s="32" t="n">
        <f>64757486</f>
        <v>6.4757486E7</v>
      </c>
      <c r="X299" s="36" t="n">
        <f>22</f>
        <v>22.0</v>
      </c>
    </row>
    <row r="300">
      <c r="A300" s="27" t="s">
        <v>42</v>
      </c>
      <c r="B300" s="27" t="s">
        <v>953</v>
      </c>
      <c r="C300" s="27" t="s">
        <v>954</v>
      </c>
      <c r="D300" s="27" t="s">
        <v>955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10.0</v>
      </c>
      <c r="K300" s="33" t="n">
        <f>980.4</f>
        <v>980.4</v>
      </c>
      <c r="L300" s="34" t="s">
        <v>48</v>
      </c>
      <c r="M300" s="33" t="n">
        <f>985</f>
        <v>985.0</v>
      </c>
      <c r="N300" s="34" t="s">
        <v>108</v>
      </c>
      <c r="O300" s="33" t="n">
        <f>954.1</f>
        <v>954.1</v>
      </c>
      <c r="P300" s="34" t="s">
        <v>112</v>
      </c>
      <c r="Q300" s="33" t="n">
        <f>971.5</f>
        <v>971.5</v>
      </c>
      <c r="R300" s="34" t="s">
        <v>51</v>
      </c>
      <c r="S300" s="35" t="n">
        <f>967.42</f>
        <v>967.42</v>
      </c>
      <c r="T300" s="32" t="n">
        <f>248410</f>
        <v>248410.0</v>
      </c>
      <c r="U300" s="32" t="n">
        <f>50000</f>
        <v>50000.0</v>
      </c>
      <c r="V300" s="32" t="n">
        <f>240793478</f>
        <v>2.40793478E8</v>
      </c>
      <c r="W300" s="32" t="n">
        <f>48353670</f>
        <v>4.835367E7</v>
      </c>
      <c r="X300" s="36" t="n">
        <f>22</f>
        <v>22.0</v>
      </c>
    </row>
    <row r="301">
      <c r="A301" s="27" t="s">
        <v>42</v>
      </c>
      <c r="B301" s="27" t="s">
        <v>956</v>
      </c>
      <c r="C301" s="27" t="s">
        <v>957</v>
      </c>
      <c r="D301" s="27" t="s">
        <v>958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10.0</v>
      </c>
      <c r="K301" s="33" t="n">
        <f>367.8</f>
        <v>367.8</v>
      </c>
      <c r="L301" s="34" t="s">
        <v>48</v>
      </c>
      <c r="M301" s="33" t="n">
        <f>384.5</f>
        <v>384.5</v>
      </c>
      <c r="N301" s="34" t="s">
        <v>58</v>
      </c>
      <c r="O301" s="33" t="n">
        <f>346.9</f>
        <v>346.9</v>
      </c>
      <c r="P301" s="34" t="s">
        <v>71</v>
      </c>
      <c r="Q301" s="33" t="n">
        <f>358.9</f>
        <v>358.9</v>
      </c>
      <c r="R301" s="34" t="s">
        <v>51</v>
      </c>
      <c r="S301" s="35" t="n">
        <f>373.13</f>
        <v>373.13</v>
      </c>
      <c r="T301" s="32" t="n">
        <f>3710</f>
        <v>3710.0</v>
      </c>
      <c r="U301" s="32" t="str">
        <f>"－"</f>
        <v>－</v>
      </c>
      <c r="V301" s="32" t="n">
        <f>1368893</f>
        <v>1368893.0</v>
      </c>
      <c r="W301" s="32" t="str">
        <f>"－"</f>
        <v>－</v>
      </c>
      <c r="X301" s="36" t="n">
        <f>20</f>
        <v>20.0</v>
      </c>
    </row>
    <row r="302">
      <c r="A302" s="27" t="s">
        <v>42</v>
      </c>
      <c r="B302" s="27" t="s">
        <v>959</v>
      </c>
      <c r="C302" s="27" t="s">
        <v>960</v>
      </c>
      <c r="D302" s="27" t="s">
        <v>961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10.0</v>
      </c>
      <c r="K302" s="33" t="n">
        <f>5461</f>
        <v>5461.0</v>
      </c>
      <c r="L302" s="34" t="s">
        <v>48</v>
      </c>
      <c r="M302" s="33" t="n">
        <f>5738</f>
        <v>5738.0</v>
      </c>
      <c r="N302" s="34" t="s">
        <v>66</v>
      </c>
      <c r="O302" s="33" t="n">
        <f>4932</f>
        <v>4932.0</v>
      </c>
      <c r="P302" s="34" t="s">
        <v>51</v>
      </c>
      <c r="Q302" s="33" t="n">
        <f>5003</f>
        <v>5003.0</v>
      </c>
      <c r="R302" s="34" t="s">
        <v>51</v>
      </c>
      <c r="S302" s="35" t="n">
        <f>5398.59</f>
        <v>5398.59</v>
      </c>
      <c r="T302" s="32" t="n">
        <f>1360260</f>
        <v>1360260.0</v>
      </c>
      <c r="U302" s="32" t="n">
        <f>194020</f>
        <v>194020.0</v>
      </c>
      <c r="V302" s="32" t="n">
        <f>7273833349</f>
        <v>7.273833349E9</v>
      </c>
      <c r="W302" s="32" t="n">
        <f>1029168149</f>
        <v>1.029168149E9</v>
      </c>
      <c r="X302" s="36" t="n">
        <f>22</f>
        <v>22.0</v>
      </c>
    </row>
    <row r="303">
      <c r="A303" s="27" t="s">
        <v>42</v>
      </c>
      <c r="B303" s="27" t="s">
        <v>962</v>
      </c>
      <c r="C303" s="27" t="s">
        <v>963</v>
      </c>
      <c r="D303" s="27" t="s">
        <v>964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10.0</v>
      </c>
      <c r="K303" s="33" t="n">
        <f>3150</f>
        <v>3150.0</v>
      </c>
      <c r="L303" s="34" t="s">
        <v>48</v>
      </c>
      <c r="M303" s="33" t="n">
        <f>3269</f>
        <v>3269.0</v>
      </c>
      <c r="N303" s="34" t="s">
        <v>66</v>
      </c>
      <c r="O303" s="33" t="n">
        <f>2981</f>
        <v>2981.0</v>
      </c>
      <c r="P303" s="34" t="s">
        <v>50</v>
      </c>
      <c r="Q303" s="33" t="n">
        <f>3013</f>
        <v>3013.0</v>
      </c>
      <c r="R303" s="34" t="s">
        <v>51</v>
      </c>
      <c r="S303" s="35" t="n">
        <f>3141.16</f>
        <v>3141.16</v>
      </c>
      <c r="T303" s="32" t="n">
        <f>3379860</f>
        <v>3379860.0</v>
      </c>
      <c r="U303" s="32" t="n">
        <f>1904220</f>
        <v>1904220.0</v>
      </c>
      <c r="V303" s="32" t="n">
        <f>10627331393</f>
        <v>1.0627331393E10</v>
      </c>
      <c r="W303" s="32" t="n">
        <f>5979856238</f>
        <v>5.979856238E9</v>
      </c>
      <c r="X303" s="36" t="n">
        <f>22</f>
        <v>22.0</v>
      </c>
    </row>
    <row r="304">
      <c r="A304" s="27" t="s">
        <v>42</v>
      </c>
      <c r="B304" s="27" t="s">
        <v>965</v>
      </c>
      <c r="C304" s="27" t="s">
        <v>966</v>
      </c>
      <c r="D304" s="27" t="s">
        <v>967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10.0</v>
      </c>
      <c r="K304" s="33" t="n">
        <f>368.6</f>
        <v>368.6</v>
      </c>
      <c r="L304" s="34" t="s">
        <v>48</v>
      </c>
      <c r="M304" s="33" t="n">
        <f>368.6</f>
        <v>368.6</v>
      </c>
      <c r="N304" s="34" t="s">
        <v>48</v>
      </c>
      <c r="O304" s="33" t="n">
        <f>344.3</f>
        <v>344.3</v>
      </c>
      <c r="P304" s="34" t="s">
        <v>51</v>
      </c>
      <c r="Q304" s="33" t="n">
        <f>347.3</f>
        <v>347.3</v>
      </c>
      <c r="R304" s="34" t="s">
        <v>51</v>
      </c>
      <c r="S304" s="35" t="n">
        <f>358.09</f>
        <v>358.09</v>
      </c>
      <c r="T304" s="32" t="n">
        <f>13781050</f>
        <v>1.378105E7</v>
      </c>
      <c r="U304" s="32" t="n">
        <f>6016520</f>
        <v>6016520.0</v>
      </c>
      <c r="V304" s="32" t="n">
        <f>4950949507</f>
        <v>4.950949507E9</v>
      </c>
      <c r="W304" s="32" t="n">
        <f>2158191205</f>
        <v>2.158191205E9</v>
      </c>
      <c r="X304" s="36" t="n">
        <f>22</f>
        <v>22.0</v>
      </c>
    </row>
    <row r="305">
      <c r="A305" s="27" t="s">
        <v>42</v>
      </c>
      <c r="B305" s="27" t="s">
        <v>968</v>
      </c>
      <c r="C305" s="27" t="s">
        <v>969</v>
      </c>
      <c r="D305" s="27" t="s">
        <v>970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1230</f>
        <v>1230.0</v>
      </c>
      <c r="L305" s="34" t="s">
        <v>48</v>
      </c>
      <c r="M305" s="33" t="n">
        <f>1246</f>
        <v>1246.0</v>
      </c>
      <c r="N305" s="34" t="s">
        <v>90</v>
      </c>
      <c r="O305" s="33" t="n">
        <f>1207</f>
        <v>1207.0</v>
      </c>
      <c r="P305" s="34" t="s">
        <v>70</v>
      </c>
      <c r="Q305" s="33" t="n">
        <f>1237</f>
        <v>1237.0</v>
      </c>
      <c r="R305" s="34" t="s">
        <v>51</v>
      </c>
      <c r="S305" s="35" t="n">
        <f>1228.91</f>
        <v>1228.91</v>
      </c>
      <c r="T305" s="32" t="n">
        <f>23792662</f>
        <v>2.3792662E7</v>
      </c>
      <c r="U305" s="32" t="n">
        <f>1852017</f>
        <v>1852017.0</v>
      </c>
      <c r="V305" s="32" t="n">
        <f>29190533122</f>
        <v>2.9190533122E10</v>
      </c>
      <c r="W305" s="32" t="n">
        <f>2268845568</f>
        <v>2.268845568E9</v>
      </c>
      <c r="X305" s="36" t="n">
        <f>22</f>
        <v>22.0</v>
      </c>
    </row>
    <row r="306">
      <c r="A306" s="27" t="s">
        <v>42</v>
      </c>
      <c r="B306" s="27" t="s">
        <v>971</v>
      </c>
      <c r="C306" s="27" t="s">
        <v>972</v>
      </c>
      <c r="D306" s="27" t="s">
        <v>973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1763</f>
        <v>1763.0</v>
      </c>
      <c r="L306" s="34" t="s">
        <v>48</v>
      </c>
      <c r="M306" s="33" t="n">
        <f>1773</f>
        <v>1773.0</v>
      </c>
      <c r="N306" s="34" t="s">
        <v>112</v>
      </c>
      <c r="O306" s="33" t="n">
        <f>1735</f>
        <v>1735.0</v>
      </c>
      <c r="P306" s="34" t="s">
        <v>70</v>
      </c>
      <c r="Q306" s="33" t="n">
        <f>1758</f>
        <v>1758.0</v>
      </c>
      <c r="R306" s="34" t="s">
        <v>51</v>
      </c>
      <c r="S306" s="35" t="n">
        <f>1754.73</f>
        <v>1754.73</v>
      </c>
      <c r="T306" s="32" t="n">
        <f>35358</f>
        <v>35358.0</v>
      </c>
      <c r="U306" s="32" t="str">
        <f>"－"</f>
        <v>－</v>
      </c>
      <c r="V306" s="32" t="n">
        <f>62012916</f>
        <v>6.2012916E7</v>
      </c>
      <c r="W306" s="32" t="str">
        <f>"－"</f>
        <v>－</v>
      </c>
      <c r="X306" s="36" t="n">
        <f>22</f>
        <v>22.0</v>
      </c>
    </row>
    <row r="307">
      <c r="A307" s="27" t="s">
        <v>42</v>
      </c>
      <c r="B307" s="27" t="s">
        <v>974</v>
      </c>
      <c r="C307" s="27" t="s">
        <v>975</v>
      </c>
      <c r="D307" s="27" t="s">
        <v>976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2065</f>
        <v>2065.0</v>
      </c>
      <c r="L307" s="34" t="s">
        <v>48</v>
      </c>
      <c r="M307" s="33" t="n">
        <f>2090</f>
        <v>2090.0</v>
      </c>
      <c r="N307" s="34" t="s">
        <v>90</v>
      </c>
      <c r="O307" s="33" t="n">
        <f>2050</f>
        <v>2050.0</v>
      </c>
      <c r="P307" s="34" t="s">
        <v>70</v>
      </c>
      <c r="Q307" s="33" t="n">
        <f>2078</f>
        <v>2078.0</v>
      </c>
      <c r="R307" s="34" t="s">
        <v>51</v>
      </c>
      <c r="S307" s="35" t="n">
        <f>2067</f>
        <v>2067.0</v>
      </c>
      <c r="T307" s="32" t="n">
        <f>19239</f>
        <v>19239.0</v>
      </c>
      <c r="U307" s="32" t="str">
        <f>"－"</f>
        <v>－</v>
      </c>
      <c r="V307" s="32" t="n">
        <f>39740857</f>
        <v>3.9740857E7</v>
      </c>
      <c r="W307" s="32" t="str">
        <f>"－"</f>
        <v>－</v>
      </c>
      <c r="X307" s="36" t="n">
        <f>22</f>
        <v>22.0</v>
      </c>
    </row>
    <row r="308">
      <c r="A308" s="27" t="s">
        <v>42</v>
      </c>
      <c r="B308" s="27" t="s">
        <v>977</v>
      </c>
      <c r="C308" s="27" t="s">
        <v>978</v>
      </c>
      <c r="D308" s="27" t="s">
        <v>979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1.0</v>
      </c>
      <c r="K308" s="33" t="n">
        <f>3995</f>
        <v>3995.0</v>
      </c>
      <c r="L308" s="34" t="s">
        <v>48</v>
      </c>
      <c r="M308" s="33" t="n">
        <f>4255</f>
        <v>4255.0</v>
      </c>
      <c r="N308" s="34" t="s">
        <v>66</v>
      </c>
      <c r="O308" s="33" t="n">
        <f>3775</f>
        <v>3775.0</v>
      </c>
      <c r="P308" s="34" t="s">
        <v>50</v>
      </c>
      <c r="Q308" s="33" t="n">
        <f>3930</f>
        <v>3930.0</v>
      </c>
      <c r="R308" s="34" t="s">
        <v>51</v>
      </c>
      <c r="S308" s="35" t="n">
        <f>4025.91</f>
        <v>4025.91</v>
      </c>
      <c r="T308" s="32" t="n">
        <f>3245805</f>
        <v>3245805.0</v>
      </c>
      <c r="U308" s="32" t="n">
        <f>2744686</f>
        <v>2744686.0</v>
      </c>
      <c r="V308" s="32" t="n">
        <f>12747983705</f>
        <v>1.2747983705E10</v>
      </c>
      <c r="W308" s="32" t="n">
        <f>10708014860</f>
        <v>1.070801486E10</v>
      </c>
      <c r="X308" s="36" t="n">
        <f>22</f>
        <v>22.0</v>
      </c>
    </row>
    <row r="309">
      <c r="A309" s="27" t="s">
        <v>42</v>
      </c>
      <c r="B309" s="27" t="s">
        <v>980</v>
      </c>
      <c r="C309" s="27" t="s">
        <v>981</v>
      </c>
      <c r="D309" s="27" t="s">
        <v>982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2865</f>
        <v>2865.0</v>
      </c>
      <c r="L309" s="34" t="s">
        <v>48</v>
      </c>
      <c r="M309" s="33" t="n">
        <f>2950</f>
        <v>2950.0</v>
      </c>
      <c r="N309" s="34" t="s">
        <v>66</v>
      </c>
      <c r="O309" s="33" t="n">
        <f>2694</f>
        <v>2694.0</v>
      </c>
      <c r="P309" s="34" t="s">
        <v>50</v>
      </c>
      <c r="Q309" s="33" t="n">
        <f>2799</f>
        <v>2799.0</v>
      </c>
      <c r="R309" s="34" t="s">
        <v>51</v>
      </c>
      <c r="S309" s="35" t="n">
        <f>2849.23</f>
        <v>2849.23</v>
      </c>
      <c r="T309" s="32" t="n">
        <f>6495046</f>
        <v>6495046.0</v>
      </c>
      <c r="U309" s="32" t="n">
        <f>5845941</f>
        <v>5845941.0</v>
      </c>
      <c r="V309" s="32" t="n">
        <f>18006722220</f>
        <v>1.800672222E10</v>
      </c>
      <c r="W309" s="32" t="n">
        <f>16160349302</f>
        <v>1.6160349302E10</v>
      </c>
      <c r="X309" s="36" t="n">
        <f>22</f>
        <v>22.0</v>
      </c>
    </row>
    <row r="310">
      <c r="A310" s="27" t="s">
        <v>42</v>
      </c>
      <c r="B310" s="27" t="s">
        <v>983</v>
      </c>
      <c r="C310" s="27" t="s">
        <v>984</v>
      </c>
      <c r="D310" s="27" t="s">
        <v>985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2269</f>
        <v>2269.0</v>
      </c>
      <c r="L310" s="34" t="s">
        <v>48</v>
      </c>
      <c r="M310" s="33" t="n">
        <f>2393</f>
        <v>2393.0</v>
      </c>
      <c r="N310" s="34" t="s">
        <v>66</v>
      </c>
      <c r="O310" s="33" t="n">
        <f>2191</f>
        <v>2191.0</v>
      </c>
      <c r="P310" s="34" t="s">
        <v>50</v>
      </c>
      <c r="Q310" s="33" t="n">
        <f>2236</f>
        <v>2236.0</v>
      </c>
      <c r="R310" s="34" t="s">
        <v>51</v>
      </c>
      <c r="S310" s="35" t="n">
        <f>2303.91</f>
        <v>2303.91</v>
      </c>
      <c r="T310" s="32" t="n">
        <f>25690</f>
        <v>25690.0</v>
      </c>
      <c r="U310" s="32" t="n">
        <f>6</f>
        <v>6.0</v>
      </c>
      <c r="V310" s="32" t="n">
        <f>59925892</f>
        <v>5.9925892E7</v>
      </c>
      <c r="W310" s="32" t="n">
        <f>14060</f>
        <v>14060.0</v>
      </c>
      <c r="X310" s="36" t="n">
        <f>22</f>
        <v>22.0</v>
      </c>
    </row>
    <row r="311">
      <c r="A311" s="27" t="s">
        <v>42</v>
      </c>
      <c r="B311" s="27" t="s">
        <v>986</v>
      </c>
      <c r="C311" s="27" t="s">
        <v>987</v>
      </c>
      <c r="D311" s="27" t="s">
        <v>988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1294</f>
        <v>1294.0</v>
      </c>
      <c r="L311" s="34" t="s">
        <v>48</v>
      </c>
      <c r="M311" s="33" t="n">
        <f>1375</f>
        <v>1375.0</v>
      </c>
      <c r="N311" s="34" t="s">
        <v>220</v>
      </c>
      <c r="O311" s="33" t="n">
        <f>1268</f>
        <v>1268.0</v>
      </c>
      <c r="P311" s="34" t="s">
        <v>70</v>
      </c>
      <c r="Q311" s="33" t="n">
        <f>1302</f>
        <v>1302.0</v>
      </c>
      <c r="R311" s="34" t="s">
        <v>51</v>
      </c>
      <c r="S311" s="35" t="n">
        <f>1318.32</f>
        <v>1318.32</v>
      </c>
      <c r="T311" s="32" t="n">
        <f>85003</f>
        <v>85003.0</v>
      </c>
      <c r="U311" s="32" t="str">
        <f>"－"</f>
        <v>－</v>
      </c>
      <c r="V311" s="32" t="n">
        <f>112503552</f>
        <v>1.12503552E8</v>
      </c>
      <c r="W311" s="32" t="str">
        <f>"－"</f>
        <v>－</v>
      </c>
      <c r="X311" s="36" t="n">
        <f>22</f>
        <v>22.0</v>
      </c>
    </row>
    <row r="312">
      <c r="A312" s="27" t="s">
        <v>42</v>
      </c>
      <c r="B312" s="27" t="s">
        <v>989</v>
      </c>
      <c r="C312" s="27" t="s">
        <v>990</v>
      </c>
      <c r="D312" s="27" t="s">
        <v>991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1603</f>
        <v>1603.0</v>
      </c>
      <c r="L312" s="34" t="s">
        <v>48</v>
      </c>
      <c r="M312" s="33" t="n">
        <f>1654</f>
        <v>1654.0</v>
      </c>
      <c r="N312" s="34" t="s">
        <v>62</v>
      </c>
      <c r="O312" s="33" t="n">
        <f>1513</f>
        <v>1513.0</v>
      </c>
      <c r="P312" s="34" t="s">
        <v>351</v>
      </c>
      <c r="Q312" s="33" t="n">
        <f>1593</f>
        <v>1593.0</v>
      </c>
      <c r="R312" s="34" t="s">
        <v>51</v>
      </c>
      <c r="S312" s="35" t="n">
        <f>1585.09</f>
        <v>1585.09</v>
      </c>
      <c r="T312" s="32" t="n">
        <f>46250</f>
        <v>46250.0</v>
      </c>
      <c r="U312" s="32" t="str">
        <f>"－"</f>
        <v>－</v>
      </c>
      <c r="V312" s="32" t="n">
        <f>73080725</f>
        <v>7.3080725E7</v>
      </c>
      <c r="W312" s="32" t="str">
        <f>"－"</f>
        <v>－</v>
      </c>
      <c r="X312" s="36" t="n">
        <f>22</f>
        <v>22.0</v>
      </c>
    </row>
    <row r="313">
      <c r="A313" s="27" t="s">
        <v>42</v>
      </c>
      <c r="B313" s="27" t="s">
        <v>992</v>
      </c>
      <c r="C313" s="27" t="s">
        <v>993</v>
      </c>
      <c r="D313" s="27" t="s">
        <v>994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2562</f>
        <v>2562.0</v>
      </c>
      <c r="L313" s="34" t="s">
        <v>48</v>
      </c>
      <c r="M313" s="33" t="n">
        <f>2612</f>
        <v>2612.0</v>
      </c>
      <c r="N313" s="34" t="s">
        <v>220</v>
      </c>
      <c r="O313" s="33" t="n">
        <f>2324</f>
        <v>2324.0</v>
      </c>
      <c r="P313" s="34" t="s">
        <v>91</v>
      </c>
      <c r="Q313" s="33" t="n">
        <f>2351</f>
        <v>2351.0</v>
      </c>
      <c r="R313" s="34" t="s">
        <v>51</v>
      </c>
      <c r="S313" s="35" t="n">
        <f>2488</f>
        <v>2488.0</v>
      </c>
      <c r="T313" s="32" t="n">
        <f>2860</f>
        <v>2860.0</v>
      </c>
      <c r="U313" s="32" t="str">
        <f>"－"</f>
        <v>－</v>
      </c>
      <c r="V313" s="32" t="n">
        <f>7206936</f>
        <v>7206936.0</v>
      </c>
      <c r="W313" s="32" t="str">
        <f>"－"</f>
        <v>－</v>
      </c>
      <c r="X313" s="36" t="n">
        <f>22</f>
        <v>22.0</v>
      </c>
    </row>
    <row r="314">
      <c r="A314" s="27" t="s">
        <v>42</v>
      </c>
      <c r="B314" s="27" t="s">
        <v>995</v>
      </c>
      <c r="C314" s="27" t="s">
        <v>996</v>
      </c>
      <c r="D314" s="27" t="s">
        <v>997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12510</f>
        <v>12510.0</v>
      </c>
      <c r="L314" s="34" t="s">
        <v>48</v>
      </c>
      <c r="M314" s="33" t="n">
        <f>12910</f>
        <v>12910.0</v>
      </c>
      <c r="N314" s="34" t="s">
        <v>90</v>
      </c>
      <c r="O314" s="33" t="n">
        <f>12325</f>
        <v>12325.0</v>
      </c>
      <c r="P314" s="34" t="s">
        <v>50</v>
      </c>
      <c r="Q314" s="33" t="n">
        <f>12455</f>
        <v>12455.0</v>
      </c>
      <c r="R314" s="34" t="s">
        <v>51</v>
      </c>
      <c r="S314" s="35" t="n">
        <f>12626.82</f>
        <v>12626.82</v>
      </c>
      <c r="T314" s="32" t="n">
        <f>296255</f>
        <v>296255.0</v>
      </c>
      <c r="U314" s="32" t="n">
        <f>66013</f>
        <v>66013.0</v>
      </c>
      <c r="V314" s="32" t="n">
        <f>3726540113</f>
        <v>3.726540113E9</v>
      </c>
      <c r="W314" s="32" t="n">
        <f>818603113</f>
        <v>8.18603113E8</v>
      </c>
      <c r="X314" s="36" t="n">
        <f>22</f>
        <v>22.0</v>
      </c>
    </row>
    <row r="315">
      <c r="A315" s="27" t="s">
        <v>42</v>
      </c>
      <c r="B315" s="27" t="s">
        <v>998</v>
      </c>
      <c r="C315" s="27" t="s">
        <v>999</v>
      </c>
      <c r="D315" s="27" t="s">
        <v>1000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22745</f>
        <v>22745.0</v>
      </c>
      <c r="L315" s="34" t="s">
        <v>48</v>
      </c>
      <c r="M315" s="33" t="n">
        <f>23975</f>
        <v>23975.0</v>
      </c>
      <c r="N315" s="34" t="s">
        <v>66</v>
      </c>
      <c r="O315" s="33" t="n">
        <f>20610</f>
        <v>20610.0</v>
      </c>
      <c r="P315" s="34" t="s">
        <v>51</v>
      </c>
      <c r="Q315" s="33" t="n">
        <f>20915</f>
        <v>20915.0</v>
      </c>
      <c r="R315" s="34" t="s">
        <v>51</v>
      </c>
      <c r="S315" s="35" t="n">
        <f>22510.68</f>
        <v>22510.68</v>
      </c>
      <c r="T315" s="32" t="n">
        <f>529588</f>
        <v>529588.0</v>
      </c>
      <c r="U315" s="32" t="n">
        <f>27585</f>
        <v>27585.0</v>
      </c>
      <c r="V315" s="32" t="n">
        <f>11854907274</f>
        <v>1.1854907274E10</v>
      </c>
      <c r="W315" s="32" t="n">
        <f>609098654</f>
        <v>6.09098654E8</v>
      </c>
      <c r="X315" s="36" t="n">
        <f>22</f>
        <v>22.0</v>
      </c>
    </row>
    <row r="316">
      <c r="A316" s="27" t="s">
        <v>42</v>
      </c>
      <c r="B316" s="27" t="s">
        <v>1001</v>
      </c>
      <c r="C316" s="27" t="s">
        <v>1002</v>
      </c>
      <c r="D316" s="27" t="s">
        <v>1003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13105</f>
        <v>13105.0</v>
      </c>
      <c r="L316" s="34" t="s">
        <v>48</v>
      </c>
      <c r="M316" s="33" t="n">
        <f>13705</f>
        <v>13705.0</v>
      </c>
      <c r="N316" s="34" t="s">
        <v>66</v>
      </c>
      <c r="O316" s="33" t="n">
        <f>12505</f>
        <v>12505.0</v>
      </c>
      <c r="P316" s="34" t="s">
        <v>50</v>
      </c>
      <c r="Q316" s="33" t="n">
        <f>12635</f>
        <v>12635.0</v>
      </c>
      <c r="R316" s="34" t="s">
        <v>51</v>
      </c>
      <c r="S316" s="35" t="n">
        <f>13172.73</f>
        <v>13172.73</v>
      </c>
      <c r="T316" s="32" t="n">
        <f>380132</f>
        <v>380132.0</v>
      </c>
      <c r="U316" s="32" t="n">
        <f>180323</f>
        <v>180323.0</v>
      </c>
      <c r="V316" s="32" t="n">
        <f>5020434784</f>
        <v>5.020434784E9</v>
      </c>
      <c r="W316" s="32" t="n">
        <f>2393578509</f>
        <v>2.393578509E9</v>
      </c>
      <c r="X316" s="36" t="n">
        <f>22</f>
        <v>22.0</v>
      </c>
    </row>
    <row r="317">
      <c r="A317" s="27" t="s">
        <v>42</v>
      </c>
      <c r="B317" s="27" t="s">
        <v>1004</v>
      </c>
      <c r="C317" s="27" t="s">
        <v>1005</v>
      </c>
      <c r="D317" s="27" t="s">
        <v>1006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10.0</v>
      </c>
      <c r="K317" s="33" t="n">
        <f>407</f>
        <v>407.0</v>
      </c>
      <c r="L317" s="34" t="s">
        <v>48</v>
      </c>
      <c r="M317" s="33" t="n">
        <f>421.2</f>
        <v>421.2</v>
      </c>
      <c r="N317" s="34" t="s">
        <v>66</v>
      </c>
      <c r="O317" s="33" t="n">
        <f>382.2</f>
        <v>382.2</v>
      </c>
      <c r="P317" s="34" t="s">
        <v>51</v>
      </c>
      <c r="Q317" s="33" t="n">
        <f>386.7</f>
        <v>386.7</v>
      </c>
      <c r="R317" s="34" t="s">
        <v>51</v>
      </c>
      <c r="S317" s="35" t="n">
        <f>404.41</f>
        <v>404.41</v>
      </c>
      <c r="T317" s="32" t="n">
        <f>20390050</f>
        <v>2.039005E7</v>
      </c>
      <c r="U317" s="32" t="n">
        <f>5385470</f>
        <v>5385470.0</v>
      </c>
      <c r="V317" s="32" t="n">
        <f>8247744242</f>
        <v>8.247744242E9</v>
      </c>
      <c r="W317" s="32" t="n">
        <f>2218893904</f>
        <v>2.218893904E9</v>
      </c>
      <c r="X317" s="36" t="n">
        <f>22</f>
        <v>22.0</v>
      </c>
    </row>
    <row r="318">
      <c r="A318" s="27" t="s">
        <v>42</v>
      </c>
      <c r="B318" s="27" t="s">
        <v>1007</v>
      </c>
      <c r="C318" s="27" t="s">
        <v>1008</v>
      </c>
      <c r="D318" s="27" t="s">
        <v>1009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10.0</v>
      </c>
      <c r="K318" s="33" t="n">
        <f>2475</f>
        <v>2475.0</v>
      </c>
      <c r="L318" s="34" t="s">
        <v>48</v>
      </c>
      <c r="M318" s="33" t="n">
        <f>2542.5</f>
        <v>2542.5</v>
      </c>
      <c r="N318" s="34" t="s">
        <v>90</v>
      </c>
      <c r="O318" s="33" t="n">
        <f>2427.5</f>
        <v>2427.5</v>
      </c>
      <c r="P318" s="34" t="s">
        <v>50</v>
      </c>
      <c r="Q318" s="33" t="n">
        <f>2453</f>
        <v>2453.0</v>
      </c>
      <c r="R318" s="34" t="s">
        <v>51</v>
      </c>
      <c r="S318" s="35" t="n">
        <f>2487.48</f>
        <v>2487.48</v>
      </c>
      <c r="T318" s="32" t="n">
        <f>2209330</f>
        <v>2209330.0</v>
      </c>
      <c r="U318" s="32" t="n">
        <f>1593120</f>
        <v>1593120.0</v>
      </c>
      <c r="V318" s="32" t="n">
        <f>5496362358</f>
        <v>5.496362358E9</v>
      </c>
      <c r="W318" s="32" t="n">
        <f>3968098698</f>
        <v>3.968098698E9</v>
      </c>
      <c r="X318" s="36" t="n">
        <f>22</f>
        <v>22.0</v>
      </c>
    </row>
    <row r="319">
      <c r="A319" s="27" t="s">
        <v>42</v>
      </c>
      <c r="B319" s="27" t="s">
        <v>1010</v>
      </c>
      <c r="C319" s="27" t="s">
        <v>1011</v>
      </c>
      <c r="D319" s="27" t="s">
        <v>1012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10.0</v>
      </c>
      <c r="K319" s="33" t="n">
        <f>4326</f>
        <v>4326.0</v>
      </c>
      <c r="L319" s="34" t="s">
        <v>48</v>
      </c>
      <c r="M319" s="33" t="n">
        <f>4427</f>
        <v>4427.0</v>
      </c>
      <c r="N319" s="34" t="s">
        <v>66</v>
      </c>
      <c r="O319" s="33" t="n">
        <f>4000</f>
        <v>4000.0</v>
      </c>
      <c r="P319" s="34" t="s">
        <v>51</v>
      </c>
      <c r="Q319" s="33" t="n">
        <f>4032</f>
        <v>4032.0</v>
      </c>
      <c r="R319" s="34" t="s">
        <v>51</v>
      </c>
      <c r="S319" s="35" t="n">
        <f>4224.59</f>
        <v>4224.59</v>
      </c>
      <c r="T319" s="32" t="n">
        <f>225660</f>
        <v>225660.0</v>
      </c>
      <c r="U319" s="32" t="n">
        <f>70000</f>
        <v>70000.0</v>
      </c>
      <c r="V319" s="32" t="n">
        <f>933691690</f>
        <v>9.3369169E8</v>
      </c>
      <c r="W319" s="32" t="n">
        <f>300587000</f>
        <v>3.00587E8</v>
      </c>
      <c r="X319" s="36" t="n">
        <f>22</f>
        <v>22.0</v>
      </c>
    </row>
    <row r="320">
      <c r="A320" s="27" t="s">
        <v>42</v>
      </c>
      <c r="B320" s="27" t="s">
        <v>1013</v>
      </c>
      <c r="C320" s="27" t="s">
        <v>1014</v>
      </c>
      <c r="D320" s="27" t="s">
        <v>1015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3485</f>
        <v>3485.0</v>
      </c>
      <c r="L320" s="34" t="s">
        <v>48</v>
      </c>
      <c r="M320" s="33" t="n">
        <f>3690</f>
        <v>3690.0</v>
      </c>
      <c r="N320" s="34" t="s">
        <v>66</v>
      </c>
      <c r="O320" s="33" t="n">
        <f>3255</f>
        <v>3255.0</v>
      </c>
      <c r="P320" s="34" t="s">
        <v>50</v>
      </c>
      <c r="Q320" s="33" t="n">
        <f>3340</f>
        <v>3340.0</v>
      </c>
      <c r="R320" s="34" t="s">
        <v>51</v>
      </c>
      <c r="S320" s="35" t="n">
        <f>3488.18</f>
        <v>3488.18</v>
      </c>
      <c r="T320" s="32" t="n">
        <f>1258719</f>
        <v>1258719.0</v>
      </c>
      <c r="U320" s="32" t="n">
        <f>1033570</f>
        <v>1033570.0</v>
      </c>
      <c r="V320" s="32" t="n">
        <f>4400405214</f>
        <v>4.400405214E9</v>
      </c>
      <c r="W320" s="32" t="n">
        <f>3582473189</f>
        <v>3.582473189E9</v>
      </c>
      <c r="X320" s="36" t="n">
        <f>22</f>
        <v>22.0</v>
      </c>
    </row>
    <row r="321">
      <c r="A321" s="27" t="s">
        <v>42</v>
      </c>
      <c r="B321" s="27" t="s">
        <v>1016</v>
      </c>
      <c r="C321" s="27" t="s">
        <v>1017</v>
      </c>
      <c r="D321" s="27" t="s">
        <v>1018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1.0</v>
      </c>
      <c r="K321" s="33" t="n">
        <f>1735</f>
        <v>1735.0</v>
      </c>
      <c r="L321" s="34" t="s">
        <v>48</v>
      </c>
      <c r="M321" s="33" t="n">
        <f>1790</f>
        <v>1790.0</v>
      </c>
      <c r="N321" s="34" t="s">
        <v>90</v>
      </c>
      <c r="O321" s="33" t="n">
        <f>1642</f>
        <v>1642.0</v>
      </c>
      <c r="P321" s="34" t="s">
        <v>91</v>
      </c>
      <c r="Q321" s="33" t="n">
        <f>1675</f>
        <v>1675.0</v>
      </c>
      <c r="R321" s="34" t="s">
        <v>51</v>
      </c>
      <c r="S321" s="35" t="n">
        <f>1728.45</f>
        <v>1728.45</v>
      </c>
      <c r="T321" s="32" t="n">
        <f>258597</f>
        <v>258597.0</v>
      </c>
      <c r="U321" s="32" t="str">
        <f>"－"</f>
        <v>－</v>
      </c>
      <c r="V321" s="32" t="n">
        <f>455871336</f>
        <v>4.55871336E8</v>
      </c>
      <c r="W321" s="32" t="str">
        <f>"－"</f>
        <v>－</v>
      </c>
      <c r="X321" s="36" t="n">
        <f>22</f>
        <v>22.0</v>
      </c>
    </row>
    <row r="322">
      <c r="A322" s="27" t="s">
        <v>42</v>
      </c>
      <c r="B322" s="27" t="s">
        <v>1019</v>
      </c>
      <c r="C322" s="27" t="s">
        <v>1020</v>
      </c>
      <c r="D322" s="27" t="s">
        <v>1021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1.0</v>
      </c>
      <c r="K322" s="33" t="n">
        <f>2066</f>
        <v>2066.0</v>
      </c>
      <c r="L322" s="34" t="s">
        <v>48</v>
      </c>
      <c r="M322" s="33" t="n">
        <f>2483</f>
        <v>2483.0</v>
      </c>
      <c r="N322" s="34" t="s">
        <v>51</v>
      </c>
      <c r="O322" s="33" t="n">
        <f>1932</f>
        <v>1932.0</v>
      </c>
      <c r="P322" s="34" t="s">
        <v>91</v>
      </c>
      <c r="Q322" s="33" t="n">
        <f>2483</f>
        <v>2483.0</v>
      </c>
      <c r="R322" s="34" t="s">
        <v>51</v>
      </c>
      <c r="S322" s="35" t="n">
        <f>2076.27</f>
        <v>2076.27</v>
      </c>
      <c r="T322" s="32" t="n">
        <f>614309</f>
        <v>614309.0</v>
      </c>
      <c r="U322" s="32" t="n">
        <f>285510</f>
        <v>285510.0</v>
      </c>
      <c r="V322" s="32" t="n">
        <f>1241539118</f>
        <v>1.241539118E9</v>
      </c>
      <c r="W322" s="32" t="n">
        <f>554274556</f>
        <v>5.54274556E8</v>
      </c>
      <c r="X322" s="36" t="n">
        <f>22</f>
        <v>22.0</v>
      </c>
    </row>
    <row r="323">
      <c r="A323" s="27" t="s">
        <v>42</v>
      </c>
      <c r="B323" s="27" t="s">
        <v>1022</v>
      </c>
      <c r="C323" s="27" t="s">
        <v>1023</v>
      </c>
      <c r="D323" s="27" t="s">
        <v>1024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1.0</v>
      </c>
      <c r="K323" s="33" t="n">
        <f>1660</f>
        <v>1660.0</v>
      </c>
      <c r="L323" s="34" t="s">
        <v>48</v>
      </c>
      <c r="M323" s="33" t="n">
        <f>1742</f>
        <v>1742.0</v>
      </c>
      <c r="N323" s="34" t="s">
        <v>108</v>
      </c>
      <c r="O323" s="33" t="n">
        <f>1633</f>
        <v>1633.0</v>
      </c>
      <c r="P323" s="34" t="s">
        <v>48</v>
      </c>
      <c r="Q323" s="33" t="n">
        <f>1707</f>
        <v>1707.0</v>
      </c>
      <c r="R323" s="34" t="s">
        <v>51</v>
      </c>
      <c r="S323" s="35" t="n">
        <f>1692.18</f>
        <v>1692.18</v>
      </c>
      <c r="T323" s="32" t="n">
        <f>90793</f>
        <v>90793.0</v>
      </c>
      <c r="U323" s="32" t="str">
        <f>"－"</f>
        <v>－</v>
      </c>
      <c r="V323" s="32" t="n">
        <f>152772196</f>
        <v>1.52772196E8</v>
      </c>
      <c r="W323" s="32" t="str">
        <f>"－"</f>
        <v>－</v>
      </c>
      <c r="X323" s="36" t="n">
        <f>22</f>
        <v>22.0</v>
      </c>
    </row>
    <row r="324">
      <c r="A324" s="27" t="s">
        <v>42</v>
      </c>
      <c r="B324" s="27" t="s">
        <v>1025</v>
      </c>
      <c r="C324" s="27" t="s">
        <v>1026</v>
      </c>
      <c r="D324" s="27" t="s">
        <v>1027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3030</f>
        <v>3030.0</v>
      </c>
      <c r="L324" s="34" t="s">
        <v>48</v>
      </c>
      <c r="M324" s="33" t="n">
        <f>3215</f>
        <v>3215.0</v>
      </c>
      <c r="N324" s="34" t="s">
        <v>108</v>
      </c>
      <c r="O324" s="33" t="n">
        <f>2995</f>
        <v>2995.0</v>
      </c>
      <c r="P324" s="34" t="s">
        <v>50</v>
      </c>
      <c r="Q324" s="33" t="n">
        <f>3080</f>
        <v>3080.0</v>
      </c>
      <c r="R324" s="34" t="s">
        <v>51</v>
      </c>
      <c r="S324" s="35" t="n">
        <f>3094.55</f>
        <v>3094.55</v>
      </c>
      <c r="T324" s="32" t="n">
        <f>62700</f>
        <v>62700.0</v>
      </c>
      <c r="U324" s="32" t="n">
        <f>29</f>
        <v>29.0</v>
      </c>
      <c r="V324" s="32" t="n">
        <f>195104435</f>
        <v>1.95104435E8</v>
      </c>
      <c r="W324" s="32" t="n">
        <f>88645</f>
        <v>88645.0</v>
      </c>
      <c r="X324" s="36" t="n">
        <f>22</f>
        <v>22.0</v>
      </c>
    </row>
    <row r="325">
      <c r="A325" s="27" t="s">
        <v>42</v>
      </c>
      <c r="B325" s="27" t="s">
        <v>1028</v>
      </c>
      <c r="C325" s="27" t="s">
        <v>1029</v>
      </c>
      <c r="D325" s="27" t="s">
        <v>1030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1.0</v>
      </c>
      <c r="K325" s="33" t="n">
        <f>3290</f>
        <v>3290.0</v>
      </c>
      <c r="L325" s="34" t="s">
        <v>48</v>
      </c>
      <c r="M325" s="33" t="n">
        <f>3445</f>
        <v>3445.0</v>
      </c>
      <c r="N325" s="34" t="s">
        <v>66</v>
      </c>
      <c r="O325" s="33" t="n">
        <f>3040</f>
        <v>3040.0</v>
      </c>
      <c r="P325" s="34" t="s">
        <v>50</v>
      </c>
      <c r="Q325" s="33" t="n">
        <f>3140</f>
        <v>3140.0</v>
      </c>
      <c r="R325" s="34" t="s">
        <v>51</v>
      </c>
      <c r="S325" s="35" t="n">
        <f>3280.23</f>
        <v>3280.23</v>
      </c>
      <c r="T325" s="32" t="n">
        <f>444005</f>
        <v>444005.0</v>
      </c>
      <c r="U325" s="32" t="n">
        <f>2906</f>
        <v>2906.0</v>
      </c>
      <c r="V325" s="32" t="n">
        <f>1431052460</f>
        <v>1.43105246E9</v>
      </c>
      <c r="W325" s="32" t="n">
        <f>9612980</f>
        <v>9612980.0</v>
      </c>
      <c r="X325" s="36" t="n">
        <f>22</f>
        <v>22.0</v>
      </c>
    </row>
    <row r="326">
      <c r="A326" s="27" t="s">
        <v>42</v>
      </c>
      <c r="B326" s="27" t="s">
        <v>1031</v>
      </c>
      <c r="C326" s="27" t="s">
        <v>1032</v>
      </c>
      <c r="D326" s="27" t="s">
        <v>1033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1.0</v>
      </c>
      <c r="K326" s="33" t="n">
        <f>37710</f>
        <v>37710.0</v>
      </c>
      <c r="L326" s="34" t="s">
        <v>48</v>
      </c>
      <c r="M326" s="33" t="n">
        <f>38770</f>
        <v>38770.0</v>
      </c>
      <c r="N326" s="34" t="s">
        <v>66</v>
      </c>
      <c r="O326" s="33" t="n">
        <f>35640</f>
        <v>35640.0</v>
      </c>
      <c r="P326" s="34" t="s">
        <v>50</v>
      </c>
      <c r="Q326" s="33" t="n">
        <f>36740</f>
        <v>36740.0</v>
      </c>
      <c r="R326" s="34" t="s">
        <v>51</v>
      </c>
      <c r="S326" s="35" t="n">
        <f>37578.95</f>
        <v>37578.95</v>
      </c>
      <c r="T326" s="32" t="n">
        <f>240</f>
        <v>240.0</v>
      </c>
      <c r="U326" s="32" t="str">
        <f>"－"</f>
        <v>－</v>
      </c>
      <c r="V326" s="32" t="n">
        <f>8991640</f>
        <v>8991640.0</v>
      </c>
      <c r="W326" s="32" t="str">
        <f>"－"</f>
        <v>－</v>
      </c>
      <c r="X326" s="36" t="n">
        <f>19</f>
        <v>19.0</v>
      </c>
    </row>
    <row r="327">
      <c r="A327" s="27" t="s">
        <v>42</v>
      </c>
      <c r="B327" s="27" t="s">
        <v>1034</v>
      </c>
      <c r="C327" s="27" t="s">
        <v>1035</v>
      </c>
      <c r="D327" s="27" t="s">
        <v>1036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2988</f>
        <v>2988.0</v>
      </c>
      <c r="L327" s="34" t="s">
        <v>48</v>
      </c>
      <c r="M327" s="33" t="n">
        <f>3135</f>
        <v>3135.0</v>
      </c>
      <c r="N327" s="34" t="s">
        <v>66</v>
      </c>
      <c r="O327" s="33" t="n">
        <f>2813</f>
        <v>2813.0</v>
      </c>
      <c r="P327" s="34" t="s">
        <v>50</v>
      </c>
      <c r="Q327" s="33" t="n">
        <f>2850</f>
        <v>2850.0</v>
      </c>
      <c r="R327" s="34" t="s">
        <v>51</v>
      </c>
      <c r="S327" s="35" t="n">
        <f>2996.15</f>
        <v>2996.15</v>
      </c>
      <c r="T327" s="32" t="n">
        <f>19099</f>
        <v>19099.0</v>
      </c>
      <c r="U327" s="32" t="str">
        <f>"－"</f>
        <v>－</v>
      </c>
      <c r="V327" s="32" t="n">
        <f>58153027</f>
        <v>5.8153027E7</v>
      </c>
      <c r="W327" s="32" t="str">
        <f>"－"</f>
        <v>－</v>
      </c>
      <c r="X327" s="36" t="n">
        <f>20</f>
        <v>20.0</v>
      </c>
    </row>
    <row r="328">
      <c r="A328" s="27" t="s">
        <v>42</v>
      </c>
      <c r="B328" s="27" t="s">
        <v>1037</v>
      </c>
      <c r="C328" s="27" t="s">
        <v>1038</v>
      </c>
      <c r="D328" s="27" t="s">
        <v>1039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4855</f>
        <v>4855.0</v>
      </c>
      <c r="L328" s="34" t="s">
        <v>48</v>
      </c>
      <c r="M328" s="33" t="n">
        <f>5230</f>
        <v>5230.0</v>
      </c>
      <c r="N328" s="34" t="s">
        <v>66</v>
      </c>
      <c r="O328" s="33" t="n">
        <f>3900</f>
        <v>3900.0</v>
      </c>
      <c r="P328" s="34" t="s">
        <v>51</v>
      </c>
      <c r="Q328" s="33" t="n">
        <f>4205</f>
        <v>4205.0</v>
      </c>
      <c r="R328" s="34" t="s">
        <v>51</v>
      </c>
      <c r="S328" s="35" t="n">
        <f>4656.82</f>
        <v>4656.82</v>
      </c>
      <c r="T328" s="32" t="n">
        <f>17442243</f>
        <v>1.7442243E7</v>
      </c>
      <c r="U328" s="32" t="n">
        <f>2538224</f>
        <v>2538224.0</v>
      </c>
      <c r="V328" s="32" t="n">
        <f>80681342210</f>
        <v>8.068134221E10</v>
      </c>
      <c r="W328" s="32" t="n">
        <f>11930942995</f>
        <v>1.1930942995E10</v>
      </c>
      <c r="X328" s="36" t="n">
        <f>22</f>
        <v>22.0</v>
      </c>
    </row>
    <row r="329">
      <c r="A329" s="27" t="s">
        <v>42</v>
      </c>
      <c r="B329" s="27" t="s">
        <v>1040</v>
      </c>
      <c r="C329" s="27" t="s">
        <v>1041</v>
      </c>
      <c r="D329" s="27" t="s">
        <v>1042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2129</f>
        <v>2129.0</v>
      </c>
      <c r="L329" s="34" t="s">
        <v>48</v>
      </c>
      <c r="M329" s="33" t="n">
        <f>2225</f>
        <v>2225.0</v>
      </c>
      <c r="N329" s="34" t="s">
        <v>220</v>
      </c>
      <c r="O329" s="33" t="n">
        <f>2095</f>
        <v>2095.0</v>
      </c>
      <c r="P329" s="34" t="s">
        <v>50</v>
      </c>
      <c r="Q329" s="33" t="n">
        <f>2131</f>
        <v>2131.0</v>
      </c>
      <c r="R329" s="34" t="s">
        <v>51</v>
      </c>
      <c r="S329" s="35" t="n">
        <f>2163.18</f>
        <v>2163.18</v>
      </c>
      <c r="T329" s="32" t="n">
        <f>29495</f>
        <v>29495.0</v>
      </c>
      <c r="U329" s="32" t="str">
        <f>"－"</f>
        <v>－</v>
      </c>
      <c r="V329" s="32" t="n">
        <f>64395551</f>
        <v>6.4395551E7</v>
      </c>
      <c r="W329" s="32" t="str">
        <f>"－"</f>
        <v>－</v>
      </c>
      <c r="X329" s="36" t="n">
        <f>22</f>
        <v>22.0</v>
      </c>
    </row>
    <row r="330">
      <c r="A330" s="27" t="s">
        <v>42</v>
      </c>
      <c r="B330" s="27" t="s">
        <v>1043</v>
      </c>
      <c r="C330" s="27" t="s">
        <v>1044</v>
      </c>
      <c r="D330" s="27" t="s">
        <v>1045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1927</f>
        <v>1927.0</v>
      </c>
      <c r="L330" s="34" t="s">
        <v>48</v>
      </c>
      <c r="M330" s="33" t="n">
        <f>1989</f>
        <v>1989.0</v>
      </c>
      <c r="N330" s="34" t="s">
        <v>58</v>
      </c>
      <c r="O330" s="33" t="n">
        <f>1788</f>
        <v>1788.0</v>
      </c>
      <c r="P330" s="34" t="s">
        <v>50</v>
      </c>
      <c r="Q330" s="33" t="n">
        <f>1832</f>
        <v>1832.0</v>
      </c>
      <c r="R330" s="34" t="s">
        <v>51</v>
      </c>
      <c r="S330" s="35" t="n">
        <f>1906.82</f>
        <v>1906.82</v>
      </c>
      <c r="T330" s="32" t="n">
        <f>118300</f>
        <v>118300.0</v>
      </c>
      <c r="U330" s="32" t="str">
        <f>"－"</f>
        <v>－</v>
      </c>
      <c r="V330" s="32" t="n">
        <f>230622611</f>
        <v>2.30622611E8</v>
      </c>
      <c r="W330" s="32" t="str">
        <f>"－"</f>
        <v>－</v>
      </c>
      <c r="X330" s="36" t="n">
        <f>22</f>
        <v>22.0</v>
      </c>
    </row>
    <row r="331">
      <c r="A331" s="27" t="s">
        <v>42</v>
      </c>
      <c r="B331" s="27" t="s">
        <v>1046</v>
      </c>
      <c r="C331" s="27" t="s">
        <v>1047</v>
      </c>
      <c r="D331" s="27" t="s">
        <v>1048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10.0</v>
      </c>
      <c r="K331" s="33" t="n">
        <f>5931</f>
        <v>5931.0</v>
      </c>
      <c r="L331" s="34" t="s">
        <v>48</v>
      </c>
      <c r="M331" s="33" t="n">
        <f>5965</f>
        <v>5965.0</v>
      </c>
      <c r="N331" s="34" t="s">
        <v>188</v>
      </c>
      <c r="O331" s="33" t="n">
        <f>5699</f>
        <v>5699.0</v>
      </c>
      <c r="P331" s="34" t="s">
        <v>91</v>
      </c>
      <c r="Q331" s="33" t="n">
        <f>5714</f>
        <v>5714.0</v>
      </c>
      <c r="R331" s="34" t="s">
        <v>51</v>
      </c>
      <c r="S331" s="35" t="n">
        <f>5841.5</f>
        <v>5841.5</v>
      </c>
      <c r="T331" s="32" t="n">
        <f>8380</f>
        <v>8380.0</v>
      </c>
      <c r="U331" s="32" t="n">
        <f>3500</f>
        <v>3500.0</v>
      </c>
      <c r="V331" s="32" t="n">
        <f>49179706</f>
        <v>4.9179706E7</v>
      </c>
      <c r="W331" s="32" t="n">
        <f>20554276</f>
        <v>2.0554276E7</v>
      </c>
      <c r="X331" s="36" t="n">
        <f>18</f>
        <v>18.0</v>
      </c>
    </row>
    <row r="332">
      <c r="A332" s="27" t="s">
        <v>42</v>
      </c>
      <c r="B332" s="27" t="s">
        <v>1049</v>
      </c>
      <c r="C332" s="27" t="s">
        <v>1050</v>
      </c>
      <c r="D332" s="27" t="s">
        <v>1051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10.0</v>
      </c>
      <c r="K332" s="33" t="n">
        <f>3668</f>
        <v>3668.0</v>
      </c>
      <c r="L332" s="34" t="s">
        <v>48</v>
      </c>
      <c r="M332" s="33" t="n">
        <f>3750</f>
        <v>3750.0</v>
      </c>
      <c r="N332" s="34" t="s">
        <v>58</v>
      </c>
      <c r="O332" s="33" t="n">
        <f>3656</f>
        <v>3656.0</v>
      </c>
      <c r="P332" s="34" t="s">
        <v>70</v>
      </c>
      <c r="Q332" s="33" t="n">
        <f>3734</f>
        <v>3734.0</v>
      </c>
      <c r="R332" s="34" t="s">
        <v>51</v>
      </c>
      <c r="S332" s="35" t="n">
        <f>3705.25</f>
        <v>3705.25</v>
      </c>
      <c r="T332" s="32" t="n">
        <f>3767040</f>
        <v>3767040.0</v>
      </c>
      <c r="U332" s="32" t="n">
        <f>3723300</f>
        <v>3723300.0</v>
      </c>
      <c r="V332" s="32" t="n">
        <f>13907859757</f>
        <v>1.3907859757E10</v>
      </c>
      <c r="W332" s="32" t="n">
        <f>13745599287</f>
        <v>1.3745599287E10</v>
      </c>
      <c r="X332" s="36" t="n">
        <f>20</f>
        <v>20.0</v>
      </c>
    </row>
    <row r="333">
      <c r="A333" s="27" t="s">
        <v>42</v>
      </c>
      <c r="B333" s="27" t="s">
        <v>1052</v>
      </c>
      <c r="C333" s="27" t="s">
        <v>1053</v>
      </c>
      <c r="D333" s="27" t="s">
        <v>1054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10.0</v>
      </c>
      <c r="K333" s="33" t="n">
        <f>624.1</f>
        <v>624.1</v>
      </c>
      <c r="L333" s="34" t="s">
        <v>48</v>
      </c>
      <c r="M333" s="33" t="n">
        <f>628.4</f>
        <v>628.4</v>
      </c>
      <c r="N333" s="34" t="s">
        <v>112</v>
      </c>
      <c r="O333" s="33" t="n">
        <f>620.1</f>
        <v>620.1</v>
      </c>
      <c r="P333" s="34" t="s">
        <v>70</v>
      </c>
      <c r="Q333" s="33" t="n">
        <f>626.9</f>
        <v>626.9</v>
      </c>
      <c r="R333" s="34" t="s">
        <v>51</v>
      </c>
      <c r="S333" s="35" t="n">
        <f>624.68</f>
        <v>624.68</v>
      </c>
      <c r="T333" s="32" t="n">
        <f>199270</f>
        <v>199270.0</v>
      </c>
      <c r="U333" s="32" t="n">
        <f>160000</f>
        <v>160000.0</v>
      </c>
      <c r="V333" s="32" t="n">
        <f>124303712</f>
        <v>1.24303712E8</v>
      </c>
      <c r="W333" s="32" t="n">
        <f>99776000</f>
        <v>9.9776E7</v>
      </c>
      <c r="X333" s="36" t="n">
        <f>20</f>
        <v>20.0</v>
      </c>
    </row>
    <row r="334">
      <c r="A334" s="27" t="s">
        <v>42</v>
      </c>
      <c r="B334" s="27" t="s">
        <v>1055</v>
      </c>
      <c r="C334" s="27" t="s">
        <v>1056</v>
      </c>
      <c r="D334" s="27" t="s">
        <v>1057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2456</f>
        <v>2456.0</v>
      </c>
      <c r="L334" s="34" t="s">
        <v>48</v>
      </c>
      <c r="M334" s="33" t="n">
        <f>2541</f>
        <v>2541.0</v>
      </c>
      <c r="N334" s="34" t="s">
        <v>90</v>
      </c>
      <c r="O334" s="33" t="n">
        <f>2378</f>
        <v>2378.0</v>
      </c>
      <c r="P334" s="34" t="s">
        <v>91</v>
      </c>
      <c r="Q334" s="33" t="n">
        <f>2436</f>
        <v>2436.0</v>
      </c>
      <c r="R334" s="34" t="s">
        <v>51</v>
      </c>
      <c r="S334" s="35" t="n">
        <f>2460.64</f>
        <v>2460.64</v>
      </c>
      <c r="T334" s="32" t="n">
        <f>14605</f>
        <v>14605.0</v>
      </c>
      <c r="U334" s="32" t="n">
        <f>10</f>
        <v>10.0</v>
      </c>
      <c r="V334" s="32" t="n">
        <f>36715136</f>
        <v>3.6715136E7</v>
      </c>
      <c r="W334" s="32" t="n">
        <f>24661</f>
        <v>24661.0</v>
      </c>
      <c r="X334" s="36" t="n">
        <f>22</f>
        <v>22.0</v>
      </c>
    </row>
    <row r="335">
      <c r="A335" s="27" t="s">
        <v>42</v>
      </c>
      <c r="B335" s="27" t="s">
        <v>1058</v>
      </c>
      <c r="C335" s="27" t="s">
        <v>1059</v>
      </c>
      <c r="D335" s="27" t="s">
        <v>1060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1.0</v>
      </c>
      <c r="K335" s="33" t="n">
        <f>2216</f>
        <v>2216.0</v>
      </c>
      <c r="L335" s="34" t="s">
        <v>48</v>
      </c>
      <c r="M335" s="33" t="n">
        <f>2341</f>
        <v>2341.0</v>
      </c>
      <c r="N335" s="34" t="s">
        <v>220</v>
      </c>
      <c r="O335" s="33" t="n">
        <f>2179</f>
        <v>2179.0</v>
      </c>
      <c r="P335" s="34" t="s">
        <v>51</v>
      </c>
      <c r="Q335" s="33" t="n">
        <f>2204</f>
        <v>2204.0</v>
      </c>
      <c r="R335" s="34" t="s">
        <v>51</v>
      </c>
      <c r="S335" s="35" t="n">
        <f>2255.95</f>
        <v>2255.95</v>
      </c>
      <c r="T335" s="32" t="n">
        <f>20742</f>
        <v>20742.0</v>
      </c>
      <c r="U335" s="32" t="n">
        <f>53</f>
        <v>53.0</v>
      </c>
      <c r="V335" s="32" t="n">
        <f>47664525</f>
        <v>4.7664525E7</v>
      </c>
      <c r="W335" s="32" t="n">
        <f>120582</f>
        <v>120582.0</v>
      </c>
      <c r="X335" s="36" t="n">
        <f>22</f>
        <v>22.0</v>
      </c>
    </row>
    <row r="336">
      <c r="A336" s="27" t="s">
        <v>42</v>
      </c>
      <c r="B336" s="27" t="s">
        <v>1061</v>
      </c>
      <c r="C336" s="27" t="s">
        <v>1062</v>
      </c>
      <c r="D336" s="27" t="s">
        <v>1063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1.0</v>
      </c>
      <c r="K336" s="33" t="n">
        <f>8900</f>
        <v>8900.0</v>
      </c>
      <c r="L336" s="34" t="s">
        <v>48</v>
      </c>
      <c r="M336" s="33" t="n">
        <f>8996</f>
        <v>8996.0</v>
      </c>
      <c r="N336" s="34" t="s">
        <v>188</v>
      </c>
      <c r="O336" s="33" t="n">
        <f>8462</f>
        <v>8462.0</v>
      </c>
      <c r="P336" s="34" t="s">
        <v>91</v>
      </c>
      <c r="Q336" s="33" t="n">
        <f>8576</f>
        <v>8576.0</v>
      </c>
      <c r="R336" s="34" t="s">
        <v>51</v>
      </c>
      <c r="S336" s="35" t="n">
        <f>8763.55</f>
        <v>8763.55</v>
      </c>
      <c r="T336" s="32" t="n">
        <f>123073</f>
        <v>123073.0</v>
      </c>
      <c r="U336" s="32" t="n">
        <f>120000</f>
        <v>120000.0</v>
      </c>
      <c r="V336" s="32" t="n">
        <f>1053151417</f>
        <v>1.053151417E9</v>
      </c>
      <c r="W336" s="32" t="n">
        <f>1026302400</f>
        <v>1.0263024E9</v>
      </c>
      <c r="X336" s="36" t="n">
        <f>22</f>
        <v>22.0</v>
      </c>
    </row>
    <row r="337">
      <c r="A337" s="27" t="s">
        <v>42</v>
      </c>
      <c r="B337" s="27" t="s">
        <v>1064</v>
      </c>
      <c r="C337" s="27" t="s">
        <v>1065</v>
      </c>
      <c r="D337" s="27" t="s">
        <v>1066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1.0</v>
      </c>
      <c r="K337" s="33" t="n">
        <f>5504</f>
        <v>5504.0</v>
      </c>
      <c r="L337" s="34" t="s">
        <v>48</v>
      </c>
      <c r="M337" s="33" t="n">
        <f>5699</f>
        <v>5699.0</v>
      </c>
      <c r="N337" s="34" t="s">
        <v>188</v>
      </c>
      <c r="O337" s="33" t="n">
        <f>5454</f>
        <v>5454.0</v>
      </c>
      <c r="P337" s="34" t="s">
        <v>70</v>
      </c>
      <c r="Q337" s="33" t="n">
        <f>5580</f>
        <v>5580.0</v>
      </c>
      <c r="R337" s="34" t="s">
        <v>51</v>
      </c>
      <c r="S337" s="35" t="n">
        <f>5533.36</f>
        <v>5533.36</v>
      </c>
      <c r="T337" s="32" t="n">
        <f>97408</f>
        <v>97408.0</v>
      </c>
      <c r="U337" s="32" t="n">
        <f>30000</f>
        <v>30000.0</v>
      </c>
      <c r="V337" s="32" t="n">
        <f>540896907</f>
        <v>5.40896907E8</v>
      </c>
      <c r="W337" s="32" t="n">
        <f>167214000</f>
        <v>1.67214E8</v>
      </c>
      <c r="X337" s="36" t="n">
        <f>22</f>
        <v>22.0</v>
      </c>
    </row>
    <row r="338">
      <c r="A338" s="27" t="s">
        <v>42</v>
      </c>
      <c r="B338" s="27" t="s">
        <v>1067</v>
      </c>
      <c r="C338" s="27" t="s">
        <v>1068</v>
      </c>
      <c r="D338" s="27" t="s">
        <v>1069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29480</f>
        <v>29480.0</v>
      </c>
      <c r="L338" s="34" t="s">
        <v>48</v>
      </c>
      <c r="M338" s="33" t="n">
        <f>30940</f>
        <v>30940.0</v>
      </c>
      <c r="N338" s="34" t="s">
        <v>66</v>
      </c>
      <c r="O338" s="33" t="n">
        <f>26610</f>
        <v>26610.0</v>
      </c>
      <c r="P338" s="34" t="s">
        <v>51</v>
      </c>
      <c r="Q338" s="33" t="n">
        <f>27000</f>
        <v>27000.0</v>
      </c>
      <c r="R338" s="34" t="s">
        <v>51</v>
      </c>
      <c r="S338" s="35" t="n">
        <f>29112.5</f>
        <v>29112.5</v>
      </c>
      <c r="T338" s="32" t="n">
        <f>161983</f>
        <v>161983.0</v>
      </c>
      <c r="U338" s="32" t="n">
        <f>17424</f>
        <v>17424.0</v>
      </c>
      <c r="V338" s="32" t="n">
        <f>4723994635</f>
        <v>4.723994635E9</v>
      </c>
      <c r="W338" s="32" t="n">
        <f>501289810</f>
        <v>5.0128981E8</v>
      </c>
      <c r="X338" s="36" t="n">
        <f>22</f>
        <v>22.0</v>
      </c>
    </row>
    <row r="339">
      <c r="A339" s="27" t="s">
        <v>42</v>
      </c>
      <c r="B339" s="27" t="s">
        <v>1070</v>
      </c>
      <c r="C339" s="27" t="s">
        <v>1071</v>
      </c>
      <c r="D339" s="27" t="s">
        <v>1072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12415</f>
        <v>12415.0</v>
      </c>
      <c r="L339" s="34" t="s">
        <v>48</v>
      </c>
      <c r="M339" s="33" t="n">
        <f>12900</f>
        <v>12900.0</v>
      </c>
      <c r="N339" s="34" t="s">
        <v>66</v>
      </c>
      <c r="O339" s="33" t="n">
        <f>11355</f>
        <v>11355.0</v>
      </c>
      <c r="P339" s="34" t="s">
        <v>51</v>
      </c>
      <c r="Q339" s="33" t="n">
        <f>11895</f>
        <v>11895.0</v>
      </c>
      <c r="R339" s="34" t="s">
        <v>51</v>
      </c>
      <c r="S339" s="35" t="n">
        <f>12386.82</f>
        <v>12386.82</v>
      </c>
      <c r="T339" s="32" t="n">
        <f>123260</f>
        <v>123260.0</v>
      </c>
      <c r="U339" s="32" t="n">
        <f>5</f>
        <v>5.0</v>
      </c>
      <c r="V339" s="32" t="n">
        <f>1530775340</f>
        <v>1.53077534E9</v>
      </c>
      <c r="W339" s="32" t="n">
        <f>63065</f>
        <v>63065.0</v>
      </c>
      <c r="X339" s="36" t="n">
        <f>22</f>
        <v>22.0</v>
      </c>
    </row>
    <row r="340">
      <c r="A340" s="27" t="s">
        <v>42</v>
      </c>
      <c r="B340" s="27" t="s">
        <v>1073</v>
      </c>
      <c r="C340" s="27" t="s">
        <v>1074</v>
      </c>
      <c r="D340" s="27" t="s">
        <v>1075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18785</f>
        <v>18785.0</v>
      </c>
      <c r="L340" s="34" t="s">
        <v>48</v>
      </c>
      <c r="M340" s="33" t="n">
        <f>19740</f>
        <v>19740.0</v>
      </c>
      <c r="N340" s="34" t="s">
        <v>51</v>
      </c>
      <c r="O340" s="33" t="n">
        <f>17945</f>
        <v>17945.0</v>
      </c>
      <c r="P340" s="34" t="s">
        <v>66</v>
      </c>
      <c r="Q340" s="33" t="n">
        <f>19410</f>
        <v>19410.0</v>
      </c>
      <c r="R340" s="34" t="s">
        <v>51</v>
      </c>
      <c r="S340" s="35" t="n">
        <f>18683.86</f>
        <v>18683.86</v>
      </c>
      <c r="T340" s="32" t="n">
        <f>66148</f>
        <v>66148.0</v>
      </c>
      <c r="U340" s="32" t="n">
        <f>23</f>
        <v>23.0</v>
      </c>
      <c r="V340" s="32" t="n">
        <f>1241170670</f>
        <v>1.24117067E9</v>
      </c>
      <c r="W340" s="32" t="n">
        <f>414110</f>
        <v>414110.0</v>
      </c>
      <c r="X340" s="36" t="n">
        <f>22</f>
        <v>22.0</v>
      </c>
    </row>
    <row r="341">
      <c r="A341" s="27" t="s">
        <v>42</v>
      </c>
      <c r="B341" s="27" t="s">
        <v>1076</v>
      </c>
      <c r="C341" s="27" t="s">
        <v>1077</v>
      </c>
      <c r="D341" s="27" t="s">
        <v>1078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10.0</v>
      </c>
      <c r="K341" s="33" t="n">
        <f>4030</f>
        <v>4030.0</v>
      </c>
      <c r="L341" s="34" t="s">
        <v>48</v>
      </c>
      <c r="M341" s="33" t="n">
        <f>4124</f>
        <v>4124.0</v>
      </c>
      <c r="N341" s="34" t="s">
        <v>598</v>
      </c>
      <c r="O341" s="33" t="n">
        <f>4030</f>
        <v>4030.0</v>
      </c>
      <c r="P341" s="34" t="s">
        <v>48</v>
      </c>
      <c r="Q341" s="33" t="n">
        <f>4074</f>
        <v>4074.0</v>
      </c>
      <c r="R341" s="34" t="s">
        <v>91</v>
      </c>
      <c r="S341" s="35" t="n">
        <f>4066.21</f>
        <v>4066.21</v>
      </c>
      <c r="T341" s="32" t="n">
        <f>88030</f>
        <v>88030.0</v>
      </c>
      <c r="U341" s="32" t="n">
        <f>86540</f>
        <v>86540.0</v>
      </c>
      <c r="V341" s="32" t="n">
        <f>357915759</f>
        <v>3.57915759E8</v>
      </c>
      <c r="W341" s="32" t="n">
        <f>351855589</f>
        <v>3.51855589E8</v>
      </c>
      <c r="X341" s="36" t="n">
        <f>14</f>
        <v>14.0</v>
      </c>
    </row>
    <row r="342">
      <c r="A342" s="27" t="s">
        <v>42</v>
      </c>
      <c r="B342" s="27" t="s">
        <v>1079</v>
      </c>
      <c r="C342" s="27" t="s">
        <v>1080</v>
      </c>
      <c r="D342" s="27" t="s">
        <v>1081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10.0</v>
      </c>
      <c r="K342" s="33" t="n">
        <f>5644</f>
        <v>5644.0</v>
      </c>
      <c r="L342" s="34" t="s">
        <v>48</v>
      </c>
      <c r="M342" s="33" t="n">
        <f>5805</f>
        <v>5805.0</v>
      </c>
      <c r="N342" s="34" t="s">
        <v>236</v>
      </c>
      <c r="O342" s="33" t="n">
        <f>5219</f>
        <v>5219.0</v>
      </c>
      <c r="P342" s="34" t="s">
        <v>91</v>
      </c>
      <c r="Q342" s="33" t="n">
        <f>5265</f>
        <v>5265.0</v>
      </c>
      <c r="R342" s="34" t="s">
        <v>51</v>
      </c>
      <c r="S342" s="35" t="n">
        <f>5493.55</f>
        <v>5493.55</v>
      </c>
      <c r="T342" s="32" t="n">
        <f>231610</f>
        <v>231610.0</v>
      </c>
      <c r="U342" s="32" t="n">
        <f>157680</f>
        <v>157680.0</v>
      </c>
      <c r="V342" s="32" t="n">
        <f>1249025336</f>
        <v>1.249025336E9</v>
      </c>
      <c r="W342" s="32" t="n">
        <f>837630646</f>
        <v>8.37630646E8</v>
      </c>
      <c r="X342" s="36" t="n">
        <f>22</f>
        <v>22.0</v>
      </c>
    </row>
    <row r="343">
      <c r="A343" s="27" t="s">
        <v>42</v>
      </c>
      <c r="B343" s="27" t="s">
        <v>1082</v>
      </c>
      <c r="C343" s="27" t="s">
        <v>1083</v>
      </c>
      <c r="D343" s="27" t="s">
        <v>1084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10.0</v>
      </c>
      <c r="K343" s="33" t="n">
        <f>2585</f>
        <v>2585.0</v>
      </c>
      <c r="L343" s="34" t="s">
        <v>48</v>
      </c>
      <c r="M343" s="33" t="n">
        <f>2699.5</f>
        <v>2699.5</v>
      </c>
      <c r="N343" s="34" t="s">
        <v>66</v>
      </c>
      <c r="O343" s="33" t="n">
        <f>2455</f>
        <v>2455.0</v>
      </c>
      <c r="P343" s="34" t="s">
        <v>51</v>
      </c>
      <c r="Q343" s="33" t="n">
        <f>2569.5</f>
        <v>2569.5</v>
      </c>
      <c r="R343" s="34" t="s">
        <v>51</v>
      </c>
      <c r="S343" s="35" t="n">
        <f>2597.84</f>
        <v>2597.84</v>
      </c>
      <c r="T343" s="32" t="n">
        <f>1119650</f>
        <v>1119650.0</v>
      </c>
      <c r="U343" s="32" t="n">
        <f>152100</f>
        <v>152100.0</v>
      </c>
      <c r="V343" s="32" t="n">
        <f>2916280572</f>
        <v>2.916280572E9</v>
      </c>
      <c r="W343" s="32" t="n">
        <f>398408802</f>
        <v>3.98408802E8</v>
      </c>
      <c r="X343" s="36" t="n">
        <f>22</f>
        <v>22.0</v>
      </c>
    </row>
    <row r="344">
      <c r="A344" s="27" t="s">
        <v>42</v>
      </c>
      <c r="B344" s="27" t="s">
        <v>1085</v>
      </c>
      <c r="C344" s="27" t="s">
        <v>1086</v>
      </c>
      <c r="D344" s="27" t="s">
        <v>1087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10.0</v>
      </c>
      <c r="K344" s="33" t="n">
        <f>2074</f>
        <v>2074.0</v>
      </c>
      <c r="L344" s="34" t="s">
        <v>48</v>
      </c>
      <c r="M344" s="33" t="n">
        <f>2179.5</f>
        <v>2179.5</v>
      </c>
      <c r="N344" s="34" t="s">
        <v>108</v>
      </c>
      <c r="O344" s="33" t="n">
        <f>2065.5</f>
        <v>2065.5</v>
      </c>
      <c r="P344" s="34" t="s">
        <v>236</v>
      </c>
      <c r="Q344" s="33" t="n">
        <f>2144</f>
        <v>2144.0</v>
      </c>
      <c r="R344" s="34" t="s">
        <v>51</v>
      </c>
      <c r="S344" s="35" t="n">
        <f>2113</f>
        <v>2113.0</v>
      </c>
      <c r="T344" s="32" t="n">
        <f>1395560</f>
        <v>1395560.0</v>
      </c>
      <c r="U344" s="32" t="n">
        <f>891750</f>
        <v>891750.0</v>
      </c>
      <c r="V344" s="32" t="n">
        <f>2945772264</f>
        <v>2.945772264E9</v>
      </c>
      <c r="W344" s="32" t="n">
        <f>1875191894</f>
        <v>1.875191894E9</v>
      </c>
      <c r="X344" s="36" t="n">
        <f>22</f>
        <v>22.0</v>
      </c>
    </row>
    <row r="345">
      <c r="A345" s="27" t="s">
        <v>42</v>
      </c>
      <c r="B345" s="27" t="s">
        <v>1088</v>
      </c>
      <c r="C345" s="27" t="s">
        <v>1089</v>
      </c>
      <c r="D345" s="27" t="s">
        <v>1090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1947</f>
        <v>1947.0</v>
      </c>
      <c r="L345" s="34" t="s">
        <v>48</v>
      </c>
      <c r="M345" s="33" t="n">
        <f>2017</f>
        <v>2017.0</v>
      </c>
      <c r="N345" s="34" t="s">
        <v>49</v>
      </c>
      <c r="O345" s="33" t="n">
        <f>1863</f>
        <v>1863.0</v>
      </c>
      <c r="P345" s="34" t="s">
        <v>91</v>
      </c>
      <c r="Q345" s="33" t="n">
        <f>1922</f>
        <v>1922.0</v>
      </c>
      <c r="R345" s="34" t="s">
        <v>51</v>
      </c>
      <c r="S345" s="35" t="n">
        <f>1965.91</f>
        <v>1965.91</v>
      </c>
      <c r="T345" s="32" t="n">
        <f>20855</f>
        <v>20855.0</v>
      </c>
      <c r="U345" s="32" t="str">
        <f>"－"</f>
        <v>－</v>
      </c>
      <c r="V345" s="32" t="n">
        <f>41400700</f>
        <v>4.14007E7</v>
      </c>
      <c r="W345" s="32" t="str">
        <f>"－"</f>
        <v>－</v>
      </c>
      <c r="X345" s="36" t="n">
        <f>22</f>
        <v>22.0</v>
      </c>
    </row>
    <row r="346">
      <c r="A346" s="27" t="s">
        <v>42</v>
      </c>
      <c r="B346" s="27" t="s">
        <v>1091</v>
      </c>
      <c r="C346" s="27" t="s">
        <v>1092</v>
      </c>
      <c r="D346" s="27" t="s">
        <v>1093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2151</f>
        <v>2151.0</v>
      </c>
      <c r="L346" s="34" t="s">
        <v>48</v>
      </c>
      <c r="M346" s="33" t="n">
        <f>2333</f>
        <v>2333.0</v>
      </c>
      <c r="N346" s="34" t="s">
        <v>108</v>
      </c>
      <c r="O346" s="33" t="n">
        <f>2060</f>
        <v>2060.0</v>
      </c>
      <c r="P346" s="34" t="s">
        <v>50</v>
      </c>
      <c r="Q346" s="33" t="n">
        <f>2095</f>
        <v>2095.0</v>
      </c>
      <c r="R346" s="34" t="s">
        <v>51</v>
      </c>
      <c r="S346" s="35" t="n">
        <f>2169.55</f>
        <v>2169.55</v>
      </c>
      <c r="T346" s="32" t="n">
        <f>45730</f>
        <v>45730.0</v>
      </c>
      <c r="U346" s="32" t="str">
        <f>"－"</f>
        <v>－</v>
      </c>
      <c r="V346" s="32" t="n">
        <f>101461678</f>
        <v>1.01461678E8</v>
      </c>
      <c r="W346" s="32" t="str">
        <f>"－"</f>
        <v>－</v>
      </c>
      <c r="X346" s="36" t="n">
        <f>22</f>
        <v>22.0</v>
      </c>
    </row>
    <row r="347">
      <c r="A347" s="27" t="s">
        <v>42</v>
      </c>
      <c r="B347" s="27" t="s">
        <v>1094</v>
      </c>
      <c r="C347" s="27" t="s">
        <v>1095</v>
      </c>
      <c r="D347" s="27" t="s">
        <v>1096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4250</f>
        <v>4250.0</v>
      </c>
      <c r="L347" s="34" t="s">
        <v>48</v>
      </c>
      <c r="M347" s="33" t="n">
        <f>4405</f>
        <v>4405.0</v>
      </c>
      <c r="N347" s="34" t="s">
        <v>108</v>
      </c>
      <c r="O347" s="33" t="n">
        <f>4235</f>
        <v>4235.0</v>
      </c>
      <c r="P347" s="34" t="s">
        <v>112</v>
      </c>
      <c r="Q347" s="33" t="n">
        <f>4345</f>
        <v>4345.0</v>
      </c>
      <c r="R347" s="34" t="s">
        <v>51</v>
      </c>
      <c r="S347" s="35" t="n">
        <f>4308.86</f>
        <v>4308.86</v>
      </c>
      <c r="T347" s="32" t="n">
        <f>134017</f>
        <v>134017.0</v>
      </c>
      <c r="U347" s="32" t="n">
        <f>105132</f>
        <v>105132.0</v>
      </c>
      <c r="V347" s="32" t="n">
        <f>582387080</f>
        <v>5.8238708E8</v>
      </c>
      <c r="W347" s="32" t="n">
        <f>457511855</f>
        <v>4.57511855E8</v>
      </c>
      <c r="X347" s="36" t="n">
        <f>22</f>
        <v>22.0</v>
      </c>
    </row>
    <row r="348">
      <c r="A348" s="27" t="s">
        <v>42</v>
      </c>
      <c r="B348" s="27" t="s">
        <v>1097</v>
      </c>
      <c r="C348" s="27" t="s">
        <v>1098</v>
      </c>
      <c r="D348" s="27" t="s">
        <v>1099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10.0</v>
      </c>
      <c r="K348" s="33" t="n">
        <f>2879.5</f>
        <v>2879.5</v>
      </c>
      <c r="L348" s="34" t="s">
        <v>48</v>
      </c>
      <c r="M348" s="33" t="n">
        <f>3011</f>
        <v>3011.0</v>
      </c>
      <c r="N348" s="34" t="s">
        <v>66</v>
      </c>
      <c r="O348" s="33" t="n">
        <f>2721.5</f>
        <v>2721.5</v>
      </c>
      <c r="P348" s="34" t="s">
        <v>91</v>
      </c>
      <c r="Q348" s="33" t="n">
        <f>2786</f>
        <v>2786.0</v>
      </c>
      <c r="R348" s="34" t="s">
        <v>51</v>
      </c>
      <c r="S348" s="35" t="n">
        <f>2861.58</f>
        <v>2861.58</v>
      </c>
      <c r="T348" s="32" t="n">
        <f>12600</f>
        <v>12600.0</v>
      </c>
      <c r="U348" s="32" t="str">
        <f>"－"</f>
        <v>－</v>
      </c>
      <c r="V348" s="32" t="n">
        <f>35667610</f>
        <v>3.566761E7</v>
      </c>
      <c r="W348" s="32" t="str">
        <f>"－"</f>
        <v>－</v>
      </c>
      <c r="X348" s="36" t="n">
        <f>13</f>
        <v>13.0</v>
      </c>
    </row>
    <row r="349">
      <c r="A349" s="27" t="s">
        <v>42</v>
      </c>
      <c r="B349" s="27" t="s">
        <v>1100</v>
      </c>
      <c r="C349" s="27" t="s">
        <v>1101</v>
      </c>
      <c r="D349" s="27" t="s">
        <v>1102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10.0</v>
      </c>
      <c r="K349" s="33" t="n">
        <f>285</f>
        <v>285.0</v>
      </c>
      <c r="L349" s="34" t="s">
        <v>48</v>
      </c>
      <c r="M349" s="33" t="n">
        <f>301.7</f>
        <v>301.7</v>
      </c>
      <c r="N349" s="34" t="s">
        <v>90</v>
      </c>
      <c r="O349" s="33" t="n">
        <f>266</f>
        <v>266.0</v>
      </c>
      <c r="P349" s="34" t="s">
        <v>50</v>
      </c>
      <c r="Q349" s="33" t="n">
        <f>275</f>
        <v>275.0</v>
      </c>
      <c r="R349" s="34" t="s">
        <v>51</v>
      </c>
      <c r="S349" s="35" t="n">
        <f>282.36</f>
        <v>282.36</v>
      </c>
      <c r="T349" s="32" t="n">
        <f>17470</f>
        <v>17470.0</v>
      </c>
      <c r="U349" s="32" t="str">
        <f>"－"</f>
        <v>－</v>
      </c>
      <c r="V349" s="32" t="n">
        <f>4979646</f>
        <v>4979646.0</v>
      </c>
      <c r="W349" s="32" t="str">
        <f>"－"</f>
        <v>－</v>
      </c>
      <c r="X349" s="36" t="n">
        <f>22</f>
        <v>22.0</v>
      </c>
    </row>
    <row r="350">
      <c r="A350" s="27" t="s">
        <v>42</v>
      </c>
      <c r="B350" s="27" t="s">
        <v>1103</v>
      </c>
      <c r="C350" s="27" t="s">
        <v>1104</v>
      </c>
      <c r="D350" s="27" t="s">
        <v>1105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171.8</f>
        <v>171.8</v>
      </c>
      <c r="L350" s="34" t="s">
        <v>48</v>
      </c>
      <c r="M350" s="33" t="n">
        <f>173.6</f>
        <v>173.6</v>
      </c>
      <c r="N350" s="34" t="s">
        <v>108</v>
      </c>
      <c r="O350" s="33" t="n">
        <f>167.8</f>
        <v>167.8</v>
      </c>
      <c r="P350" s="34" t="s">
        <v>112</v>
      </c>
      <c r="Q350" s="33" t="n">
        <f>170.4</f>
        <v>170.4</v>
      </c>
      <c r="R350" s="34" t="s">
        <v>51</v>
      </c>
      <c r="S350" s="35" t="n">
        <f>169.96</f>
        <v>169.96</v>
      </c>
      <c r="T350" s="32" t="n">
        <f>2701750</f>
        <v>2701750.0</v>
      </c>
      <c r="U350" s="32" t="n">
        <f>2652180</f>
        <v>2652180.0</v>
      </c>
      <c r="V350" s="32" t="n">
        <f>458388852</f>
        <v>4.58388852E8</v>
      </c>
      <c r="W350" s="32" t="n">
        <f>449970830</f>
        <v>4.4997083E8</v>
      </c>
      <c r="X350" s="36" t="n">
        <f>22</f>
        <v>22.0</v>
      </c>
    </row>
    <row r="351">
      <c r="A351" s="27" t="s">
        <v>42</v>
      </c>
      <c r="B351" s="27" t="s">
        <v>1106</v>
      </c>
      <c r="C351" s="27" t="s">
        <v>1107</v>
      </c>
      <c r="D351" s="27" t="s">
        <v>1108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664.4</f>
        <v>664.4</v>
      </c>
      <c r="L351" s="34" t="s">
        <v>70</v>
      </c>
      <c r="M351" s="33" t="n">
        <f>674.4</f>
        <v>674.4</v>
      </c>
      <c r="N351" s="34" t="s">
        <v>236</v>
      </c>
      <c r="O351" s="33" t="n">
        <f>664.4</f>
        <v>664.4</v>
      </c>
      <c r="P351" s="34" t="s">
        <v>70</v>
      </c>
      <c r="Q351" s="33" t="n">
        <f>665.9</f>
        <v>665.9</v>
      </c>
      <c r="R351" s="34" t="s">
        <v>749</v>
      </c>
      <c r="S351" s="35" t="n">
        <f>666.52</f>
        <v>666.52</v>
      </c>
      <c r="T351" s="32" t="n">
        <f>290</f>
        <v>290.0</v>
      </c>
      <c r="U351" s="32" t="str">
        <f>"－"</f>
        <v>－</v>
      </c>
      <c r="V351" s="32" t="n">
        <f>192915</f>
        <v>192915.0</v>
      </c>
      <c r="W351" s="32" t="str">
        <f>"－"</f>
        <v>－</v>
      </c>
      <c r="X351" s="36" t="n">
        <f>5</f>
        <v>5.0</v>
      </c>
    </row>
    <row r="352">
      <c r="A352" s="27" t="s">
        <v>42</v>
      </c>
      <c r="B352" s="27" t="s">
        <v>1109</v>
      </c>
      <c r="C352" s="27" t="s">
        <v>1110</v>
      </c>
      <c r="D352" s="27" t="s">
        <v>1111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1567</f>
        <v>1567.0</v>
      </c>
      <c r="L352" s="34" t="s">
        <v>48</v>
      </c>
      <c r="M352" s="33" t="n">
        <f>1697</f>
        <v>1697.0</v>
      </c>
      <c r="N352" s="34" t="s">
        <v>66</v>
      </c>
      <c r="O352" s="33" t="n">
        <f>1448</f>
        <v>1448.0</v>
      </c>
      <c r="P352" s="34" t="s">
        <v>50</v>
      </c>
      <c r="Q352" s="33" t="n">
        <f>1528</f>
        <v>1528.0</v>
      </c>
      <c r="R352" s="34" t="s">
        <v>51</v>
      </c>
      <c r="S352" s="35" t="n">
        <f>1578.73</f>
        <v>1578.73</v>
      </c>
      <c r="T352" s="32" t="n">
        <f>854450</f>
        <v>854450.0</v>
      </c>
      <c r="U352" s="32" t="n">
        <f>597</f>
        <v>597.0</v>
      </c>
      <c r="V352" s="32" t="n">
        <f>1385780021</f>
        <v>1.385780021E9</v>
      </c>
      <c r="W352" s="32" t="n">
        <f>944758</f>
        <v>944758.0</v>
      </c>
      <c r="X352" s="36" t="n">
        <f>22</f>
        <v>22.0</v>
      </c>
    </row>
    <row r="353">
      <c r="A353" s="27" t="s">
        <v>42</v>
      </c>
      <c r="B353" s="27" t="s">
        <v>1112</v>
      </c>
      <c r="C353" s="27" t="s">
        <v>1113</v>
      </c>
      <c r="D353" s="27" t="s">
        <v>1114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884</f>
        <v>884.0</v>
      </c>
      <c r="L353" s="34" t="s">
        <v>48</v>
      </c>
      <c r="M353" s="33" t="n">
        <f>897</f>
        <v>897.0</v>
      </c>
      <c r="N353" s="34" t="s">
        <v>108</v>
      </c>
      <c r="O353" s="33" t="n">
        <f>865</f>
        <v>865.0</v>
      </c>
      <c r="P353" s="34" t="s">
        <v>104</v>
      </c>
      <c r="Q353" s="33" t="n">
        <f>883</f>
        <v>883.0</v>
      </c>
      <c r="R353" s="34" t="s">
        <v>51</v>
      </c>
      <c r="S353" s="35" t="n">
        <f>877.95</f>
        <v>877.95</v>
      </c>
      <c r="T353" s="32" t="n">
        <f>642513</f>
        <v>642513.0</v>
      </c>
      <c r="U353" s="32" t="n">
        <f>200000</f>
        <v>200000.0</v>
      </c>
      <c r="V353" s="32" t="n">
        <f>562640848</f>
        <v>5.62640848E8</v>
      </c>
      <c r="W353" s="32" t="n">
        <f>175240030</f>
        <v>1.7524003E8</v>
      </c>
      <c r="X353" s="36" t="n">
        <f>22</f>
        <v>22.0</v>
      </c>
    </row>
    <row r="354">
      <c r="A354" s="27" t="s">
        <v>42</v>
      </c>
      <c r="B354" s="27" t="s">
        <v>1115</v>
      </c>
      <c r="C354" s="27" t="s">
        <v>1116</v>
      </c>
      <c r="D354" s="27" t="s">
        <v>1117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10.0</v>
      </c>
      <c r="K354" s="33" t="n">
        <f>703</f>
        <v>703.0</v>
      </c>
      <c r="L354" s="34" t="s">
        <v>48</v>
      </c>
      <c r="M354" s="33" t="n">
        <f>705</f>
        <v>705.0</v>
      </c>
      <c r="N354" s="34" t="s">
        <v>112</v>
      </c>
      <c r="O354" s="33" t="n">
        <f>696</f>
        <v>696.0</v>
      </c>
      <c r="P354" s="34" t="s">
        <v>104</v>
      </c>
      <c r="Q354" s="33" t="n">
        <f>703</f>
        <v>703.0</v>
      </c>
      <c r="R354" s="34" t="s">
        <v>51</v>
      </c>
      <c r="S354" s="35" t="n">
        <f>700.64</f>
        <v>700.64</v>
      </c>
      <c r="T354" s="32" t="n">
        <f>2165030</f>
        <v>2165030.0</v>
      </c>
      <c r="U354" s="32" t="n">
        <f>1003040</f>
        <v>1003040.0</v>
      </c>
      <c r="V354" s="32" t="n">
        <f>1517956608</f>
        <v>1.517956608E9</v>
      </c>
      <c r="W354" s="32" t="n">
        <f>702906891</f>
        <v>7.02906891E8</v>
      </c>
      <c r="X354" s="36" t="n">
        <f>22</f>
        <v>22.0</v>
      </c>
    </row>
    <row r="355">
      <c r="A355" s="27" t="s">
        <v>42</v>
      </c>
      <c r="B355" s="27" t="s">
        <v>1118</v>
      </c>
      <c r="C355" s="27" t="s">
        <v>1119</v>
      </c>
      <c r="D355" s="27" t="s">
        <v>1120</v>
      </c>
      <c r="E355" s="28" t="s">
        <v>46</v>
      </c>
      <c r="F355" s="29" t="s">
        <v>46</v>
      </c>
      <c r="G355" s="30" t="s">
        <v>46</v>
      </c>
      <c r="H355" s="31"/>
      <c r="I355" s="31" t="s">
        <v>47</v>
      </c>
      <c r="J355" s="32" t="n">
        <v>10.0</v>
      </c>
      <c r="K355" s="33" t="n">
        <f>691.1</f>
        <v>691.1</v>
      </c>
      <c r="L355" s="34" t="s">
        <v>48</v>
      </c>
      <c r="M355" s="33" t="n">
        <f>691.1</f>
        <v>691.1</v>
      </c>
      <c r="N355" s="34" t="s">
        <v>48</v>
      </c>
      <c r="O355" s="33" t="n">
        <f>677</f>
        <v>677.0</v>
      </c>
      <c r="P355" s="34" t="s">
        <v>70</v>
      </c>
      <c r="Q355" s="33" t="n">
        <f>687.7</f>
        <v>687.7</v>
      </c>
      <c r="R355" s="34" t="s">
        <v>51</v>
      </c>
      <c r="S355" s="35" t="n">
        <f>681.66</f>
        <v>681.66</v>
      </c>
      <c r="T355" s="32" t="n">
        <f>3120020</f>
        <v>3120020.0</v>
      </c>
      <c r="U355" s="32" t="n">
        <f>2783530</f>
        <v>2783530.0</v>
      </c>
      <c r="V355" s="32" t="n">
        <f>2129847697</f>
        <v>2.129847697E9</v>
      </c>
      <c r="W355" s="32" t="n">
        <f>1900346771</f>
        <v>1.900346771E9</v>
      </c>
      <c r="X355" s="36" t="n">
        <f>22</f>
        <v>22.0</v>
      </c>
    </row>
    <row r="356">
      <c r="A356" s="27" t="s">
        <v>42</v>
      </c>
      <c r="B356" s="27" t="s">
        <v>1121</v>
      </c>
      <c r="C356" s="27" t="s">
        <v>1122</v>
      </c>
      <c r="D356" s="27" t="s">
        <v>1123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1.0</v>
      </c>
      <c r="K356" s="33" t="n">
        <f>1280</f>
        <v>1280.0</v>
      </c>
      <c r="L356" s="34" t="s">
        <v>48</v>
      </c>
      <c r="M356" s="33" t="n">
        <f>1309</f>
        <v>1309.0</v>
      </c>
      <c r="N356" s="34" t="s">
        <v>90</v>
      </c>
      <c r="O356" s="33" t="n">
        <f>1161</f>
        <v>1161.0</v>
      </c>
      <c r="P356" s="34" t="s">
        <v>91</v>
      </c>
      <c r="Q356" s="33" t="n">
        <f>1214</f>
        <v>1214.0</v>
      </c>
      <c r="R356" s="34" t="s">
        <v>51</v>
      </c>
      <c r="S356" s="35" t="n">
        <f>1251.55</f>
        <v>1251.55</v>
      </c>
      <c r="T356" s="32" t="n">
        <f>43318</f>
        <v>43318.0</v>
      </c>
      <c r="U356" s="32" t="str">
        <f>"－"</f>
        <v>－</v>
      </c>
      <c r="V356" s="32" t="n">
        <f>53966659</f>
        <v>5.3966659E7</v>
      </c>
      <c r="W356" s="32" t="str">
        <f>"－"</f>
        <v>－</v>
      </c>
      <c r="X356" s="36" t="n">
        <f>22</f>
        <v>22.0</v>
      </c>
    </row>
    <row r="357">
      <c r="A357" s="27" t="s">
        <v>42</v>
      </c>
      <c r="B357" s="27" t="s">
        <v>1124</v>
      </c>
      <c r="C357" s="27" t="s">
        <v>1125</v>
      </c>
      <c r="D357" s="27" t="s">
        <v>1126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2591.5</f>
        <v>2591.5</v>
      </c>
      <c r="L357" s="34" t="s">
        <v>48</v>
      </c>
      <c r="M357" s="33" t="n">
        <f>2648</f>
        <v>2648.0</v>
      </c>
      <c r="N357" s="34" t="s">
        <v>236</v>
      </c>
      <c r="O357" s="33" t="n">
        <f>2525</f>
        <v>2525.0</v>
      </c>
      <c r="P357" s="34" t="s">
        <v>50</v>
      </c>
      <c r="Q357" s="33" t="n">
        <f>2580</f>
        <v>2580.0</v>
      </c>
      <c r="R357" s="34" t="s">
        <v>51</v>
      </c>
      <c r="S357" s="35" t="n">
        <f>2588.11</f>
        <v>2588.11</v>
      </c>
      <c r="T357" s="32" t="n">
        <f>84260</f>
        <v>84260.0</v>
      </c>
      <c r="U357" s="32" t="n">
        <f>20</f>
        <v>20.0</v>
      </c>
      <c r="V357" s="32" t="n">
        <f>218573410</f>
        <v>2.1857341E8</v>
      </c>
      <c r="W357" s="32" t="n">
        <f>51995</f>
        <v>51995.0</v>
      </c>
      <c r="X357" s="36" t="n">
        <f>22</f>
        <v>22.0</v>
      </c>
    </row>
    <row r="358">
      <c r="A358" s="27" t="s">
        <v>42</v>
      </c>
      <c r="B358" s="27" t="s">
        <v>1127</v>
      </c>
      <c r="C358" s="27" t="s">
        <v>1128</v>
      </c>
      <c r="D358" s="27" t="s">
        <v>1129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2545</f>
        <v>2545.0</v>
      </c>
      <c r="L358" s="34" t="s">
        <v>48</v>
      </c>
      <c r="M358" s="33" t="n">
        <f>2573.5</f>
        <v>2573.5</v>
      </c>
      <c r="N358" s="34" t="s">
        <v>220</v>
      </c>
      <c r="O358" s="33" t="n">
        <f>2510.5</f>
        <v>2510.5</v>
      </c>
      <c r="P358" s="34" t="s">
        <v>62</v>
      </c>
      <c r="Q358" s="33" t="n">
        <f>2543.5</f>
        <v>2543.5</v>
      </c>
      <c r="R358" s="34" t="s">
        <v>51</v>
      </c>
      <c r="S358" s="35" t="n">
        <f>2542.52</f>
        <v>2542.52</v>
      </c>
      <c r="T358" s="32" t="n">
        <f>137320</f>
        <v>137320.0</v>
      </c>
      <c r="U358" s="32" t="str">
        <f>"－"</f>
        <v>－</v>
      </c>
      <c r="V358" s="32" t="n">
        <f>349975030</f>
        <v>3.4997503E8</v>
      </c>
      <c r="W358" s="32" t="str">
        <f>"－"</f>
        <v>－</v>
      </c>
      <c r="X358" s="36" t="n">
        <f>22</f>
        <v>22.0</v>
      </c>
    </row>
    <row r="359">
      <c r="A359" s="27" t="s">
        <v>42</v>
      </c>
      <c r="B359" s="27" t="s">
        <v>1130</v>
      </c>
      <c r="C359" s="27" t="s">
        <v>1131</v>
      </c>
      <c r="D359" s="27" t="s">
        <v>1132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10.0</v>
      </c>
      <c r="K359" s="33" t="n">
        <f>5539</f>
        <v>5539.0</v>
      </c>
      <c r="L359" s="34" t="s">
        <v>48</v>
      </c>
      <c r="M359" s="33" t="n">
        <f>5999</f>
        <v>5999.0</v>
      </c>
      <c r="N359" s="34" t="s">
        <v>236</v>
      </c>
      <c r="O359" s="33" t="n">
        <f>5366</f>
        <v>5366.0</v>
      </c>
      <c r="P359" s="34" t="s">
        <v>91</v>
      </c>
      <c r="Q359" s="33" t="n">
        <f>5462</f>
        <v>5462.0</v>
      </c>
      <c r="R359" s="34" t="s">
        <v>71</v>
      </c>
      <c r="S359" s="35" t="n">
        <f>5562.72</f>
        <v>5562.72</v>
      </c>
      <c r="T359" s="32" t="n">
        <f>192010</f>
        <v>192010.0</v>
      </c>
      <c r="U359" s="32" t="n">
        <f>18900</f>
        <v>18900.0</v>
      </c>
      <c r="V359" s="32" t="n">
        <f>1065822050</f>
        <v>1.06582205E9</v>
      </c>
      <c r="W359" s="32" t="n">
        <f>106334240</f>
        <v>1.0633424E8</v>
      </c>
      <c r="X359" s="36" t="n">
        <f>18</f>
        <v>18.0</v>
      </c>
    </row>
    <row r="360">
      <c r="A360" s="27" t="s">
        <v>42</v>
      </c>
      <c r="B360" s="27" t="s">
        <v>1133</v>
      </c>
      <c r="C360" s="27" t="s">
        <v>1134</v>
      </c>
      <c r="D360" s="27" t="s">
        <v>1135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10.0</v>
      </c>
      <c r="K360" s="33" t="n">
        <f>4180</f>
        <v>4180.0</v>
      </c>
      <c r="L360" s="34" t="s">
        <v>48</v>
      </c>
      <c r="M360" s="33" t="n">
        <f>4241</f>
        <v>4241.0</v>
      </c>
      <c r="N360" s="34" t="s">
        <v>51</v>
      </c>
      <c r="O360" s="33" t="n">
        <f>4150</f>
        <v>4150.0</v>
      </c>
      <c r="P360" s="34" t="s">
        <v>48</v>
      </c>
      <c r="Q360" s="33" t="n">
        <f>4241</f>
        <v>4241.0</v>
      </c>
      <c r="R360" s="34" t="s">
        <v>51</v>
      </c>
      <c r="S360" s="35" t="n">
        <f>4198</f>
        <v>4198.0</v>
      </c>
      <c r="T360" s="32" t="n">
        <f>159140</f>
        <v>159140.0</v>
      </c>
      <c r="U360" s="32" t="str">
        <f>"－"</f>
        <v>－</v>
      </c>
      <c r="V360" s="32" t="n">
        <f>666141270</f>
        <v>6.6614127E8</v>
      </c>
      <c r="W360" s="32" t="str">
        <f>"－"</f>
        <v>－</v>
      </c>
      <c r="X360" s="36" t="n">
        <f>16</f>
        <v>16.0</v>
      </c>
    </row>
    <row r="361">
      <c r="A361" s="27" t="s">
        <v>42</v>
      </c>
      <c r="B361" s="27" t="s">
        <v>1136</v>
      </c>
      <c r="C361" s="27" t="s">
        <v>1137</v>
      </c>
      <c r="D361" s="27" t="s">
        <v>1138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1896</f>
        <v>1896.0</v>
      </c>
      <c r="L361" s="34" t="s">
        <v>70</v>
      </c>
      <c r="M361" s="33" t="n">
        <f>1956</f>
        <v>1956.0</v>
      </c>
      <c r="N361" s="34" t="s">
        <v>236</v>
      </c>
      <c r="O361" s="33" t="n">
        <f>1896</f>
        <v>1896.0</v>
      </c>
      <c r="P361" s="34" t="s">
        <v>70</v>
      </c>
      <c r="Q361" s="33" t="n">
        <f>1916</f>
        <v>1916.0</v>
      </c>
      <c r="R361" s="34" t="s">
        <v>598</v>
      </c>
      <c r="S361" s="35" t="n">
        <f>1916.59</f>
        <v>1916.59</v>
      </c>
      <c r="T361" s="32" t="n">
        <f>3730</f>
        <v>3730.0</v>
      </c>
      <c r="U361" s="32" t="str">
        <f>"－"</f>
        <v>－</v>
      </c>
      <c r="V361" s="32" t="n">
        <f>7162780</f>
        <v>7162780.0</v>
      </c>
      <c r="W361" s="32" t="str">
        <f>"－"</f>
        <v>－</v>
      </c>
      <c r="X361" s="36" t="n">
        <f>11</f>
        <v>11.0</v>
      </c>
    </row>
    <row r="362">
      <c r="A362" s="27" t="s">
        <v>42</v>
      </c>
      <c r="B362" s="27" t="s">
        <v>1139</v>
      </c>
      <c r="C362" s="27" t="s">
        <v>1140</v>
      </c>
      <c r="D362" s="27" t="s">
        <v>1141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1.0</v>
      </c>
      <c r="K362" s="33" t="n">
        <f>1412</f>
        <v>1412.0</v>
      </c>
      <c r="L362" s="34" t="s">
        <v>48</v>
      </c>
      <c r="M362" s="33" t="n">
        <f>1509</f>
        <v>1509.0</v>
      </c>
      <c r="N362" s="34" t="s">
        <v>385</v>
      </c>
      <c r="O362" s="33" t="n">
        <f>1400</f>
        <v>1400.0</v>
      </c>
      <c r="P362" s="34" t="s">
        <v>48</v>
      </c>
      <c r="Q362" s="33" t="n">
        <f>1444</f>
        <v>1444.0</v>
      </c>
      <c r="R362" s="34" t="s">
        <v>51</v>
      </c>
      <c r="S362" s="35" t="n">
        <f>1444.77</f>
        <v>1444.77</v>
      </c>
      <c r="T362" s="32" t="n">
        <f>14892</f>
        <v>14892.0</v>
      </c>
      <c r="U362" s="32" t="str">
        <f>"－"</f>
        <v>－</v>
      </c>
      <c r="V362" s="32" t="n">
        <f>21558933</f>
        <v>2.1558933E7</v>
      </c>
      <c r="W362" s="32" t="str">
        <f>"－"</f>
        <v>－</v>
      </c>
      <c r="X362" s="36" t="n">
        <f>22</f>
        <v>22.0</v>
      </c>
    </row>
    <row r="363">
      <c r="A363" s="27" t="s">
        <v>42</v>
      </c>
      <c r="B363" s="27" t="s">
        <v>1142</v>
      </c>
      <c r="C363" s="27" t="s">
        <v>1143</v>
      </c>
      <c r="D363" s="27" t="s">
        <v>1144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1265</f>
        <v>1265.0</v>
      </c>
      <c r="L363" s="34" t="s">
        <v>48</v>
      </c>
      <c r="M363" s="33" t="n">
        <f>1306</f>
        <v>1306.0</v>
      </c>
      <c r="N363" s="34" t="s">
        <v>236</v>
      </c>
      <c r="O363" s="33" t="n">
        <f>1152</f>
        <v>1152.0</v>
      </c>
      <c r="P363" s="34" t="s">
        <v>51</v>
      </c>
      <c r="Q363" s="33" t="n">
        <f>1161</f>
        <v>1161.0</v>
      </c>
      <c r="R363" s="34" t="s">
        <v>51</v>
      </c>
      <c r="S363" s="35" t="n">
        <f>1232.14</f>
        <v>1232.14</v>
      </c>
      <c r="T363" s="32" t="n">
        <f>4276024</f>
        <v>4276024.0</v>
      </c>
      <c r="U363" s="32" t="n">
        <f>415249</f>
        <v>415249.0</v>
      </c>
      <c r="V363" s="32" t="n">
        <f>5266867668</f>
        <v>5.266867668E9</v>
      </c>
      <c r="W363" s="32" t="n">
        <f>523252326</f>
        <v>5.23252326E8</v>
      </c>
      <c r="X363" s="36" t="n">
        <f>22</f>
        <v>22.0</v>
      </c>
    </row>
    <row r="364">
      <c r="A364" s="27" t="s">
        <v>42</v>
      </c>
      <c r="B364" s="27" t="s">
        <v>1145</v>
      </c>
      <c r="C364" s="27" t="s">
        <v>1146</v>
      </c>
      <c r="D364" s="27" t="s">
        <v>1147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1.0</v>
      </c>
      <c r="K364" s="33" t="n">
        <f>1064</f>
        <v>1064.0</v>
      </c>
      <c r="L364" s="34" t="s">
        <v>48</v>
      </c>
      <c r="M364" s="33" t="n">
        <f>1090</f>
        <v>1090.0</v>
      </c>
      <c r="N364" s="34" t="s">
        <v>58</v>
      </c>
      <c r="O364" s="33" t="n">
        <f>1005</f>
        <v>1005.0</v>
      </c>
      <c r="P364" s="34" t="s">
        <v>91</v>
      </c>
      <c r="Q364" s="33" t="n">
        <f>1016</f>
        <v>1016.0</v>
      </c>
      <c r="R364" s="34" t="s">
        <v>51</v>
      </c>
      <c r="S364" s="35" t="n">
        <f>1051.55</f>
        <v>1051.55</v>
      </c>
      <c r="T364" s="32" t="n">
        <f>953562</f>
        <v>953562.0</v>
      </c>
      <c r="U364" s="32" t="n">
        <f>57</f>
        <v>57.0</v>
      </c>
      <c r="V364" s="32" t="n">
        <f>997010621</f>
        <v>9.97010621E8</v>
      </c>
      <c r="W364" s="32" t="n">
        <f>55345</f>
        <v>55345.0</v>
      </c>
      <c r="X364" s="36" t="n">
        <f>22</f>
        <v>22.0</v>
      </c>
    </row>
    <row r="365">
      <c r="A365" s="27" t="s">
        <v>42</v>
      </c>
      <c r="B365" s="27" t="s">
        <v>1148</v>
      </c>
      <c r="C365" s="27" t="s">
        <v>1149</v>
      </c>
      <c r="D365" s="27" t="s">
        <v>1150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1.0</v>
      </c>
      <c r="K365" s="33" t="n">
        <f>1181</f>
        <v>1181.0</v>
      </c>
      <c r="L365" s="34" t="s">
        <v>48</v>
      </c>
      <c r="M365" s="33" t="n">
        <f>1286</f>
        <v>1286.0</v>
      </c>
      <c r="N365" s="34" t="s">
        <v>90</v>
      </c>
      <c r="O365" s="33" t="n">
        <f>1111</f>
        <v>1111.0</v>
      </c>
      <c r="P365" s="34" t="s">
        <v>51</v>
      </c>
      <c r="Q365" s="33" t="n">
        <f>1111</f>
        <v>1111.0</v>
      </c>
      <c r="R365" s="34" t="s">
        <v>51</v>
      </c>
      <c r="S365" s="35" t="n">
        <f>1208.64</f>
        <v>1208.64</v>
      </c>
      <c r="T365" s="32" t="n">
        <f>16384</f>
        <v>16384.0</v>
      </c>
      <c r="U365" s="32" t="str">
        <f>"－"</f>
        <v>－</v>
      </c>
      <c r="V365" s="32" t="n">
        <f>20259073</f>
        <v>2.0259073E7</v>
      </c>
      <c r="W365" s="32" t="str">
        <f>"－"</f>
        <v>－</v>
      </c>
      <c r="X365" s="36" t="n">
        <f>22</f>
        <v>22.0</v>
      </c>
    </row>
    <row r="366">
      <c r="A366" s="27" t="s">
        <v>42</v>
      </c>
      <c r="B366" s="27" t="s">
        <v>1151</v>
      </c>
      <c r="C366" s="27" t="s">
        <v>1152</v>
      </c>
      <c r="D366" s="27" t="s">
        <v>1153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1135</f>
        <v>1135.0</v>
      </c>
      <c r="L366" s="34" t="s">
        <v>48</v>
      </c>
      <c r="M366" s="33" t="n">
        <f>1139</f>
        <v>1139.0</v>
      </c>
      <c r="N366" s="34" t="s">
        <v>58</v>
      </c>
      <c r="O366" s="33" t="n">
        <f>1053</f>
        <v>1053.0</v>
      </c>
      <c r="P366" s="34" t="s">
        <v>91</v>
      </c>
      <c r="Q366" s="33" t="n">
        <f>1067</f>
        <v>1067.0</v>
      </c>
      <c r="R366" s="34" t="s">
        <v>51</v>
      </c>
      <c r="S366" s="35" t="n">
        <f>1107.36</f>
        <v>1107.36</v>
      </c>
      <c r="T366" s="32" t="n">
        <f>482404</f>
        <v>482404.0</v>
      </c>
      <c r="U366" s="32" t="n">
        <f>855</f>
        <v>855.0</v>
      </c>
      <c r="V366" s="32" t="n">
        <f>530627216</f>
        <v>5.30627216E8</v>
      </c>
      <c r="W366" s="32" t="n">
        <f>964440</f>
        <v>964440.0</v>
      </c>
      <c r="X366" s="36" t="n">
        <f>22</f>
        <v>22.0</v>
      </c>
    </row>
    <row r="367">
      <c r="A367" s="27" t="s">
        <v>42</v>
      </c>
      <c r="B367" s="27" t="s">
        <v>1154</v>
      </c>
      <c r="C367" s="27" t="s">
        <v>1155</v>
      </c>
      <c r="D367" s="27" t="s">
        <v>1156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44220</f>
        <v>44220.0</v>
      </c>
      <c r="L367" s="34" t="s">
        <v>48</v>
      </c>
      <c r="M367" s="33" t="n">
        <f>48530</f>
        <v>48530.0</v>
      </c>
      <c r="N367" s="34" t="s">
        <v>66</v>
      </c>
      <c r="O367" s="33" t="n">
        <f>40150</f>
        <v>40150.0</v>
      </c>
      <c r="P367" s="34" t="s">
        <v>51</v>
      </c>
      <c r="Q367" s="33" t="n">
        <f>41000</f>
        <v>41000.0</v>
      </c>
      <c r="R367" s="34" t="s">
        <v>51</v>
      </c>
      <c r="S367" s="35" t="n">
        <f>44844.09</f>
        <v>44844.09</v>
      </c>
      <c r="T367" s="32" t="n">
        <f>324326</f>
        <v>324326.0</v>
      </c>
      <c r="U367" s="32" t="n">
        <f>1264</f>
        <v>1264.0</v>
      </c>
      <c r="V367" s="32" t="n">
        <f>14430077185</f>
        <v>1.4430077185E10</v>
      </c>
      <c r="W367" s="32" t="n">
        <f>56208115</f>
        <v>5.6208115E7</v>
      </c>
      <c r="X367" s="36" t="n">
        <f>22</f>
        <v>22.0</v>
      </c>
    </row>
    <row r="368">
      <c r="A368" s="27" t="s">
        <v>42</v>
      </c>
      <c r="B368" s="27" t="s">
        <v>1157</v>
      </c>
      <c r="C368" s="27" t="s">
        <v>1158</v>
      </c>
      <c r="D368" s="27" t="s">
        <v>1159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1.0</v>
      </c>
      <c r="K368" s="33" t="n">
        <f>20675</f>
        <v>20675.0</v>
      </c>
      <c r="L368" s="34" t="s">
        <v>48</v>
      </c>
      <c r="M368" s="33" t="n">
        <f>22220</f>
        <v>22220.0</v>
      </c>
      <c r="N368" s="34" t="s">
        <v>50</v>
      </c>
      <c r="O368" s="33" t="n">
        <f>18675</f>
        <v>18675.0</v>
      </c>
      <c r="P368" s="34" t="s">
        <v>66</v>
      </c>
      <c r="Q368" s="33" t="n">
        <f>21700</f>
        <v>21700.0</v>
      </c>
      <c r="R368" s="34" t="s">
        <v>51</v>
      </c>
      <c r="S368" s="35" t="n">
        <f>20265.45</f>
        <v>20265.45</v>
      </c>
      <c r="T368" s="32" t="n">
        <f>293167</f>
        <v>293167.0</v>
      </c>
      <c r="U368" s="32" t="n">
        <f>79</f>
        <v>79.0</v>
      </c>
      <c r="V368" s="32" t="n">
        <f>6050811605</f>
        <v>6.050811605E9</v>
      </c>
      <c r="W368" s="32" t="n">
        <f>1538570</f>
        <v>1538570.0</v>
      </c>
      <c r="X368" s="36" t="n">
        <f>22</f>
        <v>22.0</v>
      </c>
    </row>
    <row r="369">
      <c r="A369" s="27" t="s">
        <v>42</v>
      </c>
      <c r="B369" s="27" t="s">
        <v>1160</v>
      </c>
      <c r="C369" s="27" t="s">
        <v>1161</v>
      </c>
      <c r="D369" s="27" t="s">
        <v>1162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123400</f>
        <v>123400.0</v>
      </c>
      <c r="L369" s="34" t="s">
        <v>48</v>
      </c>
      <c r="M369" s="33" t="n">
        <f>124500</f>
        <v>124500.0</v>
      </c>
      <c r="N369" s="34" t="s">
        <v>108</v>
      </c>
      <c r="O369" s="33" t="n">
        <f>116400</f>
        <v>116400.0</v>
      </c>
      <c r="P369" s="34" t="s">
        <v>351</v>
      </c>
      <c r="Q369" s="33" t="n">
        <f>118600</f>
        <v>118600.0</v>
      </c>
      <c r="R369" s="34" t="s">
        <v>51</v>
      </c>
      <c r="S369" s="35" t="n">
        <f>121545.45</f>
        <v>121545.45</v>
      </c>
      <c r="T369" s="32" t="n">
        <f>35542</f>
        <v>35542.0</v>
      </c>
      <c r="U369" s="32" t="n">
        <f>10087</f>
        <v>10087.0</v>
      </c>
      <c r="V369" s="32" t="n">
        <f>4268206222</f>
        <v>4.268206222E9</v>
      </c>
      <c r="W369" s="32" t="n">
        <f>1201010322</f>
        <v>1.201010322E9</v>
      </c>
      <c r="X369" s="36" t="n">
        <f>22</f>
        <v>22.0</v>
      </c>
    </row>
    <row r="370">
      <c r="A370" s="27" t="s">
        <v>42</v>
      </c>
      <c r="B370" s="27" t="s">
        <v>1163</v>
      </c>
      <c r="C370" s="27" t="s">
        <v>1164</v>
      </c>
      <c r="D370" s="27" t="s">
        <v>1165</v>
      </c>
      <c r="E370" s="28" t="s">
        <v>46</v>
      </c>
      <c r="F370" s="29" t="s">
        <v>46</v>
      </c>
      <c r="G370" s="30" t="s">
        <v>46</v>
      </c>
      <c r="H370" s="31"/>
      <c r="I370" s="31" t="s">
        <v>425</v>
      </c>
      <c r="J370" s="32" t="n">
        <v>1.0</v>
      </c>
      <c r="K370" s="33" t="n">
        <f>84800</f>
        <v>84800.0</v>
      </c>
      <c r="L370" s="34" t="s">
        <v>48</v>
      </c>
      <c r="M370" s="33" t="n">
        <f>86100</f>
        <v>86100.0</v>
      </c>
      <c r="N370" s="34" t="s">
        <v>108</v>
      </c>
      <c r="O370" s="33" t="n">
        <f>82900</f>
        <v>82900.0</v>
      </c>
      <c r="P370" s="34" t="s">
        <v>49</v>
      </c>
      <c r="Q370" s="33" t="n">
        <f>84700</f>
        <v>84700.0</v>
      </c>
      <c r="R370" s="34" t="s">
        <v>51</v>
      </c>
      <c r="S370" s="35" t="n">
        <f>84386.36</f>
        <v>84386.36</v>
      </c>
      <c r="T370" s="32" t="n">
        <f>23476</f>
        <v>23476.0</v>
      </c>
      <c r="U370" s="32" t="n">
        <f>5508</f>
        <v>5508.0</v>
      </c>
      <c r="V370" s="32" t="n">
        <f>1979635387</f>
        <v>1.979635387E9</v>
      </c>
      <c r="W370" s="32" t="n">
        <f>464252887</f>
        <v>4.64252887E8</v>
      </c>
      <c r="X370" s="36" t="n">
        <f>22</f>
        <v>22.0</v>
      </c>
    </row>
    <row r="371">
      <c r="A371" s="27" t="s">
        <v>42</v>
      </c>
      <c r="B371" s="27" t="s">
        <v>1166</v>
      </c>
      <c r="C371" s="27" t="s">
        <v>1167</v>
      </c>
      <c r="D371" s="27" t="s">
        <v>1168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117900</f>
        <v>117900.0</v>
      </c>
      <c r="L371" s="34" t="s">
        <v>48</v>
      </c>
      <c r="M371" s="33" t="n">
        <f>117900</f>
        <v>117900.0</v>
      </c>
      <c r="N371" s="34" t="s">
        <v>48</v>
      </c>
      <c r="O371" s="33" t="n">
        <f>112800</f>
        <v>112800.0</v>
      </c>
      <c r="P371" s="34" t="s">
        <v>71</v>
      </c>
      <c r="Q371" s="33" t="n">
        <f>116000</f>
        <v>116000.0</v>
      </c>
      <c r="R371" s="34" t="s">
        <v>51</v>
      </c>
      <c r="S371" s="35" t="n">
        <f>115381.82</f>
        <v>115381.82</v>
      </c>
      <c r="T371" s="32" t="n">
        <f>37451</f>
        <v>37451.0</v>
      </c>
      <c r="U371" s="32" t="n">
        <f>7190</f>
        <v>7190.0</v>
      </c>
      <c r="V371" s="32" t="n">
        <f>4321275304</f>
        <v>4.321275304E9</v>
      </c>
      <c r="W371" s="32" t="n">
        <f>829933804</f>
        <v>8.29933804E8</v>
      </c>
      <c r="X371" s="36" t="n">
        <f>22</f>
        <v>22.0</v>
      </c>
    </row>
    <row r="372">
      <c r="A372" s="27" t="s">
        <v>42</v>
      </c>
      <c r="B372" s="27" t="s">
        <v>1169</v>
      </c>
      <c r="C372" s="27" t="s">
        <v>1170</v>
      </c>
      <c r="D372" s="27" t="s">
        <v>1171</v>
      </c>
      <c r="E372" s="28" t="s">
        <v>46</v>
      </c>
      <c r="F372" s="29" t="s">
        <v>46</v>
      </c>
      <c r="G372" s="30" t="s">
        <v>46</v>
      </c>
      <c r="H372" s="31"/>
      <c r="I372" s="31" t="s">
        <v>425</v>
      </c>
      <c r="J372" s="32" t="n">
        <v>1.0</v>
      </c>
      <c r="K372" s="33" t="n">
        <f>123400</f>
        <v>123400.0</v>
      </c>
      <c r="L372" s="34" t="s">
        <v>48</v>
      </c>
      <c r="M372" s="33" t="n">
        <f>125000</f>
        <v>125000.0</v>
      </c>
      <c r="N372" s="34" t="s">
        <v>385</v>
      </c>
      <c r="O372" s="33" t="n">
        <f>117900</f>
        <v>117900.0</v>
      </c>
      <c r="P372" s="34" t="s">
        <v>351</v>
      </c>
      <c r="Q372" s="33" t="n">
        <f>119300</f>
        <v>119300.0</v>
      </c>
      <c r="R372" s="34" t="s">
        <v>51</v>
      </c>
      <c r="S372" s="35" t="n">
        <f>122831.82</f>
        <v>122831.82</v>
      </c>
      <c r="T372" s="32" t="n">
        <f>21769</f>
        <v>21769.0</v>
      </c>
      <c r="U372" s="32" t="n">
        <f>3152</f>
        <v>3152.0</v>
      </c>
      <c r="V372" s="32" t="n">
        <f>2658255615</f>
        <v>2.658255615E9</v>
      </c>
      <c r="W372" s="32" t="n">
        <f>386714615</f>
        <v>3.86714615E8</v>
      </c>
      <c r="X372" s="36" t="n">
        <f>22</f>
        <v>22.0</v>
      </c>
    </row>
    <row r="373">
      <c r="A373" s="27" t="s">
        <v>42</v>
      </c>
      <c r="B373" s="27" t="s">
        <v>1172</v>
      </c>
      <c r="C373" s="27" t="s">
        <v>1173</v>
      </c>
      <c r="D373" s="27" t="s">
        <v>1174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640000</f>
        <v>640000.0</v>
      </c>
      <c r="L373" s="34" t="s">
        <v>48</v>
      </c>
      <c r="M373" s="33" t="n">
        <f>649000</f>
        <v>649000.0</v>
      </c>
      <c r="N373" s="34" t="s">
        <v>207</v>
      </c>
      <c r="O373" s="33" t="n">
        <f>624000</f>
        <v>624000.0</v>
      </c>
      <c r="P373" s="34" t="s">
        <v>49</v>
      </c>
      <c r="Q373" s="33" t="n">
        <f>642000</f>
        <v>642000.0</v>
      </c>
      <c r="R373" s="34" t="s">
        <v>51</v>
      </c>
      <c r="S373" s="35" t="n">
        <f>636409.09</f>
        <v>636409.09</v>
      </c>
      <c r="T373" s="32" t="n">
        <f>29470</f>
        <v>29470.0</v>
      </c>
      <c r="U373" s="32" t="n">
        <f>8160</f>
        <v>8160.0</v>
      </c>
      <c r="V373" s="32" t="n">
        <f>18744209738</f>
        <v>1.8744209738E10</v>
      </c>
      <c r="W373" s="32" t="n">
        <f>5188021738</f>
        <v>5.188021738E9</v>
      </c>
      <c r="X373" s="36" t="n">
        <f>22</f>
        <v>22.0</v>
      </c>
    </row>
    <row r="374">
      <c r="A374" s="27" t="s">
        <v>42</v>
      </c>
      <c r="B374" s="27" t="s">
        <v>1175</v>
      </c>
      <c r="C374" s="27" t="s">
        <v>1176</v>
      </c>
      <c r="D374" s="27" t="s">
        <v>1177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131900</f>
        <v>131900.0</v>
      </c>
      <c r="L374" s="34" t="s">
        <v>48</v>
      </c>
      <c r="M374" s="33" t="n">
        <f>134000</f>
        <v>134000.0</v>
      </c>
      <c r="N374" s="34" t="s">
        <v>108</v>
      </c>
      <c r="O374" s="33" t="n">
        <f>127700</f>
        <v>127700.0</v>
      </c>
      <c r="P374" s="34" t="s">
        <v>351</v>
      </c>
      <c r="Q374" s="33" t="n">
        <f>128600</f>
        <v>128600.0</v>
      </c>
      <c r="R374" s="34" t="s">
        <v>51</v>
      </c>
      <c r="S374" s="35" t="n">
        <f>131109.09</f>
        <v>131109.09</v>
      </c>
      <c r="T374" s="32" t="n">
        <f>105870</f>
        <v>105870.0</v>
      </c>
      <c r="U374" s="32" t="n">
        <f>19199</f>
        <v>19199.0</v>
      </c>
      <c r="V374" s="32" t="n">
        <f>13866175767</f>
        <v>1.3866175767E10</v>
      </c>
      <c r="W374" s="32" t="n">
        <f>2515495767</f>
        <v>2.515495767E9</v>
      </c>
      <c r="X374" s="36" t="n">
        <f>22</f>
        <v>22.0</v>
      </c>
    </row>
    <row r="375">
      <c r="A375" s="27" t="s">
        <v>42</v>
      </c>
      <c r="B375" s="27" t="s">
        <v>1178</v>
      </c>
      <c r="C375" s="27" t="s">
        <v>1179</v>
      </c>
      <c r="D375" s="27" t="s">
        <v>1180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127400</f>
        <v>127400.0</v>
      </c>
      <c r="L375" s="34" t="s">
        <v>48</v>
      </c>
      <c r="M375" s="33" t="n">
        <f>129400</f>
        <v>129400.0</v>
      </c>
      <c r="N375" s="34" t="s">
        <v>207</v>
      </c>
      <c r="O375" s="33" t="n">
        <f>121900</f>
        <v>121900.0</v>
      </c>
      <c r="P375" s="34" t="s">
        <v>351</v>
      </c>
      <c r="Q375" s="33" t="n">
        <f>123600</f>
        <v>123600.0</v>
      </c>
      <c r="R375" s="34" t="s">
        <v>51</v>
      </c>
      <c r="S375" s="35" t="n">
        <f>126177.27</f>
        <v>126177.27</v>
      </c>
      <c r="T375" s="32" t="n">
        <f>254397</f>
        <v>254397.0</v>
      </c>
      <c r="U375" s="32" t="n">
        <f>34985</f>
        <v>34985.0</v>
      </c>
      <c r="V375" s="32" t="n">
        <f>31989927302</f>
        <v>3.1989927302E10</v>
      </c>
      <c r="W375" s="32" t="n">
        <f>4403919302</f>
        <v>4.403919302E9</v>
      </c>
      <c r="X375" s="36" t="n">
        <f>22</f>
        <v>22.0</v>
      </c>
    </row>
    <row r="376">
      <c r="A376" s="27" t="s">
        <v>42</v>
      </c>
      <c r="B376" s="27" t="s">
        <v>1181</v>
      </c>
      <c r="C376" s="27" t="s">
        <v>1182</v>
      </c>
      <c r="D376" s="27" t="s">
        <v>1183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330500</f>
        <v>330500.0</v>
      </c>
      <c r="L376" s="34" t="s">
        <v>48</v>
      </c>
      <c r="M376" s="33" t="n">
        <f>330500</f>
        <v>330500.0</v>
      </c>
      <c r="N376" s="34" t="s">
        <v>48</v>
      </c>
      <c r="O376" s="33" t="n">
        <f>309000</f>
        <v>309000.0</v>
      </c>
      <c r="P376" s="34" t="s">
        <v>351</v>
      </c>
      <c r="Q376" s="33" t="n">
        <f>315000</f>
        <v>315000.0</v>
      </c>
      <c r="R376" s="34" t="s">
        <v>51</v>
      </c>
      <c r="S376" s="35" t="n">
        <f>319772.73</f>
        <v>319772.73</v>
      </c>
      <c r="T376" s="32" t="n">
        <f>73312</f>
        <v>73312.0</v>
      </c>
      <c r="U376" s="32" t="n">
        <f>14019</f>
        <v>14019.0</v>
      </c>
      <c r="V376" s="32" t="n">
        <f>23425873945</f>
        <v>2.3425873945E10</v>
      </c>
      <c r="W376" s="32" t="n">
        <f>4489849445</f>
        <v>4.489849445E9</v>
      </c>
      <c r="X376" s="36" t="n">
        <f>22</f>
        <v>22.0</v>
      </c>
    </row>
    <row r="377">
      <c r="A377" s="27" t="s">
        <v>42</v>
      </c>
      <c r="B377" s="27" t="s">
        <v>1184</v>
      </c>
      <c r="C377" s="27" t="s">
        <v>1185</v>
      </c>
      <c r="D377" s="27" t="s">
        <v>1186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365000</f>
        <v>365000.0</v>
      </c>
      <c r="L377" s="34" t="s">
        <v>48</v>
      </c>
      <c r="M377" s="33" t="n">
        <f>375500</f>
        <v>375500.0</v>
      </c>
      <c r="N377" s="34" t="s">
        <v>108</v>
      </c>
      <c r="O377" s="33" t="n">
        <f>348500</f>
        <v>348500.0</v>
      </c>
      <c r="P377" s="34" t="s">
        <v>598</v>
      </c>
      <c r="Q377" s="33" t="n">
        <f>353500</f>
        <v>353500.0</v>
      </c>
      <c r="R377" s="34" t="s">
        <v>51</v>
      </c>
      <c r="S377" s="35" t="n">
        <f>360704.55</f>
        <v>360704.55</v>
      </c>
      <c r="T377" s="32" t="n">
        <f>80702</f>
        <v>80702.0</v>
      </c>
      <c r="U377" s="32" t="n">
        <f>22959</f>
        <v>22959.0</v>
      </c>
      <c r="V377" s="32" t="n">
        <f>28897870377</f>
        <v>2.8897870377E10</v>
      </c>
      <c r="W377" s="32" t="n">
        <f>8195134377</f>
        <v>8.195134377E9</v>
      </c>
      <c r="X377" s="36" t="n">
        <f>22</f>
        <v>22.0</v>
      </c>
    </row>
    <row r="378">
      <c r="A378" s="27" t="s">
        <v>42</v>
      </c>
      <c r="B378" s="27" t="s">
        <v>1187</v>
      </c>
      <c r="C378" s="27" t="s">
        <v>1188</v>
      </c>
      <c r="D378" s="27" t="s">
        <v>1189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132500</f>
        <v>132500.0</v>
      </c>
      <c r="L378" s="34" t="s">
        <v>48</v>
      </c>
      <c r="M378" s="33" t="n">
        <f>134400</f>
        <v>134400.0</v>
      </c>
      <c r="N378" s="34" t="s">
        <v>62</v>
      </c>
      <c r="O378" s="33" t="n">
        <f>126100</f>
        <v>126100.0</v>
      </c>
      <c r="P378" s="34" t="s">
        <v>49</v>
      </c>
      <c r="Q378" s="33" t="n">
        <f>131400</f>
        <v>131400.0</v>
      </c>
      <c r="R378" s="34" t="s">
        <v>51</v>
      </c>
      <c r="S378" s="35" t="n">
        <f>131145.45</f>
        <v>131145.45</v>
      </c>
      <c r="T378" s="32" t="n">
        <f>340372</f>
        <v>340372.0</v>
      </c>
      <c r="U378" s="32" t="n">
        <f>103396</f>
        <v>103396.0</v>
      </c>
      <c r="V378" s="32" t="n">
        <f>44635143234</f>
        <v>4.4635143234E10</v>
      </c>
      <c r="W378" s="32" t="n">
        <f>13548063234</f>
        <v>1.3548063234E10</v>
      </c>
      <c r="X378" s="36" t="n">
        <f>22</f>
        <v>22.0</v>
      </c>
    </row>
    <row r="379">
      <c r="A379" s="27" t="s">
        <v>42</v>
      </c>
      <c r="B379" s="27" t="s">
        <v>1190</v>
      </c>
      <c r="C379" s="27" t="s">
        <v>1191</v>
      </c>
      <c r="D379" s="27" t="s">
        <v>1192</v>
      </c>
      <c r="E379" s="28" t="s">
        <v>46</v>
      </c>
      <c r="F379" s="29" t="s">
        <v>46</v>
      </c>
      <c r="G379" s="30" t="s">
        <v>46</v>
      </c>
      <c r="H379" s="31"/>
      <c r="I379" s="31" t="s">
        <v>47</v>
      </c>
      <c r="J379" s="32" t="n">
        <v>1.0</v>
      </c>
      <c r="K379" s="33" t="n">
        <f>318500</f>
        <v>318500.0</v>
      </c>
      <c r="L379" s="34" t="s">
        <v>48</v>
      </c>
      <c r="M379" s="33" t="n">
        <f>319500</f>
        <v>319500.0</v>
      </c>
      <c r="N379" s="34" t="s">
        <v>48</v>
      </c>
      <c r="O379" s="33" t="n">
        <f>303500</f>
        <v>303500.0</v>
      </c>
      <c r="P379" s="34" t="s">
        <v>220</v>
      </c>
      <c r="Q379" s="33" t="n">
        <f>311500</f>
        <v>311500.0</v>
      </c>
      <c r="R379" s="34" t="s">
        <v>51</v>
      </c>
      <c r="S379" s="35" t="n">
        <f>311181.82</f>
        <v>311181.82</v>
      </c>
      <c r="T379" s="32" t="n">
        <f>66218</f>
        <v>66218.0</v>
      </c>
      <c r="U379" s="32" t="n">
        <f>16536</f>
        <v>16536.0</v>
      </c>
      <c r="V379" s="32" t="n">
        <f>20572895653</f>
        <v>2.0572895653E10</v>
      </c>
      <c r="W379" s="32" t="n">
        <f>5133548153</f>
        <v>5.133548153E9</v>
      </c>
      <c r="X379" s="36" t="n">
        <f>22</f>
        <v>22.0</v>
      </c>
    </row>
    <row r="380">
      <c r="A380" s="27" t="s">
        <v>42</v>
      </c>
      <c r="B380" s="27" t="s">
        <v>1193</v>
      </c>
      <c r="C380" s="27" t="s">
        <v>1194</v>
      </c>
      <c r="D380" s="27" t="s">
        <v>1195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252000</f>
        <v>252000.0</v>
      </c>
      <c r="L380" s="34" t="s">
        <v>48</v>
      </c>
      <c r="M380" s="33" t="n">
        <f>260000</f>
        <v>260000.0</v>
      </c>
      <c r="N380" s="34" t="s">
        <v>108</v>
      </c>
      <c r="O380" s="33" t="n">
        <f>242600</f>
        <v>242600.0</v>
      </c>
      <c r="P380" s="34" t="s">
        <v>50</v>
      </c>
      <c r="Q380" s="33" t="n">
        <f>247100</f>
        <v>247100.0</v>
      </c>
      <c r="R380" s="34" t="s">
        <v>51</v>
      </c>
      <c r="S380" s="35" t="n">
        <f>249031.82</f>
        <v>249031.82</v>
      </c>
      <c r="T380" s="32" t="n">
        <f>174689</f>
        <v>174689.0</v>
      </c>
      <c r="U380" s="32" t="n">
        <f>31357</f>
        <v>31357.0</v>
      </c>
      <c r="V380" s="32" t="n">
        <f>43470626044</f>
        <v>4.3470626044E10</v>
      </c>
      <c r="W380" s="32" t="n">
        <f>7807100944</f>
        <v>7.807100944E9</v>
      </c>
      <c r="X380" s="36" t="n">
        <f>22</f>
        <v>22.0</v>
      </c>
    </row>
    <row r="381">
      <c r="A381" s="27" t="s">
        <v>42</v>
      </c>
      <c r="B381" s="27" t="s">
        <v>1196</v>
      </c>
      <c r="C381" s="27" t="s">
        <v>1197</v>
      </c>
      <c r="D381" s="27" t="s">
        <v>1198</v>
      </c>
      <c r="E381" s="28" t="s">
        <v>46</v>
      </c>
      <c r="F381" s="29" t="s">
        <v>46</v>
      </c>
      <c r="G381" s="30" t="s">
        <v>46</v>
      </c>
      <c r="H381" s="31"/>
      <c r="I381" s="31" t="s">
        <v>47</v>
      </c>
      <c r="J381" s="32" t="n">
        <v>1.0</v>
      </c>
      <c r="K381" s="33" t="n">
        <f>521000</f>
        <v>521000.0</v>
      </c>
      <c r="L381" s="34" t="s">
        <v>48</v>
      </c>
      <c r="M381" s="33" t="n">
        <f>539000</f>
        <v>539000.0</v>
      </c>
      <c r="N381" s="34" t="s">
        <v>108</v>
      </c>
      <c r="O381" s="33" t="n">
        <f>507000</f>
        <v>507000.0</v>
      </c>
      <c r="P381" s="34" t="s">
        <v>70</v>
      </c>
      <c r="Q381" s="33" t="n">
        <f>519000</f>
        <v>519000.0</v>
      </c>
      <c r="R381" s="34" t="s">
        <v>51</v>
      </c>
      <c r="S381" s="35" t="n">
        <f>521136.36</f>
        <v>521136.36</v>
      </c>
      <c r="T381" s="32" t="n">
        <f>18415</f>
        <v>18415.0</v>
      </c>
      <c r="U381" s="32" t="n">
        <f>3706</f>
        <v>3706.0</v>
      </c>
      <c r="V381" s="32" t="n">
        <f>9590658283</f>
        <v>9.590658283E9</v>
      </c>
      <c r="W381" s="32" t="n">
        <f>1931599283</f>
        <v>1.931599283E9</v>
      </c>
      <c r="X381" s="36" t="n">
        <f>22</f>
        <v>22.0</v>
      </c>
    </row>
    <row r="382">
      <c r="A382" s="27" t="s">
        <v>42</v>
      </c>
      <c r="B382" s="27" t="s">
        <v>1199</v>
      </c>
      <c r="C382" s="27" t="s">
        <v>1200</v>
      </c>
      <c r="D382" s="27" t="s">
        <v>1201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1.0</v>
      </c>
      <c r="K382" s="33" t="n">
        <f>256200</f>
        <v>256200.0</v>
      </c>
      <c r="L382" s="34" t="s">
        <v>48</v>
      </c>
      <c r="M382" s="33" t="n">
        <f>262900</f>
        <v>262900.0</v>
      </c>
      <c r="N382" s="34" t="s">
        <v>108</v>
      </c>
      <c r="O382" s="33" t="n">
        <f>250300</f>
        <v>250300.0</v>
      </c>
      <c r="P382" s="34" t="s">
        <v>104</v>
      </c>
      <c r="Q382" s="33" t="n">
        <f>259000</f>
        <v>259000.0</v>
      </c>
      <c r="R382" s="34" t="s">
        <v>51</v>
      </c>
      <c r="S382" s="35" t="n">
        <f>256154.55</f>
        <v>256154.55</v>
      </c>
      <c r="T382" s="32" t="n">
        <f>12413</f>
        <v>12413.0</v>
      </c>
      <c r="U382" s="32" t="n">
        <f>3060</f>
        <v>3060.0</v>
      </c>
      <c r="V382" s="32" t="n">
        <f>3179202125</f>
        <v>3.179202125E9</v>
      </c>
      <c r="W382" s="32" t="n">
        <f>782451625</f>
        <v>7.82451625E8</v>
      </c>
      <c r="X382" s="36" t="n">
        <f>22</f>
        <v>22.0</v>
      </c>
    </row>
    <row r="383">
      <c r="A383" s="27" t="s">
        <v>42</v>
      </c>
      <c r="B383" s="27" t="s">
        <v>1202</v>
      </c>
      <c r="C383" s="27" t="s">
        <v>1203</v>
      </c>
      <c r="D383" s="27" t="s">
        <v>1204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1.0</v>
      </c>
      <c r="K383" s="33" t="n">
        <f>133500</f>
        <v>133500.0</v>
      </c>
      <c r="L383" s="34" t="s">
        <v>48</v>
      </c>
      <c r="M383" s="33" t="n">
        <f>135000</f>
        <v>135000.0</v>
      </c>
      <c r="N383" s="34" t="s">
        <v>220</v>
      </c>
      <c r="O383" s="33" t="n">
        <f>128900</f>
        <v>128900.0</v>
      </c>
      <c r="P383" s="34" t="s">
        <v>51</v>
      </c>
      <c r="Q383" s="33" t="n">
        <f>129600</f>
        <v>129600.0</v>
      </c>
      <c r="R383" s="34" t="s">
        <v>51</v>
      </c>
      <c r="S383" s="35" t="n">
        <f>132368.18</f>
        <v>132368.18</v>
      </c>
      <c r="T383" s="32" t="n">
        <f>125458</f>
        <v>125458.0</v>
      </c>
      <c r="U383" s="32" t="n">
        <f>29490</f>
        <v>29490.0</v>
      </c>
      <c r="V383" s="32" t="n">
        <f>16573744620</f>
        <v>1.657374462E10</v>
      </c>
      <c r="W383" s="32" t="n">
        <f>3893732020</f>
        <v>3.89373202E9</v>
      </c>
      <c r="X383" s="36" t="n">
        <f>22</f>
        <v>22.0</v>
      </c>
    </row>
    <row r="384">
      <c r="A384" s="27" t="s">
        <v>42</v>
      </c>
      <c r="B384" s="27" t="s">
        <v>1205</v>
      </c>
      <c r="C384" s="27" t="s">
        <v>1206</v>
      </c>
      <c r="D384" s="27" t="s">
        <v>1207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145900</f>
        <v>145900.0</v>
      </c>
      <c r="L384" s="34" t="s">
        <v>48</v>
      </c>
      <c r="M384" s="33" t="n">
        <f>146500</f>
        <v>146500.0</v>
      </c>
      <c r="N384" s="34" t="s">
        <v>220</v>
      </c>
      <c r="O384" s="33" t="n">
        <f>141700</f>
        <v>141700.0</v>
      </c>
      <c r="P384" s="34" t="s">
        <v>51</v>
      </c>
      <c r="Q384" s="33" t="n">
        <f>142700</f>
        <v>142700.0</v>
      </c>
      <c r="R384" s="34" t="s">
        <v>51</v>
      </c>
      <c r="S384" s="35" t="n">
        <f>143840.91</f>
        <v>143840.91</v>
      </c>
      <c r="T384" s="32" t="n">
        <f>111902</f>
        <v>111902.0</v>
      </c>
      <c r="U384" s="32" t="n">
        <f>34816</f>
        <v>34816.0</v>
      </c>
      <c r="V384" s="32" t="n">
        <f>16022456132</f>
        <v>1.6022456132E10</v>
      </c>
      <c r="W384" s="32" t="n">
        <f>4971628532</f>
        <v>4.971628532E9</v>
      </c>
      <c r="X384" s="36" t="n">
        <f>22</f>
        <v>22.0</v>
      </c>
    </row>
    <row r="385">
      <c r="A385" s="27" t="s">
        <v>42</v>
      </c>
      <c r="B385" s="27" t="s">
        <v>1208</v>
      </c>
      <c r="C385" s="27" t="s">
        <v>1209</v>
      </c>
      <c r="D385" s="27" t="s">
        <v>1210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330000</f>
        <v>330000.0</v>
      </c>
      <c r="L385" s="34" t="s">
        <v>48</v>
      </c>
      <c r="M385" s="33" t="n">
        <f>336000</f>
        <v>336000.0</v>
      </c>
      <c r="N385" s="34" t="s">
        <v>207</v>
      </c>
      <c r="O385" s="33" t="n">
        <f>325000</f>
        <v>325000.0</v>
      </c>
      <c r="P385" s="34" t="s">
        <v>104</v>
      </c>
      <c r="Q385" s="33" t="n">
        <f>330000</f>
        <v>330000.0</v>
      </c>
      <c r="R385" s="34" t="s">
        <v>51</v>
      </c>
      <c r="S385" s="35" t="n">
        <f>330090.91</f>
        <v>330090.91</v>
      </c>
      <c r="T385" s="32" t="n">
        <f>32621</f>
        <v>32621.0</v>
      </c>
      <c r="U385" s="32" t="n">
        <f>7270</f>
        <v>7270.0</v>
      </c>
      <c r="V385" s="32" t="n">
        <f>10771708519</f>
        <v>1.0771708519E10</v>
      </c>
      <c r="W385" s="32" t="n">
        <f>2401804019</f>
        <v>2.401804019E9</v>
      </c>
      <c r="X385" s="36" t="n">
        <f>22</f>
        <v>22.0</v>
      </c>
    </row>
    <row r="386">
      <c r="A386" s="27" t="s">
        <v>42</v>
      </c>
      <c r="B386" s="27" t="s">
        <v>1211</v>
      </c>
      <c r="C386" s="27" t="s">
        <v>1212</v>
      </c>
      <c r="D386" s="27" t="s">
        <v>1213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1.0</v>
      </c>
      <c r="K386" s="33" t="n">
        <f>79400</f>
        <v>79400.0</v>
      </c>
      <c r="L386" s="34" t="s">
        <v>48</v>
      </c>
      <c r="M386" s="33" t="n">
        <f>81800</f>
        <v>81800.0</v>
      </c>
      <c r="N386" s="34" t="s">
        <v>385</v>
      </c>
      <c r="O386" s="33" t="n">
        <f>77900</f>
        <v>77900.0</v>
      </c>
      <c r="P386" s="34" t="s">
        <v>236</v>
      </c>
      <c r="Q386" s="33" t="n">
        <f>79300</f>
        <v>79300.0</v>
      </c>
      <c r="R386" s="34" t="s">
        <v>51</v>
      </c>
      <c r="S386" s="35" t="n">
        <f>79672.73</f>
        <v>79672.73</v>
      </c>
      <c r="T386" s="32" t="n">
        <f>227094</f>
        <v>227094.0</v>
      </c>
      <c r="U386" s="32" t="n">
        <f>52262</f>
        <v>52262.0</v>
      </c>
      <c r="V386" s="32" t="n">
        <f>18079743636</f>
        <v>1.8079743636E10</v>
      </c>
      <c r="W386" s="32" t="n">
        <f>4151240136</f>
        <v>4.151240136E9</v>
      </c>
      <c r="X386" s="36" t="n">
        <f>22</f>
        <v>22.0</v>
      </c>
    </row>
    <row r="387">
      <c r="A387" s="27" t="s">
        <v>42</v>
      </c>
      <c r="B387" s="27" t="s">
        <v>1214</v>
      </c>
      <c r="C387" s="27" t="s">
        <v>1215</v>
      </c>
      <c r="D387" s="27" t="s">
        <v>1216</v>
      </c>
      <c r="E387" s="28" t="s">
        <v>46</v>
      </c>
      <c r="F387" s="29" t="s">
        <v>46</v>
      </c>
      <c r="G387" s="30" t="s">
        <v>46</v>
      </c>
      <c r="H387" s="31"/>
      <c r="I387" s="31" t="s">
        <v>425</v>
      </c>
      <c r="J387" s="32" t="n">
        <v>1.0</v>
      </c>
      <c r="K387" s="33" t="n">
        <f>139200</f>
        <v>139200.0</v>
      </c>
      <c r="L387" s="34" t="s">
        <v>48</v>
      </c>
      <c r="M387" s="33" t="n">
        <f>142100</f>
        <v>142100.0</v>
      </c>
      <c r="N387" s="34" t="s">
        <v>51</v>
      </c>
      <c r="O387" s="33" t="n">
        <f>136900</f>
        <v>136900.0</v>
      </c>
      <c r="P387" s="34" t="s">
        <v>70</v>
      </c>
      <c r="Q387" s="33" t="n">
        <f>141600</f>
        <v>141600.0</v>
      </c>
      <c r="R387" s="34" t="s">
        <v>51</v>
      </c>
      <c r="S387" s="35" t="n">
        <f>139027.27</f>
        <v>139027.27</v>
      </c>
      <c r="T387" s="32" t="n">
        <f>20630</f>
        <v>20630.0</v>
      </c>
      <c r="U387" s="32" t="n">
        <f>4636</f>
        <v>4636.0</v>
      </c>
      <c r="V387" s="32" t="n">
        <f>2874855464</f>
        <v>2.874855464E9</v>
      </c>
      <c r="W387" s="32" t="n">
        <f>647993464</f>
        <v>6.47993464E8</v>
      </c>
      <c r="X387" s="36" t="n">
        <f>22</f>
        <v>22.0</v>
      </c>
    </row>
    <row r="388">
      <c r="A388" s="27" t="s">
        <v>42</v>
      </c>
      <c r="B388" s="27" t="s">
        <v>1217</v>
      </c>
      <c r="C388" s="27" t="s">
        <v>1218</v>
      </c>
      <c r="D388" s="27" t="s">
        <v>1219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129200</f>
        <v>129200.0</v>
      </c>
      <c r="L388" s="34" t="s">
        <v>48</v>
      </c>
      <c r="M388" s="33" t="n">
        <f>129400</f>
        <v>129400.0</v>
      </c>
      <c r="N388" s="34" t="s">
        <v>48</v>
      </c>
      <c r="O388" s="33" t="n">
        <f>122000</f>
        <v>122000.0</v>
      </c>
      <c r="P388" s="34" t="s">
        <v>51</v>
      </c>
      <c r="Q388" s="33" t="n">
        <f>124400</f>
        <v>124400.0</v>
      </c>
      <c r="R388" s="34" t="s">
        <v>51</v>
      </c>
      <c r="S388" s="35" t="n">
        <f>127081.82</f>
        <v>127081.82</v>
      </c>
      <c r="T388" s="32" t="n">
        <f>26777</f>
        <v>26777.0</v>
      </c>
      <c r="U388" s="32" t="n">
        <f>3998</f>
        <v>3998.0</v>
      </c>
      <c r="V388" s="32" t="n">
        <f>3382015328</f>
        <v>3.382015328E9</v>
      </c>
      <c r="W388" s="32" t="n">
        <f>507086528</f>
        <v>5.07086528E8</v>
      </c>
      <c r="X388" s="36" t="n">
        <f>22</f>
        <v>22.0</v>
      </c>
    </row>
    <row r="389">
      <c r="A389" s="27" t="s">
        <v>42</v>
      </c>
      <c r="B389" s="27" t="s">
        <v>1220</v>
      </c>
      <c r="C389" s="27" t="s">
        <v>1221</v>
      </c>
      <c r="D389" s="27" t="s">
        <v>1222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105800</f>
        <v>105800.0</v>
      </c>
      <c r="L389" s="34" t="s">
        <v>48</v>
      </c>
      <c r="M389" s="33" t="n">
        <f>106600</f>
        <v>106600.0</v>
      </c>
      <c r="N389" s="34" t="s">
        <v>108</v>
      </c>
      <c r="O389" s="33" t="n">
        <f>102200</f>
        <v>102200.0</v>
      </c>
      <c r="P389" s="34" t="s">
        <v>351</v>
      </c>
      <c r="Q389" s="33" t="n">
        <f>102600</f>
        <v>102600.0</v>
      </c>
      <c r="R389" s="34" t="s">
        <v>51</v>
      </c>
      <c r="S389" s="35" t="n">
        <f>104740.91</f>
        <v>104740.91</v>
      </c>
      <c r="T389" s="32" t="n">
        <f>20479</f>
        <v>20479.0</v>
      </c>
      <c r="U389" s="32" t="n">
        <f>2741</f>
        <v>2741.0</v>
      </c>
      <c r="V389" s="32" t="n">
        <f>2142662515</f>
        <v>2.142662515E9</v>
      </c>
      <c r="W389" s="32" t="n">
        <f>286338315</f>
        <v>2.86338315E8</v>
      </c>
      <c r="X389" s="36" t="n">
        <f>22</f>
        <v>22.0</v>
      </c>
    </row>
    <row r="390">
      <c r="A390" s="27" t="s">
        <v>42</v>
      </c>
      <c r="B390" s="27" t="s">
        <v>1223</v>
      </c>
      <c r="C390" s="27" t="s">
        <v>1224</v>
      </c>
      <c r="D390" s="27" t="s">
        <v>1225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143500</f>
        <v>143500.0</v>
      </c>
      <c r="L390" s="34" t="s">
        <v>48</v>
      </c>
      <c r="M390" s="33" t="n">
        <f>151700</f>
        <v>151700.0</v>
      </c>
      <c r="N390" s="34" t="s">
        <v>108</v>
      </c>
      <c r="O390" s="33" t="n">
        <f>139500</f>
        <v>139500.0</v>
      </c>
      <c r="P390" s="34" t="s">
        <v>70</v>
      </c>
      <c r="Q390" s="33" t="n">
        <f>147700</f>
        <v>147700.0</v>
      </c>
      <c r="R390" s="34" t="s">
        <v>51</v>
      </c>
      <c r="S390" s="35" t="n">
        <f>145636.36</f>
        <v>145636.36</v>
      </c>
      <c r="T390" s="32" t="n">
        <f>458245</f>
        <v>458245.0</v>
      </c>
      <c r="U390" s="32" t="n">
        <f>114615</f>
        <v>114615.0</v>
      </c>
      <c r="V390" s="32" t="n">
        <f>66871037021</f>
        <v>6.6871037021E10</v>
      </c>
      <c r="W390" s="32" t="n">
        <f>16694150521</f>
        <v>1.6694150521E10</v>
      </c>
      <c r="X390" s="36" t="n">
        <f>22</f>
        <v>22.0</v>
      </c>
    </row>
    <row r="391">
      <c r="A391" s="27" t="s">
        <v>42</v>
      </c>
      <c r="B391" s="27" t="s">
        <v>1226</v>
      </c>
      <c r="C391" s="27" t="s">
        <v>1227</v>
      </c>
      <c r="D391" s="27" t="s">
        <v>1228</v>
      </c>
      <c r="E391" s="28" t="s">
        <v>46</v>
      </c>
      <c r="F391" s="29" t="s">
        <v>46</v>
      </c>
      <c r="G391" s="30" t="s">
        <v>46</v>
      </c>
      <c r="H391" s="31"/>
      <c r="I391" s="31" t="s">
        <v>425</v>
      </c>
      <c r="J391" s="32" t="n">
        <v>1.0</v>
      </c>
      <c r="K391" s="33" t="n">
        <f>111400</f>
        <v>111400.0</v>
      </c>
      <c r="L391" s="34" t="s">
        <v>48</v>
      </c>
      <c r="M391" s="33" t="n">
        <f>114000</f>
        <v>114000.0</v>
      </c>
      <c r="N391" s="34" t="s">
        <v>49</v>
      </c>
      <c r="O391" s="33" t="n">
        <f>104900</f>
        <v>104900.0</v>
      </c>
      <c r="P391" s="34" t="s">
        <v>351</v>
      </c>
      <c r="Q391" s="33" t="n">
        <f>106000</f>
        <v>106000.0</v>
      </c>
      <c r="R391" s="34" t="s">
        <v>51</v>
      </c>
      <c r="S391" s="35" t="n">
        <f>110322.73</f>
        <v>110322.73</v>
      </c>
      <c r="T391" s="32" t="n">
        <f>38979</f>
        <v>38979.0</v>
      </c>
      <c r="U391" s="32" t="n">
        <f>4118</f>
        <v>4118.0</v>
      </c>
      <c r="V391" s="32" t="n">
        <f>4273442967</f>
        <v>4.273442967E9</v>
      </c>
      <c r="W391" s="32" t="n">
        <f>453207967</f>
        <v>4.53207967E8</v>
      </c>
      <c r="X391" s="36" t="n">
        <f>22</f>
        <v>22.0</v>
      </c>
    </row>
    <row r="392">
      <c r="A392" s="27" t="s">
        <v>42</v>
      </c>
      <c r="B392" s="27" t="s">
        <v>1229</v>
      </c>
      <c r="C392" s="27" t="s">
        <v>1230</v>
      </c>
      <c r="D392" s="27" t="s">
        <v>1231</v>
      </c>
      <c r="E392" s="28" t="s">
        <v>46</v>
      </c>
      <c r="F392" s="29" t="s">
        <v>46</v>
      </c>
      <c r="G392" s="30" t="s">
        <v>46</v>
      </c>
      <c r="H392" s="31"/>
      <c r="I392" s="31" t="s">
        <v>47</v>
      </c>
      <c r="J392" s="32" t="n">
        <v>1.0</v>
      </c>
      <c r="K392" s="33" t="n">
        <f>147700</f>
        <v>147700.0</v>
      </c>
      <c r="L392" s="34" t="s">
        <v>48</v>
      </c>
      <c r="M392" s="33" t="n">
        <f>150800</f>
        <v>150800.0</v>
      </c>
      <c r="N392" s="34" t="s">
        <v>91</v>
      </c>
      <c r="O392" s="33" t="n">
        <f>143100</f>
        <v>143100.0</v>
      </c>
      <c r="P392" s="34" t="s">
        <v>49</v>
      </c>
      <c r="Q392" s="33" t="n">
        <f>148200</f>
        <v>148200.0</v>
      </c>
      <c r="R392" s="34" t="s">
        <v>51</v>
      </c>
      <c r="S392" s="35" t="n">
        <f>146731.82</f>
        <v>146731.82</v>
      </c>
      <c r="T392" s="32" t="n">
        <f>107783</f>
        <v>107783.0</v>
      </c>
      <c r="U392" s="32" t="n">
        <f>24723</f>
        <v>24723.0</v>
      </c>
      <c r="V392" s="32" t="n">
        <f>15824841523</f>
        <v>1.5824841523E10</v>
      </c>
      <c r="W392" s="32" t="n">
        <f>3629783223</f>
        <v>3.629783223E9</v>
      </c>
      <c r="X392" s="36" t="n">
        <f>22</f>
        <v>22.0</v>
      </c>
    </row>
    <row r="393">
      <c r="A393" s="27" t="s">
        <v>42</v>
      </c>
      <c r="B393" s="27" t="s">
        <v>1232</v>
      </c>
      <c r="C393" s="27" t="s">
        <v>1233</v>
      </c>
      <c r="D393" s="27" t="s">
        <v>1234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59800</f>
        <v>59800.0</v>
      </c>
      <c r="L393" s="34" t="s">
        <v>48</v>
      </c>
      <c r="M393" s="33" t="n">
        <f>60000</f>
        <v>60000.0</v>
      </c>
      <c r="N393" s="34" t="s">
        <v>220</v>
      </c>
      <c r="O393" s="33" t="n">
        <f>55500</f>
        <v>55500.0</v>
      </c>
      <c r="P393" s="34" t="s">
        <v>351</v>
      </c>
      <c r="Q393" s="33" t="n">
        <f>56800</f>
        <v>56800.0</v>
      </c>
      <c r="R393" s="34" t="s">
        <v>51</v>
      </c>
      <c r="S393" s="35" t="n">
        <f>58509.09</f>
        <v>58509.09</v>
      </c>
      <c r="T393" s="32" t="n">
        <f>235090</f>
        <v>235090.0</v>
      </c>
      <c r="U393" s="32" t="n">
        <f>66469</f>
        <v>66469.0</v>
      </c>
      <c r="V393" s="32" t="n">
        <f>13608145790</f>
        <v>1.360814579E10</v>
      </c>
      <c r="W393" s="32" t="n">
        <f>3831648490</f>
        <v>3.83164849E9</v>
      </c>
      <c r="X393" s="36" t="n">
        <f>22</f>
        <v>22.0</v>
      </c>
    </row>
    <row r="394">
      <c r="A394" s="27" t="s">
        <v>42</v>
      </c>
      <c r="B394" s="27" t="s">
        <v>1235</v>
      </c>
      <c r="C394" s="27" t="s">
        <v>1236</v>
      </c>
      <c r="D394" s="27" t="s">
        <v>1237</v>
      </c>
      <c r="E394" s="28" t="s">
        <v>46</v>
      </c>
      <c r="F394" s="29" t="s">
        <v>46</v>
      </c>
      <c r="G394" s="30" t="s">
        <v>46</v>
      </c>
      <c r="H394" s="31"/>
      <c r="I394" s="31" t="s">
        <v>425</v>
      </c>
      <c r="J394" s="32" t="n">
        <v>1.0</v>
      </c>
      <c r="K394" s="33" t="n">
        <f>125700</f>
        <v>125700.0</v>
      </c>
      <c r="L394" s="34" t="s">
        <v>48</v>
      </c>
      <c r="M394" s="33" t="n">
        <f>127800</f>
        <v>127800.0</v>
      </c>
      <c r="N394" s="34" t="s">
        <v>71</v>
      </c>
      <c r="O394" s="33" t="n">
        <f>123500</f>
        <v>123500.0</v>
      </c>
      <c r="P394" s="34" t="s">
        <v>112</v>
      </c>
      <c r="Q394" s="33" t="n">
        <f>127300</f>
        <v>127300.0</v>
      </c>
      <c r="R394" s="34" t="s">
        <v>51</v>
      </c>
      <c r="S394" s="35" t="n">
        <f>125286.36</f>
        <v>125286.36</v>
      </c>
      <c r="T394" s="32" t="n">
        <f>13386</f>
        <v>13386.0</v>
      </c>
      <c r="U394" s="32" t="n">
        <f>1785</f>
        <v>1785.0</v>
      </c>
      <c r="V394" s="32" t="n">
        <f>1675652932</f>
        <v>1.675652932E9</v>
      </c>
      <c r="W394" s="32" t="n">
        <f>223547532</f>
        <v>2.23547532E8</v>
      </c>
      <c r="X394" s="36" t="n">
        <f>22</f>
        <v>22.0</v>
      </c>
    </row>
    <row r="395">
      <c r="A395" s="27" t="s">
        <v>42</v>
      </c>
      <c r="B395" s="27" t="s">
        <v>1238</v>
      </c>
      <c r="C395" s="27" t="s">
        <v>1239</v>
      </c>
      <c r="D395" s="27" t="s">
        <v>1240</v>
      </c>
      <c r="E395" s="28" t="s">
        <v>46</v>
      </c>
      <c r="F395" s="29" t="s">
        <v>46</v>
      </c>
      <c r="G395" s="30" t="s">
        <v>46</v>
      </c>
      <c r="H395" s="31"/>
      <c r="I395" s="31" t="s">
        <v>47</v>
      </c>
      <c r="J395" s="32" t="n">
        <v>1.0</v>
      </c>
      <c r="K395" s="33" t="n">
        <f>434500</f>
        <v>434500.0</v>
      </c>
      <c r="L395" s="34" t="s">
        <v>48</v>
      </c>
      <c r="M395" s="33" t="n">
        <f>441000</f>
        <v>441000.0</v>
      </c>
      <c r="N395" s="34" t="s">
        <v>207</v>
      </c>
      <c r="O395" s="33" t="n">
        <f>415000</f>
        <v>415000.0</v>
      </c>
      <c r="P395" s="34" t="s">
        <v>351</v>
      </c>
      <c r="Q395" s="33" t="n">
        <f>422500</f>
        <v>422500.0</v>
      </c>
      <c r="R395" s="34" t="s">
        <v>51</v>
      </c>
      <c r="S395" s="35" t="n">
        <f>428431.82</f>
        <v>428431.82</v>
      </c>
      <c r="T395" s="32" t="n">
        <f>45665</f>
        <v>45665.0</v>
      </c>
      <c r="U395" s="32" t="n">
        <f>10372</f>
        <v>10372.0</v>
      </c>
      <c r="V395" s="32" t="n">
        <f>19522014598</f>
        <v>1.9522014598E10</v>
      </c>
      <c r="W395" s="32" t="n">
        <f>4439552598</f>
        <v>4.439552598E9</v>
      </c>
      <c r="X395" s="36" t="n">
        <f>22</f>
        <v>22.0</v>
      </c>
    </row>
    <row r="396">
      <c r="A396" s="27" t="s">
        <v>42</v>
      </c>
      <c r="B396" s="27" t="s">
        <v>1241</v>
      </c>
      <c r="C396" s="27" t="s">
        <v>1242</v>
      </c>
      <c r="D396" s="27" t="s">
        <v>1243</v>
      </c>
      <c r="E396" s="28" t="s">
        <v>46</v>
      </c>
      <c r="F396" s="29" t="s">
        <v>46</v>
      </c>
      <c r="G396" s="30" t="s">
        <v>46</v>
      </c>
      <c r="H396" s="31"/>
      <c r="I396" s="31" t="s">
        <v>425</v>
      </c>
      <c r="J396" s="32" t="n">
        <v>1.0</v>
      </c>
      <c r="K396" s="33" t="n">
        <f>77500</f>
        <v>77500.0</v>
      </c>
      <c r="L396" s="34" t="s">
        <v>48</v>
      </c>
      <c r="M396" s="33" t="n">
        <f>77700</f>
        <v>77700.0</v>
      </c>
      <c r="N396" s="34" t="s">
        <v>71</v>
      </c>
      <c r="O396" s="33" t="n">
        <f>72800</f>
        <v>72800.0</v>
      </c>
      <c r="P396" s="34" t="s">
        <v>62</v>
      </c>
      <c r="Q396" s="33" t="n">
        <f>76400</f>
        <v>76400.0</v>
      </c>
      <c r="R396" s="34" t="s">
        <v>51</v>
      </c>
      <c r="S396" s="35" t="n">
        <f>74872.73</f>
        <v>74872.73</v>
      </c>
      <c r="T396" s="32" t="n">
        <f>21098</f>
        <v>21098.0</v>
      </c>
      <c r="U396" s="32" t="n">
        <f>5438</f>
        <v>5438.0</v>
      </c>
      <c r="V396" s="32" t="n">
        <f>1591282848</f>
        <v>1.591282848E9</v>
      </c>
      <c r="W396" s="32" t="n">
        <f>412945148</f>
        <v>4.12945148E8</v>
      </c>
      <c r="X396" s="36" t="n">
        <f>22</f>
        <v>22.0</v>
      </c>
    </row>
    <row r="397">
      <c r="A397" s="27" t="s">
        <v>42</v>
      </c>
      <c r="B397" s="27" t="s">
        <v>1244</v>
      </c>
      <c r="C397" s="27" t="s">
        <v>1245</v>
      </c>
      <c r="D397" s="27" t="s">
        <v>1246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44850</f>
        <v>44850.0</v>
      </c>
      <c r="L397" s="34" t="s">
        <v>48</v>
      </c>
      <c r="M397" s="33" t="n">
        <f>45300</f>
        <v>45300.0</v>
      </c>
      <c r="N397" s="34" t="s">
        <v>108</v>
      </c>
      <c r="O397" s="33" t="n">
        <f>44050</f>
        <v>44050.0</v>
      </c>
      <c r="P397" s="34" t="s">
        <v>70</v>
      </c>
      <c r="Q397" s="33" t="n">
        <f>44700</f>
        <v>44700.0</v>
      </c>
      <c r="R397" s="34" t="s">
        <v>51</v>
      </c>
      <c r="S397" s="35" t="n">
        <f>44456.82</f>
        <v>44456.82</v>
      </c>
      <c r="T397" s="32" t="n">
        <f>85683</f>
        <v>85683.0</v>
      </c>
      <c r="U397" s="32" t="n">
        <f>18977</f>
        <v>18977.0</v>
      </c>
      <c r="V397" s="32" t="n">
        <f>3809345103</f>
        <v>3.809345103E9</v>
      </c>
      <c r="W397" s="32" t="n">
        <f>843277403</f>
        <v>8.43277403E8</v>
      </c>
      <c r="X397" s="36" t="n">
        <f>22</f>
        <v>22.0</v>
      </c>
    </row>
    <row r="398">
      <c r="A398" s="27" t="s">
        <v>42</v>
      </c>
      <c r="B398" s="27" t="s">
        <v>1247</v>
      </c>
      <c r="C398" s="27" t="s">
        <v>1248</v>
      </c>
      <c r="D398" s="27" t="s">
        <v>1249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382500</f>
        <v>382500.0</v>
      </c>
      <c r="L398" s="34" t="s">
        <v>48</v>
      </c>
      <c r="M398" s="33" t="n">
        <f>387000</f>
        <v>387000.0</v>
      </c>
      <c r="N398" s="34" t="s">
        <v>108</v>
      </c>
      <c r="O398" s="33" t="n">
        <f>368000</f>
        <v>368000.0</v>
      </c>
      <c r="P398" s="34" t="s">
        <v>112</v>
      </c>
      <c r="Q398" s="33" t="n">
        <f>378500</f>
        <v>378500.0</v>
      </c>
      <c r="R398" s="34" t="s">
        <v>51</v>
      </c>
      <c r="S398" s="35" t="n">
        <f>378045.45</f>
        <v>378045.45</v>
      </c>
      <c r="T398" s="32" t="n">
        <f>34229</f>
        <v>34229.0</v>
      </c>
      <c r="U398" s="32" t="n">
        <f>6435</f>
        <v>6435.0</v>
      </c>
      <c r="V398" s="32" t="n">
        <f>12936917824</f>
        <v>1.2936917824E10</v>
      </c>
      <c r="W398" s="32" t="n">
        <f>2429661824</f>
        <v>2.429661824E9</v>
      </c>
      <c r="X398" s="36" t="n">
        <f>22</f>
        <v>22.0</v>
      </c>
    </row>
    <row r="399">
      <c r="A399" s="27" t="s">
        <v>42</v>
      </c>
      <c r="B399" s="27" t="s">
        <v>1250</v>
      </c>
      <c r="C399" s="27" t="s">
        <v>1251</v>
      </c>
      <c r="D399" s="27" t="s">
        <v>1252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142800</f>
        <v>142800.0</v>
      </c>
      <c r="L399" s="34" t="s">
        <v>48</v>
      </c>
      <c r="M399" s="33" t="n">
        <f>145800</f>
        <v>145800.0</v>
      </c>
      <c r="N399" s="34" t="s">
        <v>351</v>
      </c>
      <c r="O399" s="33" t="n">
        <f>138600</f>
        <v>138600.0</v>
      </c>
      <c r="P399" s="34" t="s">
        <v>112</v>
      </c>
      <c r="Q399" s="33" t="n">
        <f>144400</f>
        <v>144400.0</v>
      </c>
      <c r="R399" s="34" t="s">
        <v>51</v>
      </c>
      <c r="S399" s="35" t="n">
        <f>142168.18</f>
        <v>142168.18</v>
      </c>
      <c r="T399" s="32" t="n">
        <f>69837</f>
        <v>69837.0</v>
      </c>
      <c r="U399" s="32" t="n">
        <f>15044</f>
        <v>15044.0</v>
      </c>
      <c r="V399" s="32" t="n">
        <f>9925258921</f>
        <v>9.925258921E9</v>
      </c>
      <c r="W399" s="32" t="n">
        <f>2138030921</f>
        <v>2.138030921E9</v>
      </c>
      <c r="X399" s="36" t="n">
        <f>22</f>
        <v>22.0</v>
      </c>
    </row>
    <row r="400">
      <c r="A400" s="27" t="s">
        <v>42</v>
      </c>
      <c r="B400" s="27" t="s">
        <v>1253</v>
      </c>
      <c r="C400" s="27" t="s">
        <v>1254</v>
      </c>
      <c r="D400" s="27" t="s">
        <v>1255</v>
      </c>
      <c r="E400" s="28" t="s">
        <v>46</v>
      </c>
      <c r="F400" s="29" t="s">
        <v>46</v>
      </c>
      <c r="G400" s="30" t="s">
        <v>46</v>
      </c>
      <c r="H400" s="31"/>
      <c r="I400" s="31" t="s">
        <v>425</v>
      </c>
      <c r="J400" s="32" t="n">
        <v>1.0</v>
      </c>
      <c r="K400" s="33" t="n">
        <f>119500</f>
        <v>119500.0</v>
      </c>
      <c r="L400" s="34" t="s">
        <v>48</v>
      </c>
      <c r="M400" s="33" t="n">
        <f>121400</f>
        <v>121400.0</v>
      </c>
      <c r="N400" s="34" t="s">
        <v>351</v>
      </c>
      <c r="O400" s="33" t="n">
        <f>116200</f>
        <v>116200.0</v>
      </c>
      <c r="P400" s="34" t="s">
        <v>112</v>
      </c>
      <c r="Q400" s="33" t="n">
        <f>120800</f>
        <v>120800.0</v>
      </c>
      <c r="R400" s="34" t="s">
        <v>51</v>
      </c>
      <c r="S400" s="35" t="n">
        <f>118645.45</f>
        <v>118645.45</v>
      </c>
      <c r="T400" s="32" t="n">
        <f>19311</f>
        <v>19311.0</v>
      </c>
      <c r="U400" s="32" t="n">
        <f>5884</f>
        <v>5884.0</v>
      </c>
      <c r="V400" s="32" t="n">
        <f>2296576914</f>
        <v>2.296576914E9</v>
      </c>
      <c r="W400" s="32" t="n">
        <f>700968414</f>
        <v>7.00968414E8</v>
      </c>
      <c r="X400" s="36" t="n">
        <f>22</f>
        <v>22.0</v>
      </c>
    </row>
    <row r="401">
      <c r="A401" s="27" t="s">
        <v>42</v>
      </c>
      <c r="B401" s="27" t="s">
        <v>1256</v>
      </c>
      <c r="C401" s="27" t="s">
        <v>1257</v>
      </c>
      <c r="D401" s="27" t="s">
        <v>1258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99800</f>
        <v>99800.0</v>
      </c>
      <c r="L401" s="34" t="s">
        <v>48</v>
      </c>
      <c r="M401" s="33" t="n">
        <f>101000</f>
        <v>101000.0</v>
      </c>
      <c r="N401" s="34" t="s">
        <v>108</v>
      </c>
      <c r="O401" s="33" t="n">
        <f>97600</f>
        <v>97600.0</v>
      </c>
      <c r="P401" s="34" t="s">
        <v>70</v>
      </c>
      <c r="Q401" s="33" t="n">
        <f>99900</f>
        <v>99900.0</v>
      </c>
      <c r="R401" s="34" t="s">
        <v>51</v>
      </c>
      <c r="S401" s="35" t="n">
        <f>99104.55</f>
        <v>99104.55</v>
      </c>
      <c r="T401" s="32" t="n">
        <f>73536</f>
        <v>73536.0</v>
      </c>
      <c r="U401" s="32" t="n">
        <f>17567</f>
        <v>17567.0</v>
      </c>
      <c r="V401" s="32" t="n">
        <f>7296082677</f>
        <v>7.296082677E9</v>
      </c>
      <c r="W401" s="32" t="n">
        <f>1747640377</f>
        <v>1.747640377E9</v>
      </c>
      <c r="X401" s="36" t="n">
        <f>22</f>
        <v>22.0</v>
      </c>
    </row>
    <row r="402">
      <c r="A402" s="27" t="s">
        <v>42</v>
      </c>
      <c r="B402" s="27" t="s">
        <v>1259</v>
      </c>
      <c r="C402" s="27" t="s">
        <v>1260</v>
      </c>
      <c r="D402" s="27" t="s">
        <v>1261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120500</f>
        <v>120500.0</v>
      </c>
      <c r="L402" s="34" t="s">
        <v>48</v>
      </c>
      <c r="M402" s="33" t="n">
        <f>122800</f>
        <v>122800.0</v>
      </c>
      <c r="N402" s="34" t="s">
        <v>220</v>
      </c>
      <c r="O402" s="33" t="n">
        <f>117100</f>
        <v>117100.0</v>
      </c>
      <c r="P402" s="34" t="s">
        <v>71</v>
      </c>
      <c r="Q402" s="33" t="n">
        <f>119500</f>
        <v>119500.0</v>
      </c>
      <c r="R402" s="34" t="s">
        <v>51</v>
      </c>
      <c r="S402" s="35" t="n">
        <f>119763.64</f>
        <v>119763.64</v>
      </c>
      <c r="T402" s="32" t="n">
        <f>41544</f>
        <v>41544.0</v>
      </c>
      <c r="U402" s="32" t="n">
        <f>11507</f>
        <v>11507.0</v>
      </c>
      <c r="V402" s="32" t="n">
        <f>4969162380</f>
        <v>4.96916238E9</v>
      </c>
      <c r="W402" s="32" t="n">
        <f>1375103280</f>
        <v>1.37510328E9</v>
      </c>
      <c r="X402" s="36" t="n">
        <f>22</f>
        <v>22.0</v>
      </c>
    </row>
    <row r="403">
      <c r="A403" s="27" t="s">
        <v>42</v>
      </c>
      <c r="B403" s="27" t="s">
        <v>1262</v>
      </c>
      <c r="C403" s="27" t="s">
        <v>1263</v>
      </c>
      <c r="D403" s="27" t="s">
        <v>1264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564000</f>
        <v>564000.0</v>
      </c>
      <c r="L403" s="34" t="s">
        <v>48</v>
      </c>
      <c r="M403" s="33" t="n">
        <f>586000</f>
        <v>586000.0</v>
      </c>
      <c r="N403" s="34" t="s">
        <v>207</v>
      </c>
      <c r="O403" s="33" t="n">
        <f>554000</f>
        <v>554000.0</v>
      </c>
      <c r="P403" s="34" t="s">
        <v>112</v>
      </c>
      <c r="Q403" s="33" t="n">
        <f>579000</f>
        <v>579000.0</v>
      </c>
      <c r="R403" s="34" t="s">
        <v>51</v>
      </c>
      <c r="S403" s="35" t="n">
        <f>571000</f>
        <v>571000.0</v>
      </c>
      <c r="T403" s="32" t="n">
        <f>119698</f>
        <v>119698.0</v>
      </c>
      <c r="U403" s="32" t="n">
        <f>25261</f>
        <v>25261.0</v>
      </c>
      <c r="V403" s="32" t="n">
        <f>68334485667</f>
        <v>6.8334485667E10</v>
      </c>
      <c r="W403" s="32" t="n">
        <f>14424658667</f>
        <v>1.4424658667E10</v>
      </c>
      <c r="X403" s="36" t="n">
        <f>22</f>
        <v>22.0</v>
      </c>
    </row>
    <row r="404">
      <c r="A404" s="27" t="s">
        <v>42</v>
      </c>
      <c r="B404" s="27" t="s">
        <v>1265</v>
      </c>
      <c r="C404" s="27" t="s">
        <v>1266</v>
      </c>
      <c r="D404" s="27" t="s">
        <v>1267</v>
      </c>
      <c r="E404" s="28" t="s">
        <v>46</v>
      </c>
      <c r="F404" s="29" t="s">
        <v>46</v>
      </c>
      <c r="G404" s="30" t="s">
        <v>46</v>
      </c>
      <c r="H404" s="31"/>
      <c r="I404" s="31" t="s">
        <v>47</v>
      </c>
      <c r="J404" s="32" t="n">
        <v>1.0</v>
      </c>
      <c r="K404" s="33" t="n">
        <f>511000</f>
        <v>511000.0</v>
      </c>
      <c r="L404" s="34" t="s">
        <v>48</v>
      </c>
      <c r="M404" s="33" t="n">
        <f>536000</f>
        <v>536000.0</v>
      </c>
      <c r="N404" s="34" t="s">
        <v>108</v>
      </c>
      <c r="O404" s="33" t="n">
        <f>502000</f>
        <v>502000.0</v>
      </c>
      <c r="P404" s="34" t="s">
        <v>48</v>
      </c>
      <c r="Q404" s="33" t="n">
        <f>520000</f>
        <v>520000.0</v>
      </c>
      <c r="R404" s="34" t="s">
        <v>51</v>
      </c>
      <c r="S404" s="35" t="n">
        <f>515272.73</f>
        <v>515272.73</v>
      </c>
      <c r="T404" s="32" t="n">
        <f>140642</f>
        <v>140642.0</v>
      </c>
      <c r="U404" s="32" t="n">
        <f>29050</f>
        <v>29050.0</v>
      </c>
      <c r="V404" s="32" t="n">
        <f>72541291401</f>
        <v>7.2541291401E10</v>
      </c>
      <c r="W404" s="32" t="n">
        <f>14969103401</f>
        <v>1.4969103401E10</v>
      </c>
      <c r="X404" s="36" t="n">
        <f>22</f>
        <v>22.0</v>
      </c>
    </row>
    <row r="405">
      <c r="A405" s="27" t="s">
        <v>42</v>
      </c>
      <c r="B405" s="27" t="s">
        <v>1268</v>
      </c>
      <c r="C405" s="27" t="s">
        <v>1269</v>
      </c>
      <c r="D405" s="27" t="s">
        <v>1270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91300</f>
        <v>91300.0</v>
      </c>
      <c r="L405" s="34" t="s">
        <v>48</v>
      </c>
      <c r="M405" s="33" t="n">
        <f>94600</f>
        <v>94600.0</v>
      </c>
      <c r="N405" s="34" t="s">
        <v>51</v>
      </c>
      <c r="O405" s="33" t="n">
        <f>88300</f>
        <v>88300.0</v>
      </c>
      <c r="P405" s="34" t="s">
        <v>598</v>
      </c>
      <c r="Q405" s="33" t="n">
        <f>93600</f>
        <v>93600.0</v>
      </c>
      <c r="R405" s="34" t="s">
        <v>51</v>
      </c>
      <c r="S405" s="35" t="n">
        <f>90304.55</f>
        <v>90304.55</v>
      </c>
      <c r="T405" s="32" t="n">
        <f>617946</f>
        <v>617946.0</v>
      </c>
      <c r="U405" s="32" t="n">
        <f>206429</f>
        <v>206429.0</v>
      </c>
      <c r="V405" s="32" t="n">
        <f>56002283811</f>
        <v>5.6002283811E10</v>
      </c>
      <c r="W405" s="32" t="n">
        <f>18736709211</f>
        <v>1.8736709211E10</v>
      </c>
      <c r="X405" s="36" t="n">
        <f>22</f>
        <v>22.0</v>
      </c>
    </row>
    <row r="406">
      <c r="A406" s="27" t="s">
        <v>42</v>
      </c>
      <c r="B406" s="27" t="s">
        <v>1271</v>
      </c>
      <c r="C406" s="27" t="s">
        <v>1272</v>
      </c>
      <c r="D406" s="27" t="s">
        <v>1273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160500</f>
        <v>160500.0</v>
      </c>
      <c r="L406" s="34" t="s">
        <v>48</v>
      </c>
      <c r="M406" s="33" t="n">
        <f>160500</f>
        <v>160500.0</v>
      </c>
      <c r="N406" s="34" t="s">
        <v>48</v>
      </c>
      <c r="O406" s="33" t="n">
        <f>154600</f>
        <v>154600.0</v>
      </c>
      <c r="P406" s="34" t="s">
        <v>50</v>
      </c>
      <c r="Q406" s="33" t="n">
        <f>156100</f>
        <v>156100.0</v>
      </c>
      <c r="R406" s="34" t="s">
        <v>51</v>
      </c>
      <c r="S406" s="35" t="n">
        <f>157336.36</f>
        <v>157336.36</v>
      </c>
      <c r="T406" s="32" t="n">
        <f>151639</f>
        <v>151639.0</v>
      </c>
      <c r="U406" s="32" t="n">
        <f>35756</f>
        <v>35756.0</v>
      </c>
      <c r="V406" s="32" t="n">
        <f>23827626569</f>
        <v>2.3827626569E10</v>
      </c>
      <c r="W406" s="32" t="n">
        <f>5620735869</f>
        <v>5.620735869E9</v>
      </c>
      <c r="X406" s="36" t="n">
        <f>22</f>
        <v>22.0</v>
      </c>
    </row>
    <row r="407">
      <c r="A407" s="27" t="s">
        <v>42</v>
      </c>
      <c r="B407" s="27" t="s">
        <v>1274</v>
      </c>
      <c r="C407" s="27" t="s">
        <v>1275</v>
      </c>
      <c r="D407" s="27" t="s">
        <v>1276</v>
      </c>
      <c r="E407" s="28" t="s">
        <v>46</v>
      </c>
      <c r="F407" s="29" t="s">
        <v>46</v>
      </c>
      <c r="G407" s="30" t="s">
        <v>46</v>
      </c>
      <c r="H407" s="31"/>
      <c r="I407" s="31" t="s">
        <v>47</v>
      </c>
      <c r="J407" s="32" t="n">
        <v>1.0</v>
      </c>
      <c r="K407" s="33" t="n">
        <f>323000</f>
        <v>323000.0</v>
      </c>
      <c r="L407" s="34" t="s">
        <v>48</v>
      </c>
      <c r="M407" s="33" t="n">
        <f>334000</f>
        <v>334000.0</v>
      </c>
      <c r="N407" s="34" t="s">
        <v>108</v>
      </c>
      <c r="O407" s="33" t="n">
        <f>318000</f>
        <v>318000.0</v>
      </c>
      <c r="P407" s="34" t="s">
        <v>104</v>
      </c>
      <c r="Q407" s="33" t="n">
        <f>326500</f>
        <v>326500.0</v>
      </c>
      <c r="R407" s="34" t="s">
        <v>51</v>
      </c>
      <c r="S407" s="35" t="n">
        <f>324681.82</f>
        <v>324681.82</v>
      </c>
      <c r="T407" s="32" t="n">
        <f>60247</f>
        <v>60247.0</v>
      </c>
      <c r="U407" s="32" t="n">
        <f>27294</f>
        <v>27294.0</v>
      </c>
      <c r="V407" s="32" t="n">
        <f>19649899667</f>
        <v>1.9649899667E10</v>
      </c>
      <c r="W407" s="32" t="n">
        <f>8944749667</f>
        <v>8.944749667E9</v>
      </c>
      <c r="X407" s="36" t="n">
        <f>22</f>
        <v>22.0</v>
      </c>
    </row>
    <row r="408">
      <c r="A408" s="27" t="s">
        <v>42</v>
      </c>
      <c r="B408" s="27" t="s">
        <v>1277</v>
      </c>
      <c r="C408" s="27" t="s">
        <v>1278</v>
      </c>
      <c r="D408" s="27" t="s">
        <v>1279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116100</f>
        <v>116100.0</v>
      </c>
      <c r="L408" s="34" t="s">
        <v>48</v>
      </c>
      <c r="M408" s="33" t="n">
        <f>118300</f>
        <v>118300.0</v>
      </c>
      <c r="N408" s="34" t="s">
        <v>108</v>
      </c>
      <c r="O408" s="33" t="n">
        <f>113800</f>
        <v>113800.0</v>
      </c>
      <c r="P408" s="34" t="s">
        <v>112</v>
      </c>
      <c r="Q408" s="33" t="n">
        <f>116200</f>
        <v>116200.0</v>
      </c>
      <c r="R408" s="34" t="s">
        <v>51</v>
      </c>
      <c r="S408" s="35" t="n">
        <f>115595.45</f>
        <v>115595.45</v>
      </c>
      <c r="T408" s="32" t="n">
        <f>68410</f>
        <v>68410.0</v>
      </c>
      <c r="U408" s="32" t="n">
        <f>17036</f>
        <v>17036.0</v>
      </c>
      <c r="V408" s="32" t="n">
        <f>7909588888</f>
        <v>7.909588888E9</v>
      </c>
      <c r="W408" s="32" t="n">
        <f>1971457188</f>
        <v>1.971457188E9</v>
      </c>
      <c r="X408" s="36" t="n">
        <f>22</f>
        <v>22.0</v>
      </c>
    </row>
    <row r="409">
      <c r="A409" s="27" t="s">
        <v>42</v>
      </c>
      <c r="B409" s="27" t="s">
        <v>1280</v>
      </c>
      <c r="C409" s="27" t="s">
        <v>1281</v>
      </c>
      <c r="D409" s="27" t="s">
        <v>1282</v>
      </c>
      <c r="E409" s="28" t="s">
        <v>46</v>
      </c>
      <c r="F409" s="29" t="s">
        <v>46</v>
      </c>
      <c r="G409" s="30" t="s">
        <v>46</v>
      </c>
      <c r="H409" s="31"/>
      <c r="I409" s="31" t="s">
        <v>47</v>
      </c>
      <c r="J409" s="32" t="n">
        <v>1.0</v>
      </c>
      <c r="K409" s="33" t="n">
        <f>156600</f>
        <v>156600.0</v>
      </c>
      <c r="L409" s="34" t="s">
        <v>48</v>
      </c>
      <c r="M409" s="33" t="n">
        <f>159100</f>
        <v>159100.0</v>
      </c>
      <c r="N409" s="34" t="s">
        <v>108</v>
      </c>
      <c r="O409" s="33" t="n">
        <f>151100</f>
        <v>151100.0</v>
      </c>
      <c r="P409" s="34" t="s">
        <v>51</v>
      </c>
      <c r="Q409" s="33" t="n">
        <f>151700</f>
        <v>151700.0</v>
      </c>
      <c r="R409" s="34" t="s">
        <v>51</v>
      </c>
      <c r="S409" s="35" t="n">
        <f>155018.18</f>
        <v>155018.18</v>
      </c>
      <c r="T409" s="32" t="n">
        <f>66837</f>
        <v>66837.0</v>
      </c>
      <c r="U409" s="32" t="n">
        <f>11478</f>
        <v>11478.0</v>
      </c>
      <c r="V409" s="32" t="n">
        <f>10360778208</f>
        <v>1.0360778208E10</v>
      </c>
      <c r="W409" s="32" t="n">
        <f>1782392908</f>
        <v>1.782392908E9</v>
      </c>
      <c r="X409" s="36" t="n">
        <f>22</f>
        <v>22.0</v>
      </c>
    </row>
    <row r="410">
      <c r="A410" s="27" t="s">
        <v>42</v>
      </c>
      <c r="B410" s="27" t="s">
        <v>1283</v>
      </c>
      <c r="C410" s="27" t="s">
        <v>1284</v>
      </c>
      <c r="D410" s="27" t="s">
        <v>1285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101900</f>
        <v>101900.0</v>
      </c>
      <c r="L410" s="34" t="s">
        <v>48</v>
      </c>
      <c r="M410" s="33" t="n">
        <f>103200</f>
        <v>103200.0</v>
      </c>
      <c r="N410" s="34" t="s">
        <v>108</v>
      </c>
      <c r="O410" s="33" t="n">
        <f>100000</f>
        <v>100000.0</v>
      </c>
      <c r="P410" s="34" t="s">
        <v>112</v>
      </c>
      <c r="Q410" s="33" t="n">
        <f>101200</f>
        <v>101200.0</v>
      </c>
      <c r="R410" s="34" t="s">
        <v>51</v>
      </c>
      <c r="S410" s="35" t="n">
        <f>101081.82</f>
        <v>101081.82</v>
      </c>
      <c r="T410" s="32" t="n">
        <f>79387</f>
        <v>79387.0</v>
      </c>
      <c r="U410" s="32" t="n">
        <f>15032</f>
        <v>15032.0</v>
      </c>
      <c r="V410" s="32" t="n">
        <f>8039598906</f>
        <v>8.039598906E9</v>
      </c>
      <c r="W410" s="32" t="n">
        <f>1521322206</f>
        <v>1.521322206E9</v>
      </c>
      <c r="X410" s="36" t="n">
        <f>22</f>
        <v>22.0</v>
      </c>
    </row>
    <row r="411">
      <c r="A411" s="27" t="s">
        <v>42</v>
      </c>
      <c r="B411" s="27" t="s">
        <v>1286</v>
      </c>
      <c r="C411" s="27" t="s">
        <v>1287</v>
      </c>
      <c r="D411" s="27" t="s">
        <v>1288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143100</f>
        <v>143100.0</v>
      </c>
      <c r="L411" s="34" t="s">
        <v>48</v>
      </c>
      <c r="M411" s="33" t="n">
        <f>146200</f>
        <v>146200.0</v>
      </c>
      <c r="N411" s="34" t="s">
        <v>108</v>
      </c>
      <c r="O411" s="33" t="n">
        <f>140900</f>
        <v>140900.0</v>
      </c>
      <c r="P411" s="34" t="s">
        <v>104</v>
      </c>
      <c r="Q411" s="33" t="n">
        <f>143400</f>
        <v>143400.0</v>
      </c>
      <c r="R411" s="34" t="s">
        <v>51</v>
      </c>
      <c r="S411" s="35" t="n">
        <f>143204.55</f>
        <v>143204.55</v>
      </c>
      <c r="T411" s="32" t="n">
        <f>197051</f>
        <v>197051.0</v>
      </c>
      <c r="U411" s="32" t="n">
        <f>54118</f>
        <v>54118.0</v>
      </c>
      <c r="V411" s="32" t="n">
        <f>28185155581</f>
        <v>2.8185155581E10</v>
      </c>
      <c r="W411" s="32" t="n">
        <f>7739628181</f>
        <v>7.739628181E9</v>
      </c>
      <c r="X411" s="36" t="n">
        <f>22</f>
        <v>22.0</v>
      </c>
    </row>
    <row r="412">
      <c r="A412" s="27" t="s">
        <v>42</v>
      </c>
      <c r="B412" s="27" t="s">
        <v>1289</v>
      </c>
      <c r="C412" s="27" t="s">
        <v>1290</v>
      </c>
      <c r="D412" s="27" t="s">
        <v>1291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69800</f>
        <v>69800.0</v>
      </c>
      <c r="L412" s="34" t="s">
        <v>48</v>
      </c>
      <c r="M412" s="33" t="n">
        <f>71300</f>
        <v>71300.0</v>
      </c>
      <c r="N412" s="34" t="s">
        <v>108</v>
      </c>
      <c r="O412" s="33" t="n">
        <f>68200</f>
        <v>68200.0</v>
      </c>
      <c r="P412" s="34" t="s">
        <v>48</v>
      </c>
      <c r="Q412" s="33" t="n">
        <f>69800</f>
        <v>69800.0</v>
      </c>
      <c r="R412" s="34" t="s">
        <v>51</v>
      </c>
      <c r="S412" s="35" t="n">
        <f>69559.09</f>
        <v>69559.09</v>
      </c>
      <c r="T412" s="32" t="n">
        <f>125685</f>
        <v>125685.0</v>
      </c>
      <c r="U412" s="32" t="n">
        <f>34127</f>
        <v>34127.0</v>
      </c>
      <c r="V412" s="32" t="n">
        <f>8734421128</f>
        <v>8.734421128E9</v>
      </c>
      <c r="W412" s="32" t="n">
        <f>2368633128</f>
        <v>2.368633128E9</v>
      </c>
      <c r="X412" s="36" t="n">
        <f>22</f>
        <v>22.0</v>
      </c>
    </row>
    <row r="413">
      <c r="A413" s="27" t="s">
        <v>42</v>
      </c>
      <c r="B413" s="27" t="s">
        <v>1292</v>
      </c>
      <c r="C413" s="27" t="s">
        <v>1293</v>
      </c>
      <c r="D413" s="27" t="s">
        <v>1294</v>
      </c>
      <c r="E413" s="28" t="s">
        <v>46</v>
      </c>
      <c r="F413" s="29" t="s">
        <v>46</v>
      </c>
      <c r="G413" s="30" t="s">
        <v>46</v>
      </c>
      <c r="H413" s="31"/>
      <c r="I413" s="31" t="s">
        <v>47</v>
      </c>
      <c r="J413" s="32" t="n">
        <v>1.0</v>
      </c>
      <c r="K413" s="33" t="n">
        <f>65800</f>
        <v>65800.0</v>
      </c>
      <c r="L413" s="34" t="s">
        <v>48</v>
      </c>
      <c r="M413" s="33" t="n">
        <f>69800</f>
        <v>69800.0</v>
      </c>
      <c r="N413" s="34" t="s">
        <v>108</v>
      </c>
      <c r="O413" s="33" t="n">
        <f>63600</f>
        <v>63600.0</v>
      </c>
      <c r="P413" s="34" t="s">
        <v>91</v>
      </c>
      <c r="Q413" s="33" t="n">
        <f>68100</f>
        <v>68100.0</v>
      </c>
      <c r="R413" s="34" t="s">
        <v>51</v>
      </c>
      <c r="S413" s="35" t="n">
        <f>66700</f>
        <v>66700.0</v>
      </c>
      <c r="T413" s="32" t="n">
        <f>1780217</f>
        <v>1780217.0</v>
      </c>
      <c r="U413" s="32" t="n">
        <f>369935</f>
        <v>369935.0</v>
      </c>
      <c r="V413" s="32" t="n">
        <f>117739506731</f>
        <v>1.17739506731E11</v>
      </c>
      <c r="W413" s="32" t="n">
        <f>24628379931</f>
        <v>2.4628379931E10</v>
      </c>
      <c r="X413" s="36" t="n">
        <f>22</f>
        <v>22.0</v>
      </c>
    </row>
    <row r="414">
      <c r="A414" s="27" t="s">
        <v>42</v>
      </c>
      <c r="B414" s="27" t="s">
        <v>1295</v>
      </c>
      <c r="C414" s="27" t="s">
        <v>1296</v>
      </c>
      <c r="D414" s="27" t="s">
        <v>1297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440000</f>
        <v>440000.0</v>
      </c>
      <c r="L414" s="34" t="s">
        <v>48</v>
      </c>
      <c r="M414" s="33" t="n">
        <f>443500</f>
        <v>443500.0</v>
      </c>
      <c r="N414" s="34" t="s">
        <v>108</v>
      </c>
      <c r="O414" s="33" t="n">
        <f>428000</f>
        <v>428000.0</v>
      </c>
      <c r="P414" s="34" t="s">
        <v>49</v>
      </c>
      <c r="Q414" s="33" t="n">
        <f>434500</f>
        <v>434500.0</v>
      </c>
      <c r="R414" s="34" t="s">
        <v>51</v>
      </c>
      <c r="S414" s="35" t="n">
        <f>434295.45</f>
        <v>434295.45</v>
      </c>
      <c r="T414" s="32" t="n">
        <f>27635</f>
        <v>27635.0</v>
      </c>
      <c r="U414" s="32" t="n">
        <f>6228</f>
        <v>6228.0</v>
      </c>
      <c r="V414" s="32" t="n">
        <f>11997291396</f>
        <v>1.1997291396E10</v>
      </c>
      <c r="W414" s="32" t="n">
        <f>2703141396</f>
        <v>2.703141396E9</v>
      </c>
      <c r="X414" s="36" t="n">
        <f>22</f>
        <v>22.0</v>
      </c>
    </row>
    <row r="415">
      <c r="A415" s="27" t="s">
        <v>42</v>
      </c>
      <c r="B415" s="27" t="s">
        <v>1298</v>
      </c>
      <c r="C415" s="27" t="s">
        <v>1299</v>
      </c>
      <c r="D415" s="27" t="s">
        <v>1300</v>
      </c>
      <c r="E415" s="28" t="s">
        <v>46</v>
      </c>
      <c r="F415" s="29" t="s">
        <v>46</v>
      </c>
      <c r="G415" s="30" t="s">
        <v>46</v>
      </c>
      <c r="H415" s="31"/>
      <c r="I415" s="31" t="s">
        <v>47</v>
      </c>
      <c r="J415" s="32" t="n">
        <v>1.0</v>
      </c>
      <c r="K415" s="33" t="n">
        <f>132400</f>
        <v>132400.0</v>
      </c>
      <c r="L415" s="34" t="s">
        <v>48</v>
      </c>
      <c r="M415" s="33" t="n">
        <f>134700</f>
        <v>134700.0</v>
      </c>
      <c r="N415" s="34" t="s">
        <v>108</v>
      </c>
      <c r="O415" s="33" t="n">
        <f>129500</f>
        <v>129500.0</v>
      </c>
      <c r="P415" s="34" t="s">
        <v>70</v>
      </c>
      <c r="Q415" s="33" t="n">
        <f>131200</f>
        <v>131200.0</v>
      </c>
      <c r="R415" s="34" t="s">
        <v>51</v>
      </c>
      <c r="S415" s="35" t="n">
        <f>131454.55</f>
        <v>131454.55</v>
      </c>
      <c r="T415" s="32" t="n">
        <f>105769</f>
        <v>105769.0</v>
      </c>
      <c r="U415" s="32" t="n">
        <f>31057</f>
        <v>31057.0</v>
      </c>
      <c r="V415" s="32" t="n">
        <f>13896898459</f>
        <v>1.3896898459E10</v>
      </c>
      <c r="W415" s="32" t="n">
        <f>4080555259</f>
        <v>4.080555259E9</v>
      </c>
      <c r="X415" s="36" t="n">
        <f>22</f>
        <v>22.0</v>
      </c>
    </row>
    <row r="416">
      <c r="A416" s="27" t="s">
        <v>42</v>
      </c>
      <c r="B416" s="27" t="s">
        <v>1301</v>
      </c>
      <c r="C416" s="27" t="s">
        <v>1302</v>
      </c>
      <c r="D416" s="27" t="s">
        <v>1303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266200</f>
        <v>266200.0</v>
      </c>
      <c r="L416" s="34" t="s">
        <v>48</v>
      </c>
      <c r="M416" s="33" t="n">
        <f>269800</f>
        <v>269800.0</v>
      </c>
      <c r="N416" s="34" t="s">
        <v>207</v>
      </c>
      <c r="O416" s="33" t="n">
        <f>251200</f>
        <v>251200.0</v>
      </c>
      <c r="P416" s="34" t="s">
        <v>351</v>
      </c>
      <c r="Q416" s="33" t="n">
        <f>256200</f>
        <v>256200.0</v>
      </c>
      <c r="R416" s="34" t="s">
        <v>51</v>
      </c>
      <c r="S416" s="35" t="n">
        <f>262427.27</f>
        <v>262427.27</v>
      </c>
      <c r="T416" s="32" t="n">
        <f>85350</f>
        <v>85350.0</v>
      </c>
      <c r="U416" s="32" t="n">
        <f>29508</f>
        <v>29508.0</v>
      </c>
      <c r="V416" s="32" t="n">
        <f>22194158703</f>
        <v>2.2194158703E10</v>
      </c>
      <c r="W416" s="32" t="n">
        <f>7649390903</f>
        <v>7.649390903E9</v>
      </c>
      <c r="X416" s="36" t="n">
        <f>22</f>
        <v>22.0</v>
      </c>
    </row>
    <row r="417">
      <c r="A417" s="27" t="s">
        <v>42</v>
      </c>
      <c r="B417" s="27" t="s">
        <v>1304</v>
      </c>
      <c r="C417" s="27" t="s">
        <v>1305</v>
      </c>
      <c r="D417" s="27" t="s">
        <v>1306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158000</f>
        <v>158000.0</v>
      </c>
      <c r="L417" s="34" t="s">
        <v>48</v>
      </c>
      <c r="M417" s="33" t="n">
        <f>161300</f>
        <v>161300.0</v>
      </c>
      <c r="N417" s="34" t="s">
        <v>108</v>
      </c>
      <c r="O417" s="33" t="n">
        <f>155400</f>
        <v>155400.0</v>
      </c>
      <c r="P417" s="34" t="s">
        <v>70</v>
      </c>
      <c r="Q417" s="33" t="n">
        <f>156800</f>
        <v>156800.0</v>
      </c>
      <c r="R417" s="34" t="s">
        <v>51</v>
      </c>
      <c r="S417" s="35" t="n">
        <f>157927.27</f>
        <v>157927.27</v>
      </c>
      <c r="T417" s="32" t="n">
        <f>35971</f>
        <v>35971.0</v>
      </c>
      <c r="U417" s="32" t="n">
        <f>9062</f>
        <v>9062.0</v>
      </c>
      <c r="V417" s="32" t="n">
        <f>5675643833</f>
        <v>5.675643833E9</v>
      </c>
      <c r="W417" s="32" t="n">
        <f>1430374133</f>
        <v>1.430374133E9</v>
      </c>
      <c r="X417" s="36" t="n">
        <f>22</f>
        <v>22.0</v>
      </c>
    </row>
    <row r="418">
      <c r="A418" s="27" t="s">
        <v>42</v>
      </c>
      <c r="B418" s="27" t="s">
        <v>1307</v>
      </c>
      <c r="C418" s="27" t="s">
        <v>1308</v>
      </c>
      <c r="D418" s="27" t="s">
        <v>1309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157300</f>
        <v>157300.0</v>
      </c>
      <c r="L418" s="34" t="s">
        <v>48</v>
      </c>
      <c r="M418" s="33" t="n">
        <f>158300</f>
        <v>158300.0</v>
      </c>
      <c r="N418" s="34" t="s">
        <v>90</v>
      </c>
      <c r="O418" s="33" t="n">
        <f>151600</f>
        <v>151600.0</v>
      </c>
      <c r="P418" s="34" t="s">
        <v>112</v>
      </c>
      <c r="Q418" s="33" t="n">
        <f>154600</f>
        <v>154600.0</v>
      </c>
      <c r="R418" s="34" t="s">
        <v>51</v>
      </c>
      <c r="S418" s="35" t="n">
        <f>154586.36</f>
        <v>154586.36</v>
      </c>
      <c r="T418" s="32" t="n">
        <f>360622</f>
        <v>360622.0</v>
      </c>
      <c r="U418" s="32" t="n">
        <f>101043</f>
        <v>101043.0</v>
      </c>
      <c r="V418" s="32" t="n">
        <f>55727243951</f>
        <v>5.5727243951E10</v>
      </c>
      <c r="W418" s="32" t="n">
        <f>15605058051</f>
        <v>1.5605058051E10</v>
      </c>
      <c r="X418" s="36" t="n">
        <f>22</f>
        <v>22.0</v>
      </c>
    </row>
    <row r="419">
      <c r="A419" s="27" t="s">
        <v>42</v>
      </c>
      <c r="B419" s="27" t="s">
        <v>1310</v>
      </c>
      <c r="C419" s="27" t="s">
        <v>1311</v>
      </c>
      <c r="D419" s="27" t="s">
        <v>1312</v>
      </c>
      <c r="E419" s="28" t="s">
        <v>46</v>
      </c>
      <c r="F419" s="29" t="s">
        <v>46</v>
      </c>
      <c r="G419" s="30" t="s">
        <v>46</v>
      </c>
      <c r="H419" s="31"/>
      <c r="I419" s="31" t="s">
        <v>47</v>
      </c>
      <c r="J419" s="32" t="n">
        <v>1.0</v>
      </c>
      <c r="K419" s="33" t="n">
        <f>83000</f>
        <v>83000.0</v>
      </c>
      <c r="L419" s="34" t="s">
        <v>48</v>
      </c>
      <c r="M419" s="33" t="n">
        <f>84200</f>
        <v>84200.0</v>
      </c>
      <c r="N419" s="34" t="s">
        <v>108</v>
      </c>
      <c r="O419" s="33" t="n">
        <f>81100</f>
        <v>81100.0</v>
      </c>
      <c r="P419" s="34" t="s">
        <v>112</v>
      </c>
      <c r="Q419" s="33" t="n">
        <f>83800</f>
        <v>83800.0</v>
      </c>
      <c r="R419" s="34" t="s">
        <v>51</v>
      </c>
      <c r="S419" s="35" t="n">
        <f>82313.64</f>
        <v>82313.64</v>
      </c>
      <c r="T419" s="32" t="n">
        <f>173131</f>
        <v>173131.0</v>
      </c>
      <c r="U419" s="32" t="n">
        <f>62736</f>
        <v>62736.0</v>
      </c>
      <c r="V419" s="32" t="n">
        <f>14217207802</f>
        <v>1.4217207802E10</v>
      </c>
      <c r="W419" s="32" t="n">
        <f>5141708202</f>
        <v>5.141708202E9</v>
      </c>
      <c r="X419" s="36" t="n">
        <f>22</f>
        <v>22.0</v>
      </c>
    </row>
    <row r="420">
      <c r="A420" s="27" t="s">
        <v>42</v>
      </c>
      <c r="B420" s="27" t="s">
        <v>1313</v>
      </c>
      <c r="C420" s="27" t="s">
        <v>1314</v>
      </c>
      <c r="D420" s="27" t="s">
        <v>1315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1.0</v>
      </c>
      <c r="K420" s="33" t="n">
        <f>284000</f>
        <v>284000.0</v>
      </c>
      <c r="L420" s="34" t="s">
        <v>48</v>
      </c>
      <c r="M420" s="33" t="n">
        <f>299600</f>
        <v>299600.0</v>
      </c>
      <c r="N420" s="34" t="s">
        <v>62</v>
      </c>
      <c r="O420" s="33" t="n">
        <f>280800</f>
        <v>280800.0</v>
      </c>
      <c r="P420" s="34" t="s">
        <v>70</v>
      </c>
      <c r="Q420" s="33" t="n">
        <f>293400</f>
        <v>293400.0</v>
      </c>
      <c r="R420" s="34" t="s">
        <v>51</v>
      </c>
      <c r="S420" s="35" t="n">
        <f>290181.82</f>
        <v>290181.82</v>
      </c>
      <c r="T420" s="32" t="n">
        <f>53055</f>
        <v>53055.0</v>
      </c>
      <c r="U420" s="32" t="n">
        <f>10174</f>
        <v>10174.0</v>
      </c>
      <c r="V420" s="32" t="n">
        <f>15389542629</f>
        <v>1.5389542629E10</v>
      </c>
      <c r="W420" s="32" t="n">
        <f>2944902829</f>
        <v>2.944902829E9</v>
      </c>
      <c r="X420" s="36" t="n">
        <f>22</f>
        <v>22.0</v>
      </c>
    </row>
    <row r="421">
      <c r="A421" s="27" t="s">
        <v>42</v>
      </c>
      <c r="B421" s="27" t="s">
        <v>1316</v>
      </c>
      <c r="C421" s="27" t="s">
        <v>1317</v>
      </c>
      <c r="D421" s="27" t="s">
        <v>1318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132400</f>
        <v>132400.0</v>
      </c>
      <c r="L421" s="34" t="s">
        <v>48</v>
      </c>
      <c r="M421" s="33" t="n">
        <f>134900</f>
        <v>134900.0</v>
      </c>
      <c r="N421" s="34" t="s">
        <v>108</v>
      </c>
      <c r="O421" s="33" t="n">
        <f>129700</f>
        <v>129700.0</v>
      </c>
      <c r="P421" s="34" t="s">
        <v>70</v>
      </c>
      <c r="Q421" s="33" t="n">
        <f>133100</f>
        <v>133100.0</v>
      </c>
      <c r="R421" s="34" t="s">
        <v>51</v>
      </c>
      <c r="S421" s="35" t="n">
        <f>132277.27</f>
        <v>132277.27</v>
      </c>
      <c r="T421" s="32" t="n">
        <f>33658</f>
        <v>33658.0</v>
      </c>
      <c r="U421" s="32" t="n">
        <f>8739</f>
        <v>8739.0</v>
      </c>
      <c r="V421" s="32" t="n">
        <f>4445986260</f>
        <v>4.44598626E9</v>
      </c>
      <c r="W421" s="32" t="n">
        <f>1155194160</f>
        <v>1.15519416E9</v>
      </c>
      <c r="X421" s="36" t="n">
        <f>22</f>
        <v>22.0</v>
      </c>
    </row>
    <row r="422">
      <c r="A422" s="27" t="s">
        <v>42</v>
      </c>
      <c r="B422" s="27" t="s">
        <v>1319</v>
      </c>
      <c r="C422" s="27" t="s">
        <v>1320</v>
      </c>
      <c r="D422" s="27" t="s">
        <v>1321</v>
      </c>
      <c r="E422" s="28" t="s">
        <v>46</v>
      </c>
      <c r="F422" s="29" t="s">
        <v>46</v>
      </c>
      <c r="G422" s="30" t="s">
        <v>46</v>
      </c>
      <c r="H422" s="31"/>
      <c r="I422" s="31" t="s">
        <v>425</v>
      </c>
      <c r="J422" s="32" t="n">
        <v>1.0</v>
      </c>
      <c r="K422" s="33" t="n">
        <f>199700</f>
        <v>199700.0</v>
      </c>
      <c r="L422" s="34" t="s">
        <v>48</v>
      </c>
      <c r="M422" s="33" t="n">
        <f>203200</f>
        <v>203200.0</v>
      </c>
      <c r="N422" s="34" t="s">
        <v>48</v>
      </c>
      <c r="O422" s="33" t="n">
        <f>192500</f>
        <v>192500.0</v>
      </c>
      <c r="P422" s="34" t="s">
        <v>71</v>
      </c>
      <c r="Q422" s="33" t="n">
        <f>194500</f>
        <v>194500.0</v>
      </c>
      <c r="R422" s="34" t="s">
        <v>51</v>
      </c>
      <c r="S422" s="35" t="n">
        <f>195627.27</f>
        <v>195627.27</v>
      </c>
      <c r="T422" s="32" t="n">
        <f>12912</f>
        <v>12912.0</v>
      </c>
      <c r="U422" s="32" t="n">
        <f>2533</f>
        <v>2533.0</v>
      </c>
      <c r="V422" s="32" t="n">
        <f>2528185826</f>
        <v>2.528185826E9</v>
      </c>
      <c r="W422" s="32" t="n">
        <f>496273526</f>
        <v>4.96273526E8</v>
      </c>
      <c r="X422" s="36" t="n">
        <f>22</f>
        <v>22.0</v>
      </c>
    </row>
    <row r="423">
      <c r="A423" s="27" t="s">
        <v>42</v>
      </c>
      <c r="B423" s="27" t="s">
        <v>1322</v>
      </c>
      <c r="C423" s="27" t="s">
        <v>1323</v>
      </c>
      <c r="D423" s="27" t="s">
        <v>1324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247300</f>
        <v>247300.0</v>
      </c>
      <c r="L423" s="34" t="s">
        <v>48</v>
      </c>
      <c r="M423" s="33" t="n">
        <f>247300</f>
        <v>247300.0</v>
      </c>
      <c r="N423" s="34" t="s">
        <v>48</v>
      </c>
      <c r="O423" s="33" t="n">
        <f>238700</f>
        <v>238700.0</v>
      </c>
      <c r="P423" s="34" t="s">
        <v>71</v>
      </c>
      <c r="Q423" s="33" t="n">
        <f>242100</f>
        <v>242100.0</v>
      </c>
      <c r="R423" s="34" t="s">
        <v>51</v>
      </c>
      <c r="S423" s="35" t="n">
        <f>243268.18</f>
        <v>243268.18</v>
      </c>
      <c r="T423" s="32" t="n">
        <f>135273</f>
        <v>135273.0</v>
      </c>
      <c r="U423" s="32" t="n">
        <f>27954</f>
        <v>27954.0</v>
      </c>
      <c r="V423" s="32" t="n">
        <f>32889441646</f>
        <v>3.2889441646E10</v>
      </c>
      <c r="W423" s="32" t="n">
        <f>6797742846</f>
        <v>6.797742846E9</v>
      </c>
      <c r="X423" s="36" t="n">
        <f>22</f>
        <v>22.0</v>
      </c>
    </row>
    <row r="424">
      <c r="A424" s="27" t="s">
        <v>42</v>
      </c>
      <c r="B424" s="27" t="s">
        <v>1325</v>
      </c>
      <c r="C424" s="27" t="s">
        <v>1326</v>
      </c>
      <c r="D424" s="27" t="s">
        <v>1327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78300</f>
        <v>78300.0</v>
      </c>
      <c r="L424" s="34" t="s">
        <v>48</v>
      </c>
      <c r="M424" s="33" t="n">
        <f>81000</f>
        <v>81000.0</v>
      </c>
      <c r="N424" s="34" t="s">
        <v>49</v>
      </c>
      <c r="O424" s="33" t="n">
        <f>75400</f>
        <v>75400.0</v>
      </c>
      <c r="P424" s="34" t="s">
        <v>50</v>
      </c>
      <c r="Q424" s="33" t="n">
        <f>76800</f>
        <v>76800.0</v>
      </c>
      <c r="R424" s="34" t="s">
        <v>51</v>
      </c>
      <c r="S424" s="35" t="n">
        <f>78145.45</f>
        <v>78145.45</v>
      </c>
      <c r="T424" s="32" t="n">
        <f>892967</f>
        <v>892967.0</v>
      </c>
      <c r="U424" s="32" t="n">
        <f>221493</f>
        <v>221493.0</v>
      </c>
      <c r="V424" s="32" t="n">
        <f>70180862441</f>
        <v>7.0180862441E10</v>
      </c>
      <c r="W424" s="32" t="n">
        <f>17446533741</f>
        <v>1.7446533741E10</v>
      </c>
      <c r="X424" s="36" t="n">
        <f>22</f>
        <v>22.0</v>
      </c>
    </row>
    <row r="425">
      <c r="A425" s="27" t="s">
        <v>42</v>
      </c>
      <c r="B425" s="27" t="s">
        <v>1328</v>
      </c>
      <c r="C425" s="27" t="s">
        <v>1329</v>
      </c>
      <c r="D425" s="27" t="s">
        <v>1330</v>
      </c>
      <c r="E425" s="28" t="s">
        <v>46</v>
      </c>
      <c r="F425" s="29" t="s">
        <v>46</v>
      </c>
      <c r="G425" s="30" t="s">
        <v>46</v>
      </c>
      <c r="H425" s="31"/>
      <c r="I425" s="31" t="s">
        <v>47</v>
      </c>
      <c r="J425" s="32" t="n">
        <v>1.0</v>
      </c>
      <c r="K425" s="33" t="n">
        <f>105200</f>
        <v>105200.0</v>
      </c>
      <c r="L425" s="34" t="s">
        <v>48</v>
      </c>
      <c r="M425" s="33" t="n">
        <f>105200</f>
        <v>105200.0</v>
      </c>
      <c r="N425" s="34" t="s">
        <v>48</v>
      </c>
      <c r="O425" s="33" t="n">
        <f>100000</f>
        <v>100000.0</v>
      </c>
      <c r="P425" s="34" t="s">
        <v>749</v>
      </c>
      <c r="Q425" s="33" t="n">
        <f>101900</f>
        <v>101900.0</v>
      </c>
      <c r="R425" s="34" t="s">
        <v>51</v>
      </c>
      <c r="S425" s="35" t="n">
        <f>101954.55</f>
        <v>101954.55</v>
      </c>
      <c r="T425" s="32" t="n">
        <f>99509</f>
        <v>99509.0</v>
      </c>
      <c r="U425" s="32" t="n">
        <f>24938</f>
        <v>24938.0</v>
      </c>
      <c r="V425" s="32" t="n">
        <f>10144162090</f>
        <v>1.014416209E10</v>
      </c>
      <c r="W425" s="32" t="n">
        <f>2543011490</f>
        <v>2.54301149E9</v>
      </c>
      <c r="X425" s="36" t="n">
        <f>22</f>
        <v>22.0</v>
      </c>
    </row>
    <row r="426">
      <c r="A426" s="27" t="s">
        <v>42</v>
      </c>
      <c r="B426" s="27" t="s">
        <v>1331</v>
      </c>
      <c r="C426" s="27" t="s">
        <v>1332</v>
      </c>
      <c r="D426" s="27" t="s">
        <v>1333</v>
      </c>
      <c r="E426" s="28" t="s">
        <v>46</v>
      </c>
      <c r="F426" s="29" t="s">
        <v>46</v>
      </c>
      <c r="G426" s="30" t="s">
        <v>46</v>
      </c>
      <c r="H426" s="31"/>
      <c r="I426" s="31" t="s">
        <v>47</v>
      </c>
      <c r="J426" s="32" t="n">
        <v>1.0</v>
      </c>
      <c r="K426" s="33" t="n">
        <f>118700</f>
        <v>118700.0</v>
      </c>
      <c r="L426" s="34" t="s">
        <v>48</v>
      </c>
      <c r="M426" s="33" t="n">
        <f>121500</f>
        <v>121500.0</v>
      </c>
      <c r="N426" s="34" t="s">
        <v>108</v>
      </c>
      <c r="O426" s="33" t="n">
        <f>116700</f>
        <v>116700.0</v>
      </c>
      <c r="P426" s="34" t="s">
        <v>70</v>
      </c>
      <c r="Q426" s="33" t="n">
        <f>119400</f>
        <v>119400.0</v>
      </c>
      <c r="R426" s="34" t="s">
        <v>51</v>
      </c>
      <c r="S426" s="35" t="n">
        <f>118790.91</f>
        <v>118790.91</v>
      </c>
      <c r="T426" s="32" t="n">
        <f>70727</f>
        <v>70727.0</v>
      </c>
      <c r="U426" s="32" t="n">
        <f>16788</f>
        <v>16788.0</v>
      </c>
      <c r="V426" s="32" t="n">
        <f>8394990732</f>
        <v>8.394990732E9</v>
      </c>
      <c r="W426" s="32" t="n">
        <f>1991276232</f>
        <v>1.991276232E9</v>
      </c>
      <c r="X426" s="36" t="n">
        <f>22</f>
        <v>22.0</v>
      </c>
    </row>
    <row r="427">
      <c r="A427" s="27" t="s">
        <v>42</v>
      </c>
      <c r="B427" s="27" t="s">
        <v>1334</v>
      </c>
      <c r="C427" s="27" t="s">
        <v>1335</v>
      </c>
      <c r="D427" s="27" t="s">
        <v>1336</v>
      </c>
      <c r="E427" s="28" t="s">
        <v>46</v>
      </c>
      <c r="F427" s="29" t="s">
        <v>46</v>
      </c>
      <c r="G427" s="30" t="s">
        <v>46</v>
      </c>
      <c r="H427" s="31"/>
      <c r="I427" s="31" t="s">
        <v>425</v>
      </c>
      <c r="J427" s="32" t="n">
        <v>1.0</v>
      </c>
      <c r="K427" s="33" t="n">
        <f>67600</f>
        <v>67600.0</v>
      </c>
      <c r="L427" s="34" t="s">
        <v>48</v>
      </c>
      <c r="M427" s="33" t="n">
        <f>67800</f>
        <v>67800.0</v>
      </c>
      <c r="N427" s="34" t="s">
        <v>48</v>
      </c>
      <c r="O427" s="33" t="n">
        <f>56800</f>
        <v>56800.0</v>
      </c>
      <c r="P427" s="34" t="s">
        <v>51</v>
      </c>
      <c r="Q427" s="33" t="n">
        <f>57500</f>
        <v>57500.0</v>
      </c>
      <c r="R427" s="34" t="s">
        <v>51</v>
      </c>
      <c r="S427" s="35" t="n">
        <f>60486.36</f>
        <v>60486.36</v>
      </c>
      <c r="T427" s="32" t="n">
        <f>9262</f>
        <v>9262.0</v>
      </c>
      <c r="U427" s="32" t="n">
        <f>124</f>
        <v>124.0</v>
      </c>
      <c r="V427" s="32" t="n">
        <f>567075400</f>
        <v>5.670754E8</v>
      </c>
      <c r="W427" s="32" t="n">
        <f>7311400</f>
        <v>7311400.0</v>
      </c>
      <c r="X427" s="36" t="n">
        <f>22</f>
        <v>22.0</v>
      </c>
    </row>
    <row r="428">
      <c r="A428" s="27" t="s">
        <v>42</v>
      </c>
      <c r="B428" s="27" t="s">
        <v>1337</v>
      </c>
      <c r="C428" s="27" t="s">
        <v>1338</v>
      </c>
      <c r="D428" s="27" t="s">
        <v>1339</v>
      </c>
      <c r="E428" s="28" t="s">
        <v>46</v>
      </c>
      <c r="F428" s="29" t="s">
        <v>46</v>
      </c>
      <c r="G428" s="30" t="s">
        <v>46</v>
      </c>
      <c r="H428" s="31"/>
      <c r="I428" s="31" t="s">
        <v>425</v>
      </c>
      <c r="J428" s="32" t="n">
        <v>1.0</v>
      </c>
      <c r="K428" s="33" t="n">
        <f>98600</f>
        <v>98600.0</v>
      </c>
      <c r="L428" s="34" t="s">
        <v>48</v>
      </c>
      <c r="M428" s="33" t="n">
        <f>98700</f>
        <v>98700.0</v>
      </c>
      <c r="N428" s="34" t="s">
        <v>48</v>
      </c>
      <c r="O428" s="33" t="n">
        <f>90900</f>
        <v>90900.0</v>
      </c>
      <c r="P428" s="34" t="s">
        <v>112</v>
      </c>
      <c r="Q428" s="33" t="n">
        <f>94200</f>
        <v>94200.0</v>
      </c>
      <c r="R428" s="34" t="s">
        <v>51</v>
      </c>
      <c r="S428" s="35" t="n">
        <f>94613.64</f>
        <v>94613.64</v>
      </c>
      <c r="T428" s="32" t="n">
        <f>62425</f>
        <v>62425.0</v>
      </c>
      <c r="U428" s="32" t="n">
        <f>3320</f>
        <v>3320.0</v>
      </c>
      <c r="V428" s="32" t="n">
        <f>5890513106</f>
        <v>5.890513106E9</v>
      </c>
      <c r="W428" s="32" t="n">
        <f>313072706</f>
        <v>3.13072706E8</v>
      </c>
      <c r="X428" s="36" t="n">
        <f>22</f>
        <v>22.0</v>
      </c>
    </row>
    <row r="429">
      <c r="A429" s="27" t="s">
        <v>42</v>
      </c>
      <c r="B429" s="27" t="s">
        <v>1340</v>
      </c>
      <c r="C429" s="27" t="s">
        <v>1341</v>
      </c>
      <c r="D429" s="27" t="s">
        <v>1342</v>
      </c>
      <c r="E429" s="28" t="s">
        <v>46</v>
      </c>
      <c r="F429" s="29" t="s">
        <v>46</v>
      </c>
      <c r="G429" s="30" t="s">
        <v>46</v>
      </c>
      <c r="H429" s="31"/>
      <c r="I429" s="31" t="s">
        <v>425</v>
      </c>
      <c r="J429" s="32" t="n">
        <v>1.0</v>
      </c>
      <c r="K429" s="33" t="n">
        <f>79400</f>
        <v>79400.0</v>
      </c>
      <c r="L429" s="34" t="s">
        <v>48</v>
      </c>
      <c r="M429" s="33" t="n">
        <f>79500</f>
        <v>79500.0</v>
      </c>
      <c r="N429" s="34" t="s">
        <v>48</v>
      </c>
      <c r="O429" s="33" t="n">
        <f>70800</f>
        <v>70800.0</v>
      </c>
      <c r="P429" s="34" t="s">
        <v>51</v>
      </c>
      <c r="Q429" s="33" t="n">
        <f>71200</f>
        <v>71200.0</v>
      </c>
      <c r="R429" s="34" t="s">
        <v>51</v>
      </c>
      <c r="S429" s="35" t="n">
        <f>73677.27</f>
        <v>73677.27</v>
      </c>
      <c r="T429" s="32" t="n">
        <f>18700</f>
        <v>18700.0</v>
      </c>
      <c r="U429" s="32" t="n">
        <f>134</f>
        <v>134.0</v>
      </c>
      <c r="V429" s="32" t="n">
        <f>1381407600</f>
        <v>1.3814076E9</v>
      </c>
      <c r="W429" s="32" t="n">
        <f>9797400</f>
        <v>9797400.0</v>
      </c>
      <c r="X429" s="36" t="n">
        <f>22</f>
        <v>22.0</v>
      </c>
    </row>
    <row r="430">
      <c r="A430" s="27" t="s">
        <v>42</v>
      </c>
      <c r="B430" s="27" t="s">
        <v>1343</v>
      </c>
      <c r="C430" s="27" t="s">
        <v>1344</v>
      </c>
      <c r="D430" s="27" t="s">
        <v>1345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76100</f>
        <v>76100.0</v>
      </c>
      <c r="L430" s="34" t="s">
        <v>48</v>
      </c>
      <c r="M430" s="33" t="n">
        <f>76200</f>
        <v>76200.0</v>
      </c>
      <c r="N430" s="34" t="s">
        <v>48</v>
      </c>
      <c r="O430" s="33" t="n">
        <f>71100</f>
        <v>71100.0</v>
      </c>
      <c r="P430" s="34" t="s">
        <v>112</v>
      </c>
      <c r="Q430" s="33" t="n">
        <f>71800</f>
        <v>71800.0</v>
      </c>
      <c r="R430" s="34" t="s">
        <v>51</v>
      </c>
      <c r="S430" s="35" t="n">
        <f>73000</f>
        <v>73000.0</v>
      </c>
      <c r="T430" s="32" t="n">
        <f>65821</f>
        <v>65821.0</v>
      </c>
      <c r="U430" s="32" t="n">
        <f>3146</f>
        <v>3146.0</v>
      </c>
      <c r="V430" s="32" t="n">
        <f>4799834284</f>
        <v>4.799834284E9</v>
      </c>
      <c r="W430" s="32" t="n">
        <f>229523984</f>
        <v>2.29523984E8</v>
      </c>
      <c r="X430" s="36" t="n">
        <f>22</f>
        <v>22.0</v>
      </c>
    </row>
    <row r="431">
      <c r="A431" s="27" t="s">
        <v>42</v>
      </c>
      <c r="B431" s="27" t="s">
        <v>1346</v>
      </c>
      <c r="C431" s="27" t="s">
        <v>1347</v>
      </c>
      <c r="D431" s="27" t="s">
        <v>1348</v>
      </c>
      <c r="E431" s="28" t="s">
        <v>46</v>
      </c>
      <c r="F431" s="29" t="s">
        <v>46</v>
      </c>
      <c r="G431" s="30" t="s">
        <v>46</v>
      </c>
      <c r="H431" s="31"/>
      <c r="I431" s="31" t="s">
        <v>425</v>
      </c>
      <c r="J431" s="32" t="n">
        <v>1.0</v>
      </c>
      <c r="K431" s="33" t="n">
        <f>76400</f>
        <v>76400.0</v>
      </c>
      <c r="L431" s="34" t="s">
        <v>48</v>
      </c>
      <c r="M431" s="33" t="n">
        <f>76400</f>
        <v>76400.0</v>
      </c>
      <c r="N431" s="34" t="s">
        <v>48</v>
      </c>
      <c r="O431" s="33" t="n">
        <f>71100</f>
        <v>71100.0</v>
      </c>
      <c r="P431" s="34" t="s">
        <v>112</v>
      </c>
      <c r="Q431" s="33" t="n">
        <f>72000</f>
        <v>72000.0</v>
      </c>
      <c r="R431" s="34" t="s">
        <v>51</v>
      </c>
      <c r="S431" s="35" t="n">
        <f>73018.18</f>
        <v>73018.18</v>
      </c>
      <c r="T431" s="32" t="n">
        <f>42523</f>
        <v>42523.0</v>
      </c>
      <c r="U431" s="32" t="n">
        <f>1171</f>
        <v>1171.0</v>
      </c>
      <c r="V431" s="32" t="n">
        <f>3107532830</f>
        <v>3.10753283E9</v>
      </c>
      <c r="W431" s="32" t="n">
        <f>85516630</f>
        <v>8.551663E7</v>
      </c>
      <c r="X431" s="36" t="n">
        <f>22</f>
        <v>22.0</v>
      </c>
    </row>
  </sheetData>
  <mergeCells count="3">
    <mergeCell ref="N1:X3"/>
    <mergeCell ref="A2:M2"/>
    <mergeCell ref="A3:M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2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