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<sst xmlns="http://schemas.openxmlformats.org/spreadsheetml/2006/main" count="5222" uniqueCount="1371">
  <si>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</si>
  <si>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</si>
  <si>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</si>
  <si>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</si>
  <si>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</si>
  <si>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</si>
  <si>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</si>
  <si>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</si>
  <si>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</si>
  <si>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</si>
  <si>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</si>
  <si>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</si>
  <si>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</si>
  <si>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</si>
  <si>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</si>
  <si>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</si>
  <si>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</si>
  <si>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</si>
  <si>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</si>
  <si>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</si>
  <si>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</si>
  <si>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</si>
  <si>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</si>
  <si>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</si>
  <si>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</si>
  <si>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</si>
  <si>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</si>
  <si>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</si>
  <si>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</si>
  <si>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</si>
  <si>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</si>
  <si>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</si>
  <si>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</si>
  <si>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</si>
  <si>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</si>
  <si>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</si>
  <si>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</si>
  <si>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</si>
  <si>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</si>
  <si>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</si>
  <si>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</si>
  <si>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</si>
  <si>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2024/08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</si>
  <si>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</si>
  <si>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</si>
  <si>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</si>
  <si>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</si>
  <si>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</si>
  <si>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</si>
  <si>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5</t>
  </si>
  <si>
    <t>30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</si>
  <si>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</si>
  <si>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</si>
  <si>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</si>
  <si>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</si>
  <si>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</si>
  <si>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</si>
  <si>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</si>
  <si>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</si>
  <si>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</si>
  <si>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7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</si>
  <si>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</si>
  <si>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</si>
  <si>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</si>
  <si>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</si>
  <si>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</si>
  <si>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</si>
  <si>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16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</si>
  <si>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</si>
  <si>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</si>
  <si>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</si>
  <si>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</si>
  <si>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</si>
  <si>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</si>
  <si>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</si>
  <si>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</si>
  <si>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</si>
  <si>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1324</t>
  </si>
  <si>
    <t>ＮＥＸＴ　ＦＵＮＤＳ　ロシア株式指数連動型上場投信　受益証券</t>
  </si>
  <si>
    <t>NEXT FUNDS Russian Equity Index Exchange Traded Fund</t>
  </si>
  <si>
    <t>確</t>
  </si>
  <si>
    <t>1325</t>
  </si>
  <si>
    <t>ＮＥＸＴ　ＦＵＮＤＳ　ブラジル株式指数・ボベスパ連動型上場投信　受益証券</t>
  </si>
  <si>
    <t>NEXT FUNDS Ibovespa Linked Exchange Traded Fund</t>
  </si>
  <si>
    <t>20</t>
  </si>
  <si>
    <t>1326</t>
  </si>
  <si>
    <t>ＳＰＤＲゴールド・シェア　受益証券</t>
  </si>
  <si>
    <t>SPDR Gold Shares</t>
  </si>
  <si>
    <t>19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</si>
  <si>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</si>
  <si>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</si>
  <si>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</si>
  <si>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</si>
  <si>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</si>
  <si>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</si>
  <si>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</si>
  <si>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</si>
  <si>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</si>
  <si>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</si>
  <si>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</si>
  <si>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</si>
  <si>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1343</t>
  </si>
  <si>
    <t>ＮＥＸＴ　ＦＵＮＤＳ　東証ＲＥＩＴ　指数連動型上場投信　受益証券</t>
  </si>
  <si>
    <t>NEXT FUNDS REIT INDEX ETF</t>
  </si>
  <si>
    <t>29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</si>
  <si>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</si>
  <si>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</si>
  <si>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</si>
  <si>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</si>
  <si>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</si>
  <si>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</si>
  <si>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</si>
  <si>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</si>
  <si>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</si>
  <si>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</si>
  <si>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</si>
  <si>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</si>
  <si>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</si>
  <si>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</si>
  <si>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</si>
  <si>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</si>
  <si>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</si>
  <si>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</si>
  <si>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</si>
  <si>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</si>
  <si>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</si>
  <si>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</si>
  <si>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</si>
  <si>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</si>
  <si>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</si>
  <si>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</si>
  <si>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</si>
  <si>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</si>
  <si>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</si>
  <si>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</si>
  <si>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</si>
  <si>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</si>
  <si>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</si>
  <si>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</si>
  <si>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</si>
  <si>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</si>
  <si>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</si>
  <si>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</si>
  <si>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</si>
  <si>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</si>
  <si>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</si>
  <si>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</si>
  <si>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</si>
  <si>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</si>
  <si>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</si>
  <si>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</si>
  <si>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</si>
  <si>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</si>
  <si>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28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</si>
  <si>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</si>
  <si>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</si>
  <si>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</si>
  <si>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140A</t>
  </si>
  <si>
    <t>ｉＦｒｅｅＥＴＦ　米国１０年国債先物インバース　受益証券</t>
  </si>
  <si>
    <t>iFreeETF 10-Year U.S. Treasury Note Futures Inverse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</si>
  <si>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</si>
  <si>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</si>
  <si>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</si>
  <si>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</si>
  <si>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</si>
  <si>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</si>
  <si>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</si>
  <si>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</si>
  <si>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</si>
  <si>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</si>
  <si>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</si>
  <si>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</si>
  <si>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</si>
  <si>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</si>
  <si>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</si>
  <si>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</si>
  <si>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</si>
  <si>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</si>
  <si>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</si>
  <si>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</si>
  <si>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</si>
  <si>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</si>
  <si>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</si>
  <si>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</si>
  <si>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</si>
  <si>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</si>
  <si>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</si>
  <si>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</si>
  <si>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</si>
  <si>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</si>
  <si>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</si>
  <si>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</si>
  <si>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</si>
  <si>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</si>
  <si>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</si>
  <si>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</si>
  <si>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 xml:space="preserve">新株落ち  </t>
  </si>
  <si>
    <t xml:space="preserve">ex-subscription right  </t>
  </si>
  <si>
    <t>8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</si>
  <si>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</si>
  <si>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</si>
  <si>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</si>
  <si>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</si>
  <si>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</si>
  <si>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</si>
  <si>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</si>
  <si>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</si>
  <si>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</si>
  <si>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</si>
  <si>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</si>
  <si>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</si>
  <si>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</si>
  <si>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</si>
  <si>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</si>
  <si>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6</t>
  </si>
  <si>
    <t>22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</si>
  <si>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</si>
  <si>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</si>
  <si>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</si>
  <si>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</si>
  <si>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</si>
  <si>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</si>
  <si>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</si>
  <si>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</si>
  <si>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</si>
  <si>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</si>
  <si>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</si>
  <si>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</si>
  <si>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</si>
  <si>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</si>
  <si>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</si>
  <si>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2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</si>
  <si>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</si>
  <si>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</si>
  <si>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</si>
  <si>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</si>
  <si>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</si>
  <si>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</si>
  <si>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</si>
  <si>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</si>
  <si>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</si>
  <si>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</si>
  <si>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</si>
  <si>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</si>
  <si>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</si>
  <si>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</si>
  <si>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</si>
  <si>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9</t>
  </si>
  <si>
    <t>13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</si>
  <si>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</si>
  <si>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</si>
  <si>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</si>
  <si>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</si>
  <si>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</si>
  <si>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</si>
  <si>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</si>
  <si>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</si>
  <si>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</si>
  <si>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</si>
  <si>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</si>
  <si>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</si>
  <si>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26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</si>
  <si>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</si>
  <si>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</si>
  <si>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</si>
  <si>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</si>
  <si>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</si>
  <si>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</si>
  <si>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</si>
  <si>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</si>
  <si>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</si>
  <si>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</si>
  <si>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</si>
  <si>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</si>
  <si>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</si>
  <si>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</si>
  <si>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</si>
  <si>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</si>
  <si>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</si>
  <si>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</si>
  <si>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</si>
  <si>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</si>
  <si>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</si>
  <si>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</si>
  <si>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</si>
  <si>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</si>
  <si>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</si>
  <si>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</si>
  <si>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</si>
  <si>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</si>
  <si>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</si>
  <si>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</si>
  <si>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</si>
  <si>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</si>
  <si>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</si>
  <si>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</si>
  <si>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</si>
  <si>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</si>
  <si>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</si>
  <si>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</si>
  <si>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</si>
  <si>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</si>
  <si>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</si>
  <si>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</si>
  <si>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</si>
  <si>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</si>
  <si>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</si>
  <si>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</si>
  <si>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</si>
  <si>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</si>
  <si>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</si>
  <si>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</si>
  <si>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</si>
  <si>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</si>
  <si>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</si>
  <si>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</si>
  <si>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27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</si>
  <si>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</si>
  <si>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</si>
  <si>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</si>
  <si>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</si>
  <si>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</si>
  <si>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</si>
  <si>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</si>
  <si>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</si>
  <si>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</si>
  <si>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</si>
  <si>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</si>
  <si>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</si>
  <si>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</si>
  <si>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</si>
  <si>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</si>
  <si>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</si>
  <si>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</si>
  <si>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</si>
  <si>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</si>
  <si>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</si>
  <si>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</si>
  <si>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</si>
  <si>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</si>
  <si>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</si>
  <si>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</si>
  <si>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</si>
  <si>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</si>
  <si>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</si>
  <si>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</si>
  <si>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</si>
  <si>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</si>
  <si>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</si>
  <si>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</si>
  <si>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</si>
  <si>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</si>
  <si>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</si>
  <si>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</si>
  <si>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</si>
  <si>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</si>
  <si>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</si>
  <si>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</si>
  <si>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</si>
  <si>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</si>
  <si>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</si>
  <si>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</si>
  <si>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</si>
  <si>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</si>
  <si>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</si>
  <si>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</si>
  <si>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</si>
  <si>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</si>
  <si>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</si>
  <si>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</si>
  <si>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</si>
  <si>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</si>
  <si>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</si>
  <si>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</si>
  <si>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</si>
  <si>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</si>
  <si>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</si>
  <si>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</si>
  <si>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</si>
  <si>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</si>
  <si>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</si>
  <si>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</si>
  <si>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</si>
  <si>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</si>
  <si>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</si>
  <si>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</si>
  <si>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</si>
  <si>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</si>
  <si>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</si>
  <si>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</si>
  <si>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</si>
  <si>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</si>
  <si>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</si>
  <si>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</si>
  <si>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</si>
  <si>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</si>
  <si>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</si>
  <si>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</si>
  <si>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</si>
  <si>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</si>
  <si>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</si>
  <si>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</si>
  <si>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</si>
  <si>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</si>
  <si>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</si>
  <si>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</si>
  <si>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</si>
  <si>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</si>
  <si>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</si>
  <si>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</si>
  <si>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</si>
  <si>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</si>
  <si>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</si>
  <si>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</si>
  <si>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</si>
  <si>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</si>
  <si>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</si>
  <si>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</si>
  <si>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</si>
  <si>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</si>
  <si>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</si>
  <si>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</si>
  <si>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</si>
  <si>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</si>
  <si>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</si>
  <si>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</si>
  <si>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</si>
  <si>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</si>
  <si>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</si>
  <si>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</si>
  <si>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</si>
  <si>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</si>
  <si>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</si>
  <si>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</si>
  <si>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</si>
  <si>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</si>
  <si>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</si>
  <si>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</si>
  <si>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</si>
  <si>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</si>
  <si>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</si>
  <si>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</si>
  <si>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</si>
  <si>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</si>
  <si>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</si>
  <si>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</si>
  <si>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</si>
  <si>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</si>
  <si>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</si>
  <si>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</si>
  <si>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</si>
  <si>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</si>
  <si>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</si>
  <si>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</si>
  <si>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</si>
  <si>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</si>
  <si>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</si>
  <si>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</si>
  <si>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</si>
  <si>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</si>
  <si>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</si>
  <si>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</si>
  <si>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</si>
  <si>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</si>
  <si>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</si>
  <si>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</si>
  <si>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</si>
  <si>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</si>
  <si>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</si>
  <si>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</si>
  <si>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</si>
  <si>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</si>
  <si>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</si>
  <si>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</si>
  <si>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</si>
  <si>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</si>
  <si>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</si>
  <si>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</si>
  <si>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</si>
  <si>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</si>
  <si>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</si>
  <si>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</si>
  <si>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</si>
  <si>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</si>
  <si>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</si>
  <si>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</si>
  <si>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</si>
  <si>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</si>
  <si>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</si>
  <si>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</si>
  <si>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</si>
  <si>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</si>
  <si>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</si>
  <si>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</si>
  <si>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</si>
  <si>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</si>
  <si>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</si>
  <si>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</si>
  <si>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</si>
  <si>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</si>
  <si>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</si>
  <si>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</si>
  <si>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</si>
  <si>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</si>
  <si>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</si>
  <si>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</si>
  <si>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</si>
  <si>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 xml:space="preserve">上場廃止  </t>
  </si>
  <si>
    <t xml:space="preserve">Removal  </t>
  </si>
  <si>
    <t xml:space="preserve">2024/08/19  </t>
  </si>
  <si>
    <t>整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</si>
  <si>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</si>
  <si>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</si>
  <si>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</si>
  <si>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</si>
  <si>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</si>
  <si>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</si>
  <si>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</si>
  <si>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</si>
  <si>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</si>
  <si>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</si>
  <si>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</si>
  <si>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</si>
  <si>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</si>
  <si>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</si>
  <si>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</si>
  <si>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</si>
  <si>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</si>
  <si>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</si>
  <si>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</si>
  <si>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</si>
  <si>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</si>
  <si>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</si>
  <si>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</si>
  <si>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</si>
  <si>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</si>
  <si>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</si>
  <si>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</si>
  <si>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</si>
  <si>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</si>
  <si>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</si>
  <si>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</si>
  <si>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</si>
  <si>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</si>
  <si>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</si>
  <si>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</si>
  <si>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</si>
  <si>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</si>
  <si>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</si>
  <si>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</si>
  <si>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</si>
  <si>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</si>
  <si>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</si>
  <si>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</si>
  <si>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</si>
  <si>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</si>
  <si>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</si>
  <si>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</si>
  <si>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</si>
  <si>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</si>
  <si>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</si>
  <si>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</si>
  <si>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</si>
  <si>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</si>
  <si>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</si>
  <si>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</si>
  <si>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</si>
  <si>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</si>
  <si>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</si>
  <si>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</si>
  <si>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</si>
  <si>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</si>
  <si>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</si>
  <si>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</si>
  <si>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</si>
  <si>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</si>
  <si>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</si>
  <si>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</si>
  <si>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</si>
  <si>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</si>
  <si>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</si>
  <si>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</si>
  <si>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</si>
  <si>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</si>
  <si>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</si>
  <si>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</si>
  <si>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</si>
  <si>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</si>
  <si>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</si>
  <si>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</si>
  <si>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</si>
  <si>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</si>
  <si>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</si>
  <si>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</si>
  <si>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</si>
  <si>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</si>
  <si>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</si>
  <si>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</si>
  <si>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</si>
  <si>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</si>
  <si>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</si>
  <si>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</si>
  <si>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</si>
  <si>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</si>
  <si>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</si>
  <si>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</si>
  <si>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</si>
  <si>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</si>
  <si>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</si>
  <si>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</si>
  <si>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</si>
  <si>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</si>
  <si>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</si>
  <si>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</si>
  <si>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</si>
  <si>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</si>
  <si>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</si>
  <si>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</si>
  <si>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</si>
  <si>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</si>
  <si>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</si>
  <si>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</si>
  <si>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</si>
  <si>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</si>
  <si>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</si>
  <si>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</si>
  <si>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</si>
  <si>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</si>
  <si>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</si>
  <si>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</si>
  <si>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</si>
  <si>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</si>
  <si>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</si>
  <si>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</si>
  <si>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</si>
  <si>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</si>
  <si>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</si>
  <si>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</si>
  <si>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</si>
  <si>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</si>
  <si>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</si>
  <si>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</si>
  <si>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</si>
  <si>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</si>
  <si>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</si>
  <si>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</si>
  <si>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</si>
  <si>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</si>
  <si>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</si>
  <si>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</si>
  <si>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</si>
  <si>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</si>
  <si>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</si>
  <si>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</si>
  <si>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</si>
  <si>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</si>
  <si>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</si>
  <si>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</si>
  <si>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</si>
  <si>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</si>
  <si>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</si>
  <si>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</si>
  <si>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</si>
  <si>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</si>
  <si>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</si>
  <si>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</si>
  <si>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</si>
  <si>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</si>
  <si>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</si>
  <si>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</si>
  <si>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</si>
  <si>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</si>
  <si>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</si>
  <si>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</si>
  <si>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</si>
  <si>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</si>
  <si>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</si>
  <si>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</si>
  <si>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</si>
  <si>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</si>
  <si>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</si>
  <si>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</si>
  <si>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15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</si>
  <si>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</si>
  <si>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</si>
  <si>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</si>
  <si>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</si>
  <si>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</si>
  <si>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</si>
  <si>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</si>
  <si>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</si>
  <si>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</si>
  <si>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</si>
  <si>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</si>
  <si>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</si>
  <si>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</si>
  <si>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</si>
  <si>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</si>
  <si>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14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</si>
  <si>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</si>
  <si>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</si>
  <si>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</si>
  <si>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</si>
  <si>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</si>
  <si>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</si>
  <si>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</si>
  <si>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</si>
  <si>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</si>
  <si>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</si>
  <si>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</si>
  <si>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</si>
  <si>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</si>
  <si>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</si>
  <si>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</si>
  <si>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</si>
  <si>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</si>
  <si>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</si>
  <si>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</si>
  <si>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</si>
  <si>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</si>
  <si>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</si>
  <si>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</si>
  <si>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</si>
  <si>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</si>
  <si>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</si>
  <si>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</si>
  <si>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</si>
  <si>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</si>
  <si>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</si>
  <si>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</si>
  <si>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</si>
  <si>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</si>
  <si>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</si>
  <si>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</si>
  <si>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</si>
  <si>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</si>
  <si>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</si>
  <si>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</si>
  <si>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</si>
  <si>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</si>
  <si>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</si>
  <si>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</si>
  <si>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</si>
  <si>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</si>
  <si>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</si>
  <si>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</si>
  <si>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</si>
  <si>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</si>
  <si>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</si>
  <si>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</si>
  <si>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</si>
  <si>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</si>
  <si>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</si>
  <si>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</si>
  <si>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</si>
  <si>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</si>
  <si>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</si>
  <si>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</si>
  <si>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</si>
  <si>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</si>
  <si>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</si>
  <si>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</si>
  <si>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>221A</t>
  </si>
  <si>
    <t>ＭＡＸＩＳ日経半導体株上場投信　受益証券</t>
  </si>
  <si>
    <t>MAXIS Nikkei Semiconductor Stock (Japan)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</si>
  <si>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</si>
  <si>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</si>
  <si>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</si>
  <si>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</si>
  <si>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</si>
  <si>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</si>
  <si>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</si>
  <si>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</si>
  <si>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</si>
  <si>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</si>
  <si>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</si>
  <si>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</si>
  <si>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</si>
  <si>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</si>
  <si>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</si>
  <si>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</si>
  <si>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</si>
  <si>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</si>
  <si>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</si>
  <si>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</si>
  <si>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</si>
  <si>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</si>
  <si>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</si>
  <si>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</si>
  <si>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</si>
  <si>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</si>
  <si>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</si>
  <si>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</si>
  <si>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</si>
  <si>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</si>
  <si>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</si>
  <si>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</si>
  <si>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</si>
  <si>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</si>
  <si>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</si>
  <si>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</si>
  <si>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</si>
  <si>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</si>
  <si>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</si>
  <si>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</si>
  <si>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</si>
  <si>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</si>
  <si>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</si>
  <si>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</si>
  <si>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</si>
  <si>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</si>
  <si>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</si>
  <si>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</si>
  <si>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</si>
  <si>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</si>
  <si>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</si>
  <si>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</si>
  <si>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</si>
  <si>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</si>
  <si>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</si>
  <si>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</si>
  <si>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</si>
  <si>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</si>
  <si>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</si>
  <si>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</si>
  <si>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</si>
  <si>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</si>
  <si>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</si>
  <si>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</si>
  <si>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</si>
  <si>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</si>
  <si>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</si>
  <si>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</si>
  <si>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</si>
  <si>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</si>
  <si>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</si>
  <si>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</si>
  <si>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</si>
  <si>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</si>
  <si>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</si>
  <si>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</si>
  <si>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</si>
  <si>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</si>
  <si>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</si>
  <si>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</si>
  <si>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</si>
  <si>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21</t>
  </si>
  <si>
    <t>233A</t>
  </si>
  <si>
    <t>ｉＦｒｅｅＥＴＦ　インドＮｉｆｔｙ５０　受益証券</t>
  </si>
  <si>
    <t>iFreeETF Nifty50</t>
  </si>
  <si>
    <t xml:space="preserve">新規上場  </t>
  </si>
  <si>
    <t xml:space="preserve">New Listing  </t>
  </si>
  <si>
    <t xml:space="preserve">2024/08/20  </t>
  </si>
  <si>
    <t>234A</t>
  </si>
  <si>
    <t>グローバルＸ　ＭＳＣＩ　キャッシュフローキング－日本株式　ＥＴＦ　受益証券</t>
  </si>
  <si>
    <t>Global X MSCI Japan Cash Flow Kings ETF</t>
  </si>
  <si>
    <t xml:space="preserve">2024/08/22  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</si>
  <si>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</si>
  <si>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</si>
  <si>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</si>
  <si>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</si>
  <si>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</si>
  <si>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</si>
  <si>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 xml:space="preserve">2024/08/28  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</si>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</sst>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38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2908.5</f>
        <v>2908.5</v>
      </c>
      <c r="L7" s="34" t="s">
        <v>48</v>
      </c>
      <c r="M7" s="33" t="n">
        <f>2908.5</f>
        <v>2908.5</v>
      </c>
      <c r="N7" s="34" t="s">
        <v>48</v>
      </c>
      <c r="O7" s="33" t="n">
        <f>2216.5</f>
        <v>2216.5</v>
      </c>
      <c r="P7" s="34" t="s">
        <v>49</v>
      </c>
      <c r="Q7" s="33" t="n">
        <f>2855</f>
        <v>2855.0</v>
      </c>
      <c r="R7" s="34" t="s">
        <v>50</v>
      </c>
      <c r="S7" s="35" t="n">
        <f>2724.93</f>
        <v>2724.93</v>
      </c>
      <c r="T7" s="32" t="n">
        <f>16310530</f>
        <v>1.631053E7</v>
      </c>
      <c r="U7" s="32" t="n">
        <f>9301910</f>
        <v>9301910.0</v>
      </c>
      <c r="V7" s="32" t="n">
        <f>44877139571</f>
        <v>4.4877139571E10</v>
      </c>
      <c r="W7" s="32" t="n">
        <f>26141610036</f>
        <v>2.6141610036E10</v>
      </c>
      <c r="X7" s="36" t="n">
        <f>21</f>
        <v>21.0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2867</f>
        <v>2867.0</v>
      </c>
      <c r="L8" s="34" t="s">
        <v>48</v>
      </c>
      <c r="M8" s="33" t="n">
        <f>2868.5</f>
        <v>2868.5</v>
      </c>
      <c r="N8" s="34" t="s">
        <v>48</v>
      </c>
      <c r="O8" s="33" t="n">
        <f>2244</f>
        <v>2244.0</v>
      </c>
      <c r="P8" s="34" t="s">
        <v>49</v>
      </c>
      <c r="Q8" s="33" t="n">
        <f>2811</f>
        <v>2811.0</v>
      </c>
      <c r="R8" s="34" t="s">
        <v>50</v>
      </c>
      <c r="S8" s="35" t="n">
        <f>2694.62</f>
        <v>2694.62</v>
      </c>
      <c r="T8" s="32" t="n">
        <f>85800570</f>
        <v>8.580057E7</v>
      </c>
      <c r="U8" s="32" t="n">
        <f>9998600</f>
        <v>9998600.0</v>
      </c>
      <c r="V8" s="32" t="n">
        <f>227331819849</f>
        <v>2.27331819849E11</v>
      </c>
      <c r="W8" s="32" t="n">
        <f>26467610264</f>
        <v>2.6467610264E10</v>
      </c>
      <c r="X8" s="36" t="n">
        <f>21</f>
        <v>21.0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2840</f>
        <v>2840.0</v>
      </c>
      <c r="L9" s="34" t="s">
        <v>48</v>
      </c>
      <c r="M9" s="33" t="n">
        <f>2840</f>
        <v>2840.0</v>
      </c>
      <c r="N9" s="34" t="s">
        <v>48</v>
      </c>
      <c r="O9" s="33" t="n">
        <f>2260</f>
        <v>2260.0</v>
      </c>
      <c r="P9" s="34" t="s">
        <v>49</v>
      </c>
      <c r="Q9" s="33" t="n">
        <f>2779</f>
        <v>2779.0</v>
      </c>
      <c r="R9" s="34" t="s">
        <v>50</v>
      </c>
      <c r="S9" s="35" t="n">
        <f>2664.38</f>
        <v>2664.38</v>
      </c>
      <c r="T9" s="32" t="n">
        <f>33585278</f>
        <v>3.3585278E7</v>
      </c>
      <c r="U9" s="32" t="n">
        <f>10211832</f>
        <v>1.0211832E7</v>
      </c>
      <c r="V9" s="32" t="n">
        <f>86772356933</f>
        <v>8.6772356933E10</v>
      </c>
      <c r="W9" s="32" t="n">
        <f>25739506071</f>
        <v>2.5739506071E10</v>
      </c>
      <c r="X9" s="36" t="n">
        <f>21</f>
        <v>21.0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39300</f>
        <v>39300.0</v>
      </c>
      <c r="L10" s="34" t="s">
        <v>48</v>
      </c>
      <c r="M10" s="33" t="n">
        <f>39300</f>
        <v>39300.0</v>
      </c>
      <c r="N10" s="34" t="s">
        <v>48</v>
      </c>
      <c r="O10" s="33" t="n">
        <f>36660</f>
        <v>36660.0</v>
      </c>
      <c r="P10" s="34" t="s">
        <v>60</v>
      </c>
      <c r="Q10" s="33" t="n">
        <f>38320</f>
        <v>38320.0</v>
      </c>
      <c r="R10" s="34" t="s">
        <v>50</v>
      </c>
      <c r="S10" s="35" t="n">
        <f>37700.48</f>
        <v>37700.48</v>
      </c>
      <c r="T10" s="32" t="n">
        <f>3414</f>
        <v>3414.0</v>
      </c>
      <c r="U10" s="32" t="str">
        <f>"－"</f>
        <v>－</v>
      </c>
      <c r="V10" s="32" t="n">
        <f>128857580</f>
        <v>1.2885758E8</v>
      </c>
      <c r="W10" s="32" t="str">
        <f>"－"</f>
        <v>－</v>
      </c>
      <c r="X10" s="36" t="n">
        <f>21</f>
        <v>21.0</v>
      </c>
    </row>
    <row r="11">
      <c r="A11" s="27" t="s">
        <v>42</v>
      </c>
      <c r="B11" s="27" t="s">
        <v>61</v>
      </c>
      <c r="C11" s="27" t="s">
        <v>62</v>
      </c>
      <c r="D11" s="27" t="s">
        <v>63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1457</f>
        <v>1457.0</v>
      </c>
      <c r="L11" s="34" t="s">
        <v>48</v>
      </c>
      <c r="M11" s="33" t="n">
        <f>1457</f>
        <v>1457.0</v>
      </c>
      <c r="N11" s="34" t="s">
        <v>48</v>
      </c>
      <c r="O11" s="33" t="n">
        <f>1127</f>
        <v>1127.0</v>
      </c>
      <c r="P11" s="34" t="s">
        <v>49</v>
      </c>
      <c r="Q11" s="33" t="n">
        <f>1403.5</f>
        <v>1403.5</v>
      </c>
      <c r="R11" s="34" t="s">
        <v>50</v>
      </c>
      <c r="S11" s="35" t="n">
        <f>1349.83</f>
        <v>1349.83</v>
      </c>
      <c r="T11" s="32" t="n">
        <f>823980</f>
        <v>823980.0</v>
      </c>
      <c r="U11" s="32" t="n">
        <f>151330</f>
        <v>151330.0</v>
      </c>
      <c r="V11" s="32" t="n">
        <f>1093341872</f>
        <v>1.093341872E9</v>
      </c>
      <c r="W11" s="32" t="n">
        <f>204553677</f>
        <v>2.04553677E8</v>
      </c>
      <c r="X11" s="36" t="n">
        <f>21</f>
        <v>21.0</v>
      </c>
    </row>
    <row r="12">
      <c r="A12" s="27" t="s">
        <v>42</v>
      </c>
      <c r="B12" s="27" t="s">
        <v>64</v>
      </c>
      <c r="C12" s="27" t="s">
        <v>65</v>
      </c>
      <c r="D12" s="27" t="s">
        <v>66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471.1</f>
        <v>471.1</v>
      </c>
      <c r="L12" s="34" t="s">
        <v>48</v>
      </c>
      <c r="M12" s="33" t="n">
        <f>484.5</f>
        <v>484.5</v>
      </c>
      <c r="N12" s="34" t="s">
        <v>67</v>
      </c>
      <c r="O12" s="33" t="n">
        <f>383</f>
        <v>383.0</v>
      </c>
      <c r="P12" s="34" t="s">
        <v>49</v>
      </c>
      <c r="Q12" s="33" t="n">
        <f>470.1</f>
        <v>470.1</v>
      </c>
      <c r="R12" s="34" t="s">
        <v>50</v>
      </c>
      <c r="S12" s="35" t="n">
        <f>453.6</f>
        <v>453.6</v>
      </c>
      <c r="T12" s="32" t="n">
        <f>185000</f>
        <v>185000.0</v>
      </c>
      <c r="U12" s="32" t="str">
        <f>"－"</f>
        <v>－</v>
      </c>
      <c r="V12" s="32" t="n">
        <f>81788800</f>
        <v>8.17888E7</v>
      </c>
      <c r="W12" s="32" t="str">
        <f>"－"</f>
        <v>－</v>
      </c>
      <c r="X12" s="36" t="n">
        <f>20</f>
        <v>20.0</v>
      </c>
    </row>
    <row r="13">
      <c r="A13" s="27" t="s">
        <v>42</v>
      </c>
      <c r="B13" s="27" t="s">
        <v>68</v>
      </c>
      <c r="C13" s="27" t="s">
        <v>69</v>
      </c>
      <c r="D13" s="27" t="s">
        <v>70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39810</f>
        <v>39810.0</v>
      </c>
      <c r="L13" s="34" t="s">
        <v>48</v>
      </c>
      <c r="M13" s="33" t="n">
        <f>39810</f>
        <v>39810.0</v>
      </c>
      <c r="N13" s="34" t="s">
        <v>48</v>
      </c>
      <c r="O13" s="33" t="n">
        <f>31510</f>
        <v>31510.0</v>
      </c>
      <c r="P13" s="34" t="s">
        <v>49</v>
      </c>
      <c r="Q13" s="33" t="n">
        <f>39640</f>
        <v>39640.0</v>
      </c>
      <c r="R13" s="34" t="s">
        <v>50</v>
      </c>
      <c r="S13" s="35" t="n">
        <f>37830.95</f>
        <v>37830.95</v>
      </c>
      <c r="T13" s="32" t="n">
        <f>1882048</f>
        <v>1882048.0</v>
      </c>
      <c r="U13" s="32" t="n">
        <f>394441</f>
        <v>394441.0</v>
      </c>
      <c r="V13" s="32" t="n">
        <f>69279409789</f>
        <v>6.9279409789E10</v>
      </c>
      <c r="W13" s="32" t="n">
        <f>14609691129</f>
        <v>1.4609691129E10</v>
      </c>
      <c r="X13" s="36" t="n">
        <f>21</f>
        <v>21.0</v>
      </c>
    </row>
    <row r="14">
      <c r="A14" s="27" t="s">
        <v>42</v>
      </c>
      <c r="B14" s="27" t="s">
        <v>71</v>
      </c>
      <c r="C14" s="27" t="s">
        <v>72</v>
      </c>
      <c r="D14" s="27" t="s">
        <v>73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39910</f>
        <v>39910.0</v>
      </c>
      <c r="L14" s="34" t="s">
        <v>48</v>
      </c>
      <c r="M14" s="33" t="n">
        <f>39910</f>
        <v>39910.0</v>
      </c>
      <c r="N14" s="34" t="s">
        <v>48</v>
      </c>
      <c r="O14" s="33" t="n">
        <f>31750</f>
        <v>31750.0</v>
      </c>
      <c r="P14" s="34" t="s">
        <v>49</v>
      </c>
      <c r="Q14" s="33" t="n">
        <f>39780</f>
        <v>39780.0</v>
      </c>
      <c r="R14" s="34" t="s">
        <v>50</v>
      </c>
      <c r="S14" s="35" t="n">
        <f>37984.29</f>
        <v>37984.29</v>
      </c>
      <c r="T14" s="32" t="n">
        <f>14043477</f>
        <v>1.4043477E7</v>
      </c>
      <c r="U14" s="32" t="n">
        <f>558478</f>
        <v>558478.0</v>
      </c>
      <c r="V14" s="32" t="n">
        <f>518018182662</f>
        <v>5.18018182662E11</v>
      </c>
      <c r="W14" s="32" t="n">
        <f>20616441072</f>
        <v>2.0616441072E10</v>
      </c>
      <c r="X14" s="36" t="n">
        <f>21</f>
        <v>21.0</v>
      </c>
    </row>
    <row r="15">
      <c r="A15" s="27" t="s">
        <v>42</v>
      </c>
      <c r="B15" s="27" t="s">
        <v>74</v>
      </c>
      <c r="C15" s="27" t="s">
        <v>75</v>
      </c>
      <c r="D15" s="27" t="s">
        <v>76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7600</f>
        <v>7600.0</v>
      </c>
      <c r="L15" s="34" t="s">
        <v>48</v>
      </c>
      <c r="M15" s="33" t="n">
        <f>7600</f>
        <v>7600.0</v>
      </c>
      <c r="N15" s="34" t="s">
        <v>48</v>
      </c>
      <c r="O15" s="33" t="n">
        <f>6800</f>
        <v>6800.0</v>
      </c>
      <c r="P15" s="34" t="s">
        <v>50</v>
      </c>
      <c r="Q15" s="33" t="n">
        <f>7122</f>
        <v>7122.0</v>
      </c>
      <c r="R15" s="34" t="s">
        <v>50</v>
      </c>
      <c r="S15" s="35" t="n">
        <f>7113.05</f>
        <v>7113.05</v>
      </c>
      <c r="T15" s="32" t="n">
        <f>12600</f>
        <v>12600.0</v>
      </c>
      <c r="U15" s="32" t="str">
        <f>"－"</f>
        <v>－</v>
      </c>
      <c r="V15" s="32" t="n">
        <f>88985820</f>
        <v>8.898582E7</v>
      </c>
      <c r="W15" s="32" t="str">
        <f>"－"</f>
        <v>－</v>
      </c>
      <c r="X15" s="36" t="n">
        <f>21</f>
        <v>21.0</v>
      </c>
    </row>
    <row r="16">
      <c r="A16" s="27" t="s">
        <v>42</v>
      </c>
      <c r="B16" s="27" t="s">
        <v>77</v>
      </c>
      <c r="C16" s="27" t="s">
        <v>78</v>
      </c>
      <c r="D16" s="27" t="s">
        <v>79</v>
      </c>
      <c r="E16" s="28" t="s">
        <v>46</v>
      </c>
      <c r="F16" s="29" t="s">
        <v>46</v>
      </c>
      <c r="G16" s="30" t="s">
        <v>46</v>
      </c>
      <c r="H16" s="31" t="s">
        <v>80</v>
      </c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81</v>
      </c>
      <c r="C17" s="27" t="s">
        <v>82</v>
      </c>
      <c r="D17" s="27" t="s">
        <v>83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210</f>
        <v>210.0</v>
      </c>
      <c r="L17" s="34" t="s">
        <v>48</v>
      </c>
      <c r="M17" s="33" t="n">
        <f>218</f>
        <v>218.0</v>
      </c>
      <c r="N17" s="34" t="s">
        <v>84</v>
      </c>
      <c r="O17" s="33" t="n">
        <f>180</f>
        <v>180.0</v>
      </c>
      <c r="P17" s="34" t="s">
        <v>49</v>
      </c>
      <c r="Q17" s="33" t="n">
        <f>214.9</f>
        <v>214.9</v>
      </c>
      <c r="R17" s="34" t="s">
        <v>50</v>
      </c>
      <c r="S17" s="35" t="n">
        <f>207.77</f>
        <v>207.77</v>
      </c>
      <c r="T17" s="32" t="n">
        <f>759200</f>
        <v>759200.0</v>
      </c>
      <c r="U17" s="32" t="n">
        <f>9100</f>
        <v>9100.0</v>
      </c>
      <c r="V17" s="32" t="n">
        <f>153705560</f>
        <v>1.5370556E8</v>
      </c>
      <c r="W17" s="32" t="n">
        <f>1788250</f>
        <v>1788250.0</v>
      </c>
      <c r="X17" s="36" t="n">
        <f>21</f>
        <v>21.0</v>
      </c>
    </row>
    <row r="18">
      <c r="A18" s="27" t="s">
        <v>42</v>
      </c>
      <c r="B18" s="27" t="s">
        <v>85</v>
      </c>
      <c r="C18" s="27" t="s">
        <v>86</v>
      </c>
      <c r="D18" s="27" t="s">
        <v>87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34020</f>
        <v>34020.0</v>
      </c>
      <c r="L18" s="34" t="s">
        <v>48</v>
      </c>
      <c r="M18" s="33" t="n">
        <f>34330</f>
        <v>34330.0</v>
      </c>
      <c r="N18" s="34" t="s">
        <v>88</v>
      </c>
      <c r="O18" s="33" t="n">
        <f>31830</f>
        <v>31830.0</v>
      </c>
      <c r="P18" s="34" t="s">
        <v>60</v>
      </c>
      <c r="Q18" s="33" t="n">
        <f>33680</f>
        <v>33680.0</v>
      </c>
      <c r="R18" s="34" t="s">
        <v>50</v>
      </c>
      <c r="S18" s="35" t="n">
        <f>33384.29</f>
        <v>33384.29</v>
      </c>
      <c r="T18" s="32" t="n">
        <f>280515</f>
        <v>280515.0</v>
      </c>
      <c r="U18" s="32" t="n">
        <f>100</f>
        <v>100.0</v>
      </c>
      <c r="V18" s="32" t="n">
        <f>9260897270</f>
        <v>9.26089727E9</v>
      </c>
      <c r="W18" s="32" t="n">
        <f>3228200</f>
        <v>3228200.0</v>
      </c>
      <c r="X18" s="36" t="n">
        <f>21</f>
        <v>21.0</v>
      </c>
    </row>
    <row r="19">
      <c r="A19" s="27" t="s">
        <v>42</v>
      </c>
      <c r="B19" s="27" t="s">
        <v>89</v>
      </c>
      <c r="C19" s="27" t="s">
        <v>90</v>
      </c>
      <c r="D19" s="27" t="s">
        <v>91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9020</f>
        <v>9020.0</v>
      </c>
      <c r="L19" s="34" t="s">
        <v>48</v>
      </c>
      <c r="M19" s="33" t="n">
        <f>9050</f>
        <v>9050.0</v>
      </c>
      <c r="N19" s="34" t="s">
        <v>88</v>
      </c>
      <c r="O19" s="33" t="n">
        <f>8400</f>
        <v>8400.0</v>
      </c>
      <c r="P19" s="34" t="s">
        <v>60</v>
      </c>
      <c r="Q19" s="33" t="n">
        <f>8890</f>
        <v>8890.0</v>
      </c>
      <c r="R19" s="34" t="s">
        <v>50</v>
      </c>
      <c r="S19" s="35" t="n">
        <f>8814.24</f>
        <v>8814.24</v>
      </c>
      <c r="T19" s="32" t="n">
        <f>325380</f>
        <v>325380.0</v>
      </c>
      <c r="U19" s="32" t="n">
        <f>170</f>
        <v>170.0</v>
      </c>
      <c r="V19" s="32" t="n">
        <f>2839602520</f>
        <v>2.83960252E9</v>
      </c>
      <c r="W19" s="32" t="n">
        <f>1471390</f>
        <v>1471390.0</v>
      </c>
      <c r="X19" s="36" t="n">
        <f>21</f>
        <v>21.0</v>
      </c>
    </row>
    <row r="20">
      <c r="A20" s="27" t="s">
        <v>42</v>
      </c>
      <c r="B20" s="27" t="s">
        <v>92</v>
      </c>
      <c r="C20" s="27" t="s">
        <v>93</v>
      </c>
      <c r="D20" s="27" t="s">
        <v>94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40460</f>
        <v>40460.0</v>
      </c>
      <c r="L20" s="34" t="s">
        <v>48</v>
      </c>
      <c r="M20" s="33" t="n">
        <f>40460</f>
        <v>40460.0</v>
      </c>
      <c r="N20" s="34" t="s">
        <v>48</v>
      </c>
      <c r="O20" s="33" t="n">
        <f>31950</f>
        <v>31950.0</v>
      </c>
      <c r="P20" s="34" t="s">
        <v>49</v>
      </c>
      <c r="Q20" s="33" t="n">
        <f>39900</f>
        <v>39900.0</v>
      </c>
      <c r="R20" s="34" t="s">
        <v>50</v>
      </c>
      <c r="S20" s="35" t="n">
        <f>38129.52</f>
        <v>38129.52</v>
      </c>
      <c r="T20" s="32" t="n">
        <f>2408525</f>
        <v>2408525.0</v>
      </c>
      <c r="U20" s="32" t="n">
        <f>578824</f>
        <v>578824.0</v>
      </c>
      <c r="V20" s="32" t="n">
        <f>90223247650</f>
        <v>9.022324765E10</v>
      </c>
      <c r="W20" s="32" t="n">
        <f>22582109710</f>
        <v>2.258210971E10</v>
      </c>
      <c r="X20" s="36" t="n">
        <f>21</f>
        <v>21.0</v>
      </c>
    </row>
    <row r="21">
      <c r="A21" s="27" t="s">
        <v>42</v>
      </c>
      <c r="B21" s="27" t="s">
        <v>95</v>
      </c>
      <c r="C21" s="27" t="s">
        <v>96</v>
      </c>
      <c r="D21" s="27" t="s">
        <v>97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39970</f>
        <v>39970.0</v>
      </c>
      <c r="L21" s="34" t="s">
        <v>48</v>
      </c>
      <c r="M21" s="33" t="n">
        <f>39970</f>
        <v>39970.0</v>
      </c>
      <c r="N21" s="34" t="s">
        <v>48</v>
      </c>
      <c r="O21" s="33" t="n">
        <f>31510</f>
        <v>31510.0</v>
      </c>
      <c r="P21" s="34" t="s">
        <v>49</v>
      </c>
      <c r="Q21" s="33" t="n">
        <f>39810</f>
        <v>39810.0</v>
      </c>
      <c r="R21" s="34" t="s">
        <v>50</v>
      </c>
      <c r="S21" s="35" t="n">
        <f>38045.24</f>
        <v>38045.24</v>
      </c>
      <c r="T21" s="32" t="n">
        <f>1803379</f>
        <v>1803379.0</v>
      </c>
      <c r="U21" s="32" t="n">
        <f>217119</f>
        <v>217119.0</v>
      </c>
      <c r="V21" s="32" t="n">
        <f>67038914059</f>
        <v>6.7038914059E10</v>
      </c>
      <c r="W21" s="32" t="n">
        <f>8379371779</f>
        <v>8.379371779E9</v>
      </c>
      <c r="X21" s="36" t="n">
        <f>21</f>
        <v>21.0</v>
      </c>
    </row>
    <row r="22">
      <c r="A22" s="27" t="s">
        <v>42</v>
      </c>
      <c r="B22" s="27" t="s">
        <v>98</v>
      </c>
      <c r="C22" s="27" t="s">
        <v>99</v>
      </c>
      <c r="D22" s="27" t="s">
        <v>100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1023</f>
        <v>1023.0</v>
      </c>
      <c r="L22" s="34" t="s">
        <v>48</v>
      </c>
      <c r="M22" s="33" t="n">
        <f>1024</f>
        <v>1024.0</v>
      </c>
      <c r="N22" s="34" t="s">
        <v>48</v>
      </c>
      <c r="O22" s="33" t="n">
        <f>969</f>
        <v>969.0</v>
      </c>
      <c r="P22" s="34" t="s">
        <v>49</v>
      </c>
      <c r="Q22" s="33" t="n">
        <f>988</f>
        <v>988.0</v>
      </c>
      <c r="R22" s="34" t="s">
        <v>50</v>
      </c>
      <c r="S22" s="35" t="n">
        <f>995.52</f>
        <v>995.52</v>
      </c>
      <c r="T22" s="32" t="n">
        <f>7392589</f>
        <v>7392589.0</v>
      </c>
      <c r="U22" s="32" t="n">
        <f>5120500</f>
        <v>5120500.0</v>
      </c>
      <c r="V22" s="32" t="n">
        <f>7358540073</f>
        <v>7.358540073E9</v>
      </c>
      <c r="W22" s="32" t="n">
        <f>5104229330</f>
        <v>5.10422933E9</v>
      </c>
      <c r="X22" s="36" t="n">
        <f>21</f>
        <v>21.0</v>
      </c>
    </row>
    <row r="23">
      <c r="A23" s="27" t="s">
        <v>42</v>
      </c>
      <c r="B23" s="27" t="s">
        <v>101</v>
      </c>
      <c r="C23" s="27" t="s">
        <v>102</v>
      </c>
      <c r="D23" s="27" t="s">
        <v>103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1866</f>
        <v>1866.0</v>
      </c>
      <c r="L23" s="34" t="s">
        <v>48</v>
      </c>
      <c r="M23" s="33" t="n">
        <f>1931.5</f>
        <v>1931.5</v>
      </c>
      <c r="N23" s="34" t="s">
        <v>104</v>
      </c>
      <c r="O23" s="33" t="n">
        <f>1752</f>
        <v>1752.0</v>
      </c>
      <c r="P23" s="34" t="s">
        <v>49</v>
      </c>
      <c r="Q23" s="33" t="n">
        <f>1897</f>
        <v>1897.0</v>
      </c>
      <c r="R23" s="34" t="s">
        <v>50</v>
      </c>
      <c r="S23" s="35" t="n">
        <f>1860.24</f>
        <v>1860.24</v>
      </c>
      <c r="T23" s="32" t="n">
        <f>31641730</f>
        <v>3.164173E7</v>
      </c>
      <c r="U23" s="32" t="n">
        <f>10828610</f>
        <v>1.082861E7</v>
      </c>
      <c r="V23" s="32" t="n">
        <f>58151839642</f>
        <v>5.8151839642E10</v>
      </c>
      <c r="W23" s="32" t="n">
        <f>19873702977</f>
        <v>1.9873702977E10</v>
      </c>
      <c r="X23" s="36" t="n">
        <f>21</f>
        <v>21.0</v>
      </c>
    </row>
    <row r="24">
      <c r="A24" s="27" t="s">
        <v>42</v>
      </c>
      <c r="B24" s="27" t="s">
        <v>105</v>
      </c>
      <c r="C24" s="27" t="s">
        <v>106</v>
      </c>
      <c r="D24" s="27" t="s">
        <v>107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1750.5</f>
        <v>1750.5</v>
      </c>
      <c r="L24" s="34" t="s">
        <v>48</v>
      </c>
      <c r="M24" s="33" t="n">
        <f>1828</f>
        <v>1828.0</v>
      </c>
      <c r="N24" s="34" t="s">
        <v>104</v>
      </c>
      <c r="O24" s="33" t="n">
        <f>1641</f>
        <v>1641.0</v>
      </c>
      <c r="P24" s="34" t="s">
        <v>49</v>
      </c>
      <c r="Q24" s="33" t="n">
        <f>1793.5</f>
        <v>1793.5</v>
      </c>
      <c r="R24" s="34" t="s">
        <v>50</v>
      </c>
      <c r="S24" s="35" t="n">
        <f>1757.43</f>
        <v>1757.43</v>
      </c>
      <c r="T24" s="32" t="n">
        <f>2964300</f>
        <v>2964300.0</v>
      </c>
      <c r="U24" s="32" t="n">
        <f>1755600</f>
        <v>1755600.0</v>
      </c>
      <c r="V24" s="32" t="n">
        <f>5235515906</f>
        <v>5.235515906E9</v>
      </c>
      <c r="W24" s="32" t="n">
        <f>3139070956</f>
        <v>3.139070956E9</v>
      </c>
      <c r="X24" s="36" t="n">
        <f>21</f>
        <v>21.0</v>
      </c>
    </row>
    <row r="25">
      <c r="A25" s="27" t="s">
        <v>42</v>
      </c>
      <c r="B25" s="27" t="s">
        <v>108</v>
      </c>
      <c r="C25" s="27" t="s">
        <v>109</v>
      </c>
      <c r="D25" s="27" t="s">
        <v>110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40000</f>
        <v>40000.0</v>
      </c>
      <c r="L25" s="34" t="s">
        <v>48</v>
      </c>
      <c r="M25" s="33" t="n">
        <f>40000</f>
        <v>40000.0</v>
      </c>
      <c r="N25" s="34" t="s">
        <v>48</v>
      </c>
      <c r="O25" s="33" t="n">
        <f>31510</f>
        <v>31510.0</v>
      </c>
      <c r="P25" s="34" t="s">
        <v>49</v>
      </c>
      <c r="Q25" s="33" t="n">
        <f>39860</f>
        <v>39860.0</v>
      </c>
      <c r="R25" s="34" t="s">
        <v>50</v>
      </c>
      <c r="S25" s="35" t="n">
        <f>37998.1</f>
        <v>37998.1</v>
      </c>
      <c r="T25" s="32" t="n">
        <f>1028226</f>
        <v>1028226.0</v>
      </c>
      <c r="U25" s="32" t="n">
        <f>98599</f>
        <v>98599.0</v>
      </c>
      <c r="V25" s="32" t="n">
        <f>38049117156</f>
        <v>3.8049117156E10</v>
      </c>
      <c r="W25" s="32" t="n">
        <f>3577628706</f>
        <v>3.577628706E9</v>
      </c>
      <c r="X25" s="36" t="n">
        <f>21</f>
        <v>21.0</v>
      </c>
    </row>
    <row r="26">
      <c r="A26" s="27" t="s">
        <v>42</v>
      </c>
      <c r="B26" s="27" t="s">
        <v>111</v>
      </c>
      <c r="C26" s="27" t="s">
        <v>112</v>
      </c>
      <c r="D26" s="27" t="s">
        <v>113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2867</f>
        <v>2867.0</v>
      </c>
      <c r="L26" s="34" t="s">
        <v>48</v>
      </c>
      <c r="M26" s="33" t="n">
        <f>2867</f>
        <v>2867.0</v>
      </c>
      <c r="N26" s="34" t="s">
        <v>48</v>
      </c>
      <c r="O26" s="33" t="n">
        <f>2230</f>
        <v>2230.0</v>
      </c>
      <c r="P26" s="34" t="s">
        <v>49</v>
      </c>
      <c r="Q26" s="33" t="n">
        <f>2794</f>
        <v>2794.0</v>
      </c>
      <c r="R26" s="34" t="s">
        <v>50</v>
      </c>
      <c r="S26" s="35" t="n">
        <f>2685.9</f>
        <v>2685.9</v>
      </c>
      <c r="T26" s="32" t="n">
        <f>8632030</f>
        <v>8632030.0</v>
      </c>
      <c r="U26" s="32" t="n">
        <f>4099540</f>
        <v>4099540.0</v>
      </c>
      <c r="V26" s="32" t="n">
        <f>22980367020</f>
        <v>2.298036702E10</v>
      </c>
      <c r="W26" s="32" t="n">
        <f>11021285795</f>
        <v>1.1021285795E10</v>
      </c>
      <c r="X26" s="36" t="n">
        <f>21</f>
        <v>21.0</v>
      </c>
    </row>
    <row r="27">
      <c r="A27" s="27" t="s">
        <v>42</v>
      </c>
      <c r="B27" s="27" t="s">
        <v>114</v>
      </c>
      <c r="C27" s="27" t="s">
        <v>115</v>
      </c>
      <c r="D27" s="27" t="s">
        <v>116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16060</f>
        <v>16060.0</v>
      </c>
      <c r="L27" s="34" t="s">
        <v>48</v>
      </c>
      <c r="M27" s="33" t="n">
        <f>16250</f>
        <v>16250.0</v>
      </c>
      <c r="N27" s="34" t="s">
        <v>67</v>
      </c>
      <c r="O27" s="33" t="n">
        <f>15530</f>
        <v>15530.0</v>
      </c>
      <c r="P27" s="34" t="s">
        <v>49</v>
      </c>
      <c r="Q27" s="33" t="n">
        <f>16085</f>
        <v>16085.0</v>
      </c>
      <c r="R27" s="34" t="s">
        <v>50</v>
      </c>
      <c r="S27" s="35" t="n">
        <f>16008.1</f>
        <v>16008.1</v>
      </c>
      <c r="T27" s="32" t="n">
        <f>805</f>
        <v>805.0</v>
      </c>
      <c r="U27" s="32" t="str">
        <f>"－"</f>
        <v>－</v>
      </c>
      <c r="V27" s="32" t="n">
        <f>12825885</f>
        <v>1.2825885E7</v>
      </c>
      <c r="W27" s="32" t="str">
        <f>"－"</f>
        <v>－</v>
      </c>
      <c r="X27" s="36" t="n">
        <f>21</f>
        <v>21.0</v>
      </c>
    </row>
    <row r="28">
      <c r="A28" s="27" t="s">
        <v>42</v>
      </c>
      <c r="B28" s="27" t="s">
        <v>117</v>
      </c>
      <c r="C28" s="27" t="s">
        <v>118</v>
      </c>
      <c r="D28" s="27" t="s">
        <v>119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359.8</f>
        <v>359.8</v>
      </c>
      <c r="L28" s="34" t="s">
        <v>48</v>
      </c>
      <c r="M28" s="33" t="n">
        <f>514</f>
        <v>514.0</v>
      </c>
      <c r="N28" s="34" t="s">
        <v>49</v>
      </c>
      <c r="O28" s="33" t="n">
        <f>340.8</f>
        <v>340.8</v>
      </c>
      <c r="P28" s="34" t="s">
        <v>50</v>
      </c>
      <c r="Q28" s="33" t="n">
        <f>341.7</f>
        <v>341.7</v>
      </c>
      <c r="R28" s="34" t="s">
        <v>50</v>
      </c>
      <c r="S28" s="35" t="n">
        <f>381.51</f>
        <v>381.51</v>
      </c>
      <c r="T28" s="32" t="n">
        <f>65565610</f>
        <v>6.556561E7</v>
      </c>
      <c r="U28" s="32" t="n">
        <f>23230</f>
        <v>23230.0</v>
      </c>
      <c r="V28" s="32" t="n">
        <f>26012229699</f>
        <v>2.6012229699E10</v>
      </c>
      <c r="W28" s="32" t="n">
        <f>9275975</f>
        <v>9275975.0</v>
      </c>
      <c r="X28" s="36" t="n">
        <f>21</f>
        <v>21.0</v>
      </c>
    </row>
    <row r="29">
      <c r="A29" s="27" t="s">
        <v>42</v>
      </c>
      <c r="B29" s="27" t="s">
        <v>120</v>
      </c>
      <c r="C29" s="27" t="s">
        <v>121</v>
      </c>
      <c r="D29" s="27" t="s">
        <v>122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144</f>
        <v>144.0</v>
      </c>
      <c r="L29" s="34" t="s">
        <v>48</v>
      </c>
      <c r="M29" s="33" t="n">
        <f>215</f>
        <v>215.0</v>
      </c>
      <c r="N29" s="34" t="s">
        <v>49</v>
      </c>
      <c r="O29" s="33" t="n">
        <f>129</f>
        <v>129.0</v>
      </c>
      <c r="P29" s="34" t="s">
        <v>50</v>
      </c>
      <c r="Q29" s="33" t="n">
        <f>130</f>
        <v>130.0</v>
      </c>
      <c r="R29" s="34" t="s">
        <v>50</v>
      </c>
      <c r="S29" s="35" t="n">
        <f>146.86</f>
        <v>146.86</v>
      </c>
      <c r="T29" s="32" t="n">
        <f>2127466323</f>
        <v>2.127466323E9</v>
      </c>
      <c r="U29" s="32" t="n">
        <f>48651861</f>
        <v>4.8651861E7</v>
      </c>
      <c r="V29" s="32" t="n">
        <f>339268195608</f>
        <v>3.39268195608E11</v>
      </c>
      <c r="W29" s="32" t="n">
        <f>7659583390</f>
        <v>7.65958339E9</v>
      </c>
      <c r="X29" s="36" t="n">
        <f>21</f>
        <v>21.0</v>
      </c>
    </row>
    <row r="30">
      <c r="A30" s="27" t="s">
        <v>42</v>
      </c>
      <c r="B30" s="27" t="s">
        <v>123</v>
      </c>
      <c r="C30" s="27" t="s">
        <v>124</v>
      </c>
      <c r="D30" s="27" t="s">
        <v>125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51750</f>
        <v>51750.0</v>
      </c>
      <c r="L30" s="34" t="s">
        <v>48</v>
      </c>
      <c r="M30" s="33" t="n">
        <f>51760</f>
        <v>51760.0</v>
      </c>
      <c r="N30" s="34" t="s">
        <v>48</v>
      </c>
      <c r="O30" s="33" t="n">
        <f>37400</f>
        <v>37400.0</v>
      </c>
      <c r="P30" s="34" t="s">
        <v>49</v>
      </c>
      <c r="Q30" s="33" t="n">
        <f>49640</f>
        <v>49640.0</v>
      </c>
      <c r="R30" s="34" t="s">
        <v>50</v>
      </c>
      <c r="S30" s="35" t="n">
        <f>45757.14</f>
        <v>45757.14</v>
      </c>
      <c r="T30" s="32" t="n">
        <f>545793</f>
        <v>545793.0</v>
      </c>
      <c r="U30" s="32" t="n">
        <f>12</f>
        <v>12.0</v>
      </c>
      <c r="V30" s="32" t="n">
        <f>24252211580</f>
        <v>2.425221158E10</v>
      </c>
      <c r="W30" s="32" t="n">
        <f>518390</f>
        <v>518390.0</v>
      </c>
      <c r="X30" s="36" t="n">
        <f>21</f>
        <v>21.0</v>
      </c>
    </row>
    <row r="31">
      <c r="A31" s="27" t="s">
        <v>42</v>
      </c>
      <c r="B31" s="27" t="s">
        <v>126</v>
      </c>
      <c r="C31" s="27" t="s">
        <v>127</v>
      </c>
      <c r="D31" s="27" t="s">
        <v>128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351.3</f>
        <v>351.3</v>
      </c>
      <c r="L31" s="34" t="s">
        <v>48</v>
      </c>
      <c r="M31" s="33" t="n">
        <f>484</f>
        <v>484.0</v>
      </c>
      <c r="N31" s="34" t="s">
        <v>49</v>
      </c>
      <c r="O31" s="33" t="n">
        <f>318.6</f>
        <v>318.6</v>
      </c>
      <c r="P31" s="34" t="s">
        <v>50</v>
      </c>
      <c r="Q31" s="33" t="n">
        <f>319</f>
        <v>319.0</v>
      </c>
      <c r="R31" s="34" t="s">
        <v>50</v>
      </c>
      <c r="S31" s="35" t="n">
        <f>358.37</f>
        <v>358.37</v>
      </c>
      <c r="T31" s="32" t="n">
        <f>962603070</f>
        <v>9.6260307E8</v>
      </c>
      <c r="U31" s="32" t="n">
        <f>12769450</f>
        <v>1.276945E7</v>
      </c>
      <c r="V31" s="32" t="n">
        <f>354207225698</f>
        <v>3.54207225698E11</v>
      </c>
      <c r="W31" s="32" t="n">
        <f>4673441776</f>
        <v>4.673441776E9</v>
      </c>
      <c r="X31" s="36" t="n">
        <f>21</f>
        <v>21.0</v>
      </c>
    </row>
    <row r="32">
      <c r="A32" s="27" t="s">
        <v>42</v>
      </c>
      <c r="B32" s="27" t="s">
        <v>129</v>
      </c>
      <c r="C32" s="27" t="s">
        <v>130</v>
      </c>
      <c r="D32" s="27" t="s">
        <v>131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26485</f>
        <v>26485.0</v>
      </c>
      <c r="L32" s="34" t="s">
        <v>48</v>
      </c>
      <c r="M32" s="33" t="n">
        <f>26485</f>
        <v>26485.0</v>
      </c>
      <c r="N32" s="34" t="s">
        <v>48</v>
      </c>
      <c r="O32" s="33" t="n">
        <f>21500</f>
        <v>21500.0</v>
      </c>
      <c r="P32" s="34" t="s">
        <v>49</v>
      </c>
      <c r="Q32" s="33" t="n">
        <f>25305</f>
        <v>25305.0</v>
      </c>
      <c r="R32" s="34" t="s">
        <v>50</v>
      </c>
      <c r="S32" s="35" t="n">
        <f>24512.38</f>
        <v>24512.38</v>
      </c>
      <c r="T32" s="32" t="n">
        <f>31583</f>
        <v>31583.0</v>
      </c>
      <c r="U32" s="32" t="n">
        <f>1</f>
        <v>1.0</v>
      </c>
      <c r="V32" s="32" t="n">
        <f>763614960</f>
        <v>7.6361496E8</v>
      </c>
      <c r="W32" s="32" t="n">
        <f>23660</f>
        <v>23660.0</v>
      </c>
      <c r="X32" s="36" t="n">
        <f>21</f>
        <v>21.0</v>
      </c>
    </row>
    <row r="33">
      <c r="A33" s="27" t="s">
        <v>42</v>
      </c>
      <c r="B33" s="27" t="s">
        <v>132</v>
      </c>
      <c r="C33" s="27" t="s">
        <v>133</v>
      </c>
      <c r="D33" s="27" t="s">
        <v>134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42740</f>
        <v>42740.0</v>
      </c>
      <c r="L33" s="34" t="s">
        <v>48</v>
      </c>
      <c r="M33" s="33" t="n">
        <f>42810</f>
        <v>42810.0</v>
      </c>
      <c r="N33" s="34" t="s">
        <v>48</v>
      </c>
      <c r="O33" s="33" t="n">
        <f>29850</f>
        <v>29850.0</v>
      </c>
      <c r="P33" s="34" t="s">
        <v>49</v>
      </c>
      <c r="Q33" s="33" t="n">
        <f>40860</f>
        <v>40860.0</v>
      </c>
      <c r="R33" s="34" t="s">
        <v>50</v>
      </c>
      <c r="S33" s="35" t="n">
        <f>37633.81</f>
        <v>37633.81</v>
      </c>
      <c r="T33" s="32" t="n">
        <f>1995769</f>
        <v>1995769.0</v>
      </c>
      <c r="U33" s="32" t="n">
        <f>25168</f>
        <v>25168.0</v>
      </c>
      <c r="V33" s="32" t="n">
        <f>71838036407</f>
        <v>7.1838036407E10</v>
      </c>
      <c r="W33" s="32" t="n">
        <f>933754387</f>
        <v>9.33754387E8</v>
      </c>
      <c r="X33" s="36" t="n">
        <f>21</f>
        <v>21.0</v>
      </c>
    </row>
    <row r="34">
      <c r="A34" s="27" t="s">
        <v>42</v>
      </c>
      <c r="B34" s="27" t="s">
        <v>135</v>
      </c>
      <c r="C34" s="27" t="s">
        <v>136</v>
      </c>
      <c r="D34" s="27" t="s">
        <v>137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373</f>
        <v>373.0</v>
      </c>
      <c r="L34" s="34" t="s">
        <v>48</v>
      </c>
      <c r="M34" s="33" t="n">
        <f>509</f>
        <v>509.0</v>
      </c>
      <c r="N34" s="34" t="s">
        <v>49</v>
      </c>
      <c r="O34" s="33" t="n">
        <f>327</f>
        <v>327.0</v>
      </c>
      <c r="P34" s="34" t="s">
        <v>50</v>
      </c>
      <c r="Q34" s="33" t="n">
        <f>328</f>
        <v>328.0</v>
      </c>
      <c r="R34" s="34" t="s">
        <v>50</v>
      </c>
      <c r="S34" s="35" t="n">
        <f>370.52</f>
        <v>370.52</v>
      </c>
      <c r="T34" s="32" t="n">
        <f>95791310</f>
        <v>9.579131E7</v>
      </c>
      <c r="U34" s="32" t="n">
        <f>1476969</f>
        <v>1476969.0</v>
      </c>
      <c r="V34" s="32" t="n">
        <f>38289623042</f>
        <v>3.8289623042E10</v>
      </c>
      <c r="W34" s="32" t="n">
        <f>551547328</f>
        <v>5.51547328E8</v>
      </c>
      <c r="X34" s="36" t="n">
        <f>21</f>
        <v>21.0</v>
      </c>
    </row>
    <row r="35">
      <c r="A35" s="27" t="s">
        <v>42</v>
      </c>
      <c r="B35" s="27" t="s">
        <v>138</v>
      </c>
      <c r="C35" s="27" t="s">
        <v>139</v>
      </c>
      <c r="D35" s="27" t="s">
        <v>140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38190</f>
        <v>38190.0</v>
      </c>
      <c r="L35" s="34" t="s">
        <v>48</v>
      </c>
      <c r="M35" s="33" t="n">
        <f>38190</f>
        <v>38190.0</v>
      </c>
      <c r="N35" s="34" t="s">
        <v>48</v>
      </c>
      <c r="O35" s="33" t="n">
        <f>25290</f>
        <v>25290.0</v>
      </c>
      <c r="P35" s="34" t="s">
        <v>49</v>
      </c>
      <c r="Q35" s="33" t="n">
        <f>35260</f>
        <v>35260.0</v>
      </c>
      <c r="R35" s="34" t="s">
        <v>50</v>
      </c>
      <c r="S35" s="35" t="n">
        <f>32712.86</f>
        <v>32712.86</v>
      </c>
      <c r="T35" s="32" t="n">
        <f>361808</f>
        <v>361808.0</v>
      </c>
      <c r="U35" s="32" t="n">
        <f>4071</f>
        <v>4071.0</v>
      </c>
      <c r="V35" s="32" t="n">
        <f>11181594355</f>
        <v>1.1181594355E10</v>
      </c>
      <c r="W35" s="32" t="n">
        <f>136014390</f>
        <v>1.3601439E8</v>
      </c>
      <c r="X35" s="36" t="n">
        <f>21</f>
        <v>21.0</v>
      </c>
    </row>
    <row r="36">
      <c r="A36" s="27" t="s">
        <v>42</v>
      </c>
      <c r="B36" s="27" t="s">
        <v>141</v>
      </c>
      <c r="C36" s="27" t="s">
        <v>142</v>
      </c>
      <c r="D36" s="27" t="s">
        <v>143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543</f>
        <v>543.0</v>
      </c>
      <c r="L36" s="34" t="s">
        <v>48</v>
      </c>
      <c r="M36" s="33" t="n">
        <f>728</f>
        <v>728.0</v>
      </c>
      <c r="N36" s="34" t="s">
        <v>49</v>
      </c>
      <c r="O36" s="33" t="n">
        <f>492</f>
        <v>492.0</v>
      </c>
      <c r="P36" s="34" t="s">
        <v>50</v>
      </c>
      <c r="Q36" s="33" t="n">
        <f>494</f>
        <v>494.0</v>
      </c>
      <c r="R36" s="34" t="s">
        <v>50</v>
      </c>
      <c r="S36" s="35" t="n">
        <f>550.86</f>
        <v>550.86</v>
      </c>
      <c r="T36" s="32" t="n">
        <f>7516686</f>
        <v>7516686.0</v>
      </c>
      <c r="U36" s="32" t="n">
        <f>16359</f>
        <v>16359.0</v>
      </c>
      <c r="V36" s="32" t="n">
        <f>4503464446</f>
        <v>4.503464446E9</v>
      </c>
      <c r="W36" s="32" t="n">
        <f>10201730</f>
        <v>1.020173E7</v>
      </c>
      <c r="X36" s="36" t="n">
        <f>21</f>
        <v>21.0</v>
      </c>
    </row>
    <row r="37">
      <c r="A37" s="27" t="s">
        <v>42</v>
      </c>
      <c r="B37" s="27" t="s">
        <v>144</v>
      </c>
      <c r="C37" s="27" t="s">
        <v>145</v>
      </c>
      <c r="D37" s="27" t="s">
        <v>146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38810</f>
        <v>38810.0</v>
      </c>
      <c r="L37" s="34" t="s">
        <v>48</v>
      </c>
      <c r="M37" s="33" t="n">
        <f>38810</f>
        <v>38810.0</v>
      </c>
      <c r="N37" s="34" t="s">
        <v>48</v>
      </c>
      <c r="O37" s="33" t="n">
        <f>31680</f>
        <v>31680.0</v>
      </c>
      <c r="P37" s="34" t="s">
        <v>49</v>
      </c>
      <c r="Q37" s="33" t="n">
        <f>38720</f>
        <v>38720.0</v>
      </c>
      <c r="R37" s="34" t="s">
        <v>50</v>
      </c>
      <c r="S37" s="35" t="n">
        <f>37098.57</f>
        <v>37098.57</v>
      </c>
      <c r="T37" s="32" t="n">
        <f>365772</f>
        <v>365772.0</v>
      </c>
      <c r="U37" s="32" t="n">
        <f>147428</f>
        <v>147428.0</v>
      </c>
      <c r="V37" s="32" t="n">
        <f>13479452100</f>
        <v>1.34794521E10</v>
      </c>
      <c r="W37" s="32" t="n">
        <f>5427210450</f>
        <v>5.42721045E9</v>
      </c>
      <c r="X37" s="36" t="n">
        <f>21</f>
        <v>21.0</v>
      </c>
    </row>
    <row r="38">
      <c r="A38" s="27" t="s">
        <v>42</v>
      </c>
      <c r="B38" s="27" t="s">
        <v>147</v>
      </c>
      <c r="C38" s="27" t="s">
        <v>148</v>
      </c>
      <c r="D38" s="27" t="s">
        <v>149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39230</f>
        <v>39230.0</v>
      </c>
      <c r="L38" s="34" t="s">
        <v>48</v>
      </c>
      <c r="M38" s="33" t="n">
        <f>39230</f>
        <v>39230.0</v>
      </c>
      <c r="N38" s="34" t="s">
        <v>48</v>
      </c>
      <c r="O38" s="33" t="n">
        <f>32900</f>
        <v>32900.0</v>
      </c>
      <c r="P38" s="34" t="s">
        <v>49</v>
      </c>
      <c r="Q38" s="33" t="n">
        <f>39080</f>
        <v>39080.0</v>
      </c>
      <c r="R38" s="34" t="s">
        <v>50</v>
      </c>
      <c r="S38" s="35" t="n">
        <f>37330</f>
        <v>37330.0</v>
      </c>
      <c r="T38" s="32" t="n">
        <f>239744</f>
        <v>239744.0</v>
      </c>
      <c r="U38" s="32" t="n">
        <f>81964</f>
        <v>81964.0</v>
      </c>
      <c r="V38" s="32" t="n">
        <f>8737921350</f>
        <v>8.73792135E9</v>
      </c>
      <c r="W38" s="32" t="n">
        <f>3044414580</f>
        <v>3.04441458E9</v>
      </c>
      <c r="X38" s="36" t="n">
        <f>21</f>
        <v>21.0</v>
      </c>
    </row>
    <row r="39">
      <c r="A39" s="27" t="s">
        <v>42</v>
      </c>
      <c r="B39" s="27" t="s">
        <v>150</v>
      </c>
      <c r="C39" s="27" t="s">
        <v>151</v>
      </c>
      <c r="D39" s="27" t="s">
        <v>152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1760</f>
        <v>1760.0</v>
      </c>
      <c r="L39" s="34" t="s">
        <v>48</v>
      </c>
      <c r="M39" s="33" t="n">
        <f>1852</f>
        <v>1852.0</v>
      </c>
      <c r="N39" s="34" t="s">
        <v>153</v>
      </c>
      <c r="O39" s="33" t="n">
        <f>1679</f>
        <v>1679.0</v>
      </c>
      <c r="P39" s="34" t="s">
        <v>49</v>
      </c>
      <c r="Q39" s="33" t="n">
        <f>1821</f>
        <v>1821.0</v>
      </c>
      <c r="R39" s="34" t="s">
        <v>50</v>
      </c>
      <c r="S39" s="35" t="n">
        <f>1785.48</f>
        <v>1785.48</v>
      </c>
      <c r="T39" s="32" t="n">
        <f>2444900</f>
        <v>2444900.0</v>
      </c>
      <c r="U39" s="32" t="n">
        <f>1805300</f>
        <v>1805300.0</v>
      </c>
      <c r="V39" s="32" t="n">
        <f>4382275540</f>
        <v>4.38227554E9</v>
      </c>
      <c r="W39" s="32" t="n">
        <f>3253542380</f>
        <v>3.25354238E9</v>
      </c>
      <c r="X39" s="36" t="n">
        <f>21</f>
        <v>21.0</v>
      </c>
    </row>
    <row r="40">
      <c r="A40" s="27" t="s">
        <v>42</v>
      </c>
      <c r="B40" s="27" t="s">
        <v>154</v>
      </c>
      <c r="C40" s="27" t="s">
        <v>155</v>
      </c>
      <c r="D40" s="27" t="s">
        <v>156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2257.5</f>
        <v>2257.5</v>
      </c>
      <c r="L40" s="34" t="s">
        <v>48</v>
      </c>
      <c r="M40" s="33" t="n">
        <f>2262</f>
        <v>2262.0</v>
      </c>
      <c r="N40" s="34" t="s">
        <v>104</v>
      </c>
      <c r="O40" s="33" t="n">
        <f>1950</f>
        <v>1950.0</v>
      </c>
      <c r="P40" s="34" t="s">
        <v>49</v>
      </c>
      <c r="Q40" s="33" t="n">
        <f>2227.5</f>
        <v>2227.5</v>
      </c>
      <c r="R40" s="34" t="s">
        <v>50</v>
      </c>
      <c r="S40" s="35" t="n">
        <f>2142.64</f>
        <v>2142.64</v>
      </c>
      <c r="T40" s="32" t="n">
        <f>32660</f>
        <v>32660.0</v>
      </c>
      <c r="U40" s="32" t="n">
        <f>24020</f>
        <v>24020.0</v>
      </c>
      <c r="V40" s="32" t="n">
        <f>68068405</f>
        <v>6.8068405E7</v>
      </c>
      <c r="W40" s="32" t="n">
        <f>49934930</f>
        <v>4.993493E7</v>
      </c>
      <c r="X40" s="36" t="n">
        <f>21</f>
        <v>21.0</v>
      </c>
    </row>
    <row r="41">
      <c r="A41" s="27" t="s">
        <v>42</v>
      </c>
      <c r="B41" s="27" t="s">
        <v>157</v>
      </c>
      <c r="C41" s="27" t="s">
        <v>158</v>
      </c>
      <c r="D41" s="27" t="s">
        <v>159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1963</f>
        <v>1963.0</v>
      </c>
      <c r="L41" s="34" t="s">
        <v>48</v>
      </c>
      <c r="M41" s="33" t="n">
        <f>1963</f>
        <v>1963.0</v>
      </c>
      <c r="N41" s="34" t="s">
        <v>48</v>
      </c>
      <c r="O41" s="33" t="n">
        <f>1918</f>
        <v>1918.0</v>
      </c>
      <c r="P41" s="34" t="s">
        <v>49</v>
      </c>
      <c r="Q41" s="33" t="n">
        <f>1939</f>
        <v>1939.0</v>
      </c>
      <c r="R41" s="34" t="s">
        <v>50</v>
      </c>
      <c r="S41" s="35" t="n">
        <f>1939.52</f>
        <v>1939.52</v>
      </c>
      <c r="T41" s="32" t="n">
        <f>62710</f>
        <v>62710.0</v>
      </c>
      <c r="U41" s="32" t="str">
        <f>"－"</f>
        <v>－</v>
      </c>
      <c r="V41" s="32" t="n">
        <f>121929636</f>
        <v>1.21929636E8</v>
      </c>
      <c r="W41" s="32" t="str">
        <f>"－"</f>
        <v>－</v>
      </c>
      <c r="X41" s="36" t="n">
        <f>21</f>
        <v>21.0</v>
      </c>
    </row>
    <row r="42">
      <c r="A42" s="27" t="s">
        <v>42</v>
      </c>
      <c r="B42" s="27" t="s">
        <v>160</v>
      </c>
      <c r="C42" s="27" t="s">
        <v>161</v>
      </c>
      <c r="D42" s="27" t="s">
        <v>162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2657</f>
        <v>2657.0</v>
      </c>
      <c r="L42" s="34" t="s">
        <v>48</v>
      </c>
      <c r="M42" s="33" t="n">
        <f>3295</f>
        <v>3295.0</v>
      </c>
      <c r="N42" s="34" t="s">
        <v>49</v>
      </c>
      <c r="O42" s="33" t="n">
        <f>2557</f>
        <v>2557.0</v>
      </c>
      <c r="P42" s="34" t="s">
        <v>50</v>
      </c>
      <c r="Q42" s="33" t="n">
        <f>2558</f>
        <v>2558.0</v>
      </c>
      <c r="R42" s="34" t="s">
        <v>50</v>
      </c>
      <c r="S42" s="35" t="n">
        <f>2709</f>
        <v>2709.0</v>
      </c>
      <c r="T42" s="32" t="n">
        <f>10414903</f>
        <v>1.0414903E7</v>
      </c>
      <c r="U42" s="32" t="n">
        <f>1378871</f>
        <v>1378871.0</v>
      </c>
      <c r="V42" s="32" t="n">
        <f>29970010605</f>
        <v>2.9970010605E10</v>
      </c>
      <c r="W42" s="32" t="n">
        <f>4085679483</f>
        <v>4.085679483E9</v>
      </c>
      <c r="X42" s="36" t="n">
        <f>21</f>
        <v>21.0</v>
      </c>
    </row>
    <row r="43">
      <c r="A43" s="27" t="s">
        <v>42</v>
      </c>
      <c r="B43" s="27" t="s">
        <v>163</v>
      </c>
      <c r="C43" s="27" t="s">
        <v>164</v>
      </c>
      <c r="D43" s="27" t="s">
        <v>165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3105</f>
        <v>3105.0</v>
      </c>
      <c r="L43" s="34" t="s">
        <v>48</v>
      </c>
      <c r="M43" s="33" t="n">
        <f>4080</f>
        <v>4080.0</v>
      </c>
      <c r="N43" s="34" t="s">
        <v>49</v>
      </c>
      <c r="O43" s="33" t="n">
        <f>3030</f>
        <v>3030.0</v>
      </c>
      <c r="P43" s="34" t="s">
        <v>50</v>
      </c>
      <c r="Q43" s="33" t="n">
        <f>3045</f>
        <v>3045.0</v>
      </c>
      <c r="R43" s="34" t="s">
        <v>50</v>
      </c>
      <c r="S43" s="35" t="n">
        <f>3207.14</f>
        <v>3207.14</v>
      </c>
      <c r="T43" s="32" t="n">
        <f>1678173</f>
        <v>1678173.0</v>
      </c>
      <c r="U43" s="32" t="n">
        <f>762609</f>
        <v>762609.0</v>
      </c>
      <c r="V43" s="32" t="n">
        <f>5804817485</f>
        <v>5.804817485E9</v>
      </c>
      <c r="W43" s="32" t="n">
        <f>2654316480</f>
        <v>2.65431648E9</v>
      </c>
      <c r="X43" s="36" t="n">
        <f>21</f>
        <v>21.0</v>
      </c>
    </row>
    <row r="44">
      <c r="A44" s="27" t="s">
        <v>42</v>
      </c>
      <c r="B44" s="27" t="s">
        <v>166</v>
      </c>
      <c r="C44" s="27" t="s">
        <v>167</v>
      </c>
      <c r="D44" s="27" t="s">
        <v>168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32940</f>
        <v>32940.0</v>
      </c>
      <c r="L44" s="34" t="s">
        <v>48</v>
      </c>
      <c r="M44" s="33" t="n">
        <f>32950</f>
        <v>32950.0</v>
      </c>
      <c r="N44" s="34" t="s">
        <v>48</v>
      </c>
      <c r="O44" s="33" t="n">
        <f>23190</f>
        <v>23190.0</v>
      </c>
      <c r="P44" s="34" t="s">
        <v>49</v>
      </c>
      <c r="Q44" s="33" t="n">
        <f>31430</f>
        <v>31430.0</v>
      </c>
      <c r="R44" s="34" t="s">
        <v>50</v>
      </c>
      <c r="S44" s="35" t="n">
        <f>28891.9</f>
        <v>28891.9</v>
      </c>
      <c r="T44" s="32" t="n">
        <f>11466325</f>
        <v>1.1466325E7</v>
      </c>
      <c r="U44" s="32" t="n">
        <f>126161</f>
        <v>126161.0</v>
      </c>
      <c r="V44" s="32" t="n">
        <f>323913146671</f>
        <v>3.23913146671E11</v>
      </c>
      <c r="W44" s="32" t="n">
        <f>3666410951</f>
        <v>3.666410951E9</v>
      </c>
      <c r="X44" s="36" t="n">
        <f>21</f>
        <v>21.0</v>
      </c>
    </row>
    <row r="45">
      <c r="A45" s="27" t="s">
        <v>42</v>
      </c>
      <c r="B45" s="27" t="s">
        <v>169</v>
      </c>
      <c r="C45" s="27" t="s">
        <v>170</v>
      </c>
      <c r="D45" s="27" t="s">
        <v>171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579</f>
        <v>579.0</v>
      </c>
      <c r="L45" s="34" t="s">
        <v>48</v>
      </c>
      <c r="M45" s="33" t="n">
        <f>767</f>
        <v>767.0</v>
      </c>
      <c r="N45" s="34" t="s">
        <v>49</v>
      </c>
      <c r="O45" s="33" t="n">
        <f>522</f>
        <v>522.0</v>
      </c>
      <c r="P45" s="34" t="s">
        <v>50</v>
      </c>
      <c r="Q45" s="33" t="n">
        <f>524</f>
        <v>524.0</v>
      </c>
      <c r="R45" s="34" t="s">
        <v>50</v>
      </c>
      <c r="S45" s="35" t="n">
        <f>587.52</f>
        <v>587.52</v>
      </c>
      <c r="T45" s="32" t="n">
        <f>409724775</f>
        <v>4.09724775E8</v>
      </c>
      <c r="U45" s="32" t="n">
        <f>3729981</f>
        <v>3729981.0</v>
      </c>
      <c r="V45" s="32" t="n">
        <f>249108599448</f>
        <v>2.49108599448E11</v>
      </c>
      <c r="W45" s="32" t="n">
        <f>2239155544</f>
        <v>2.239155544E9</v>
      </c>
      <c r="X45" s="36" t="n">
        <f>21</f>
        <v>21.0</v>
      </c>
    </row>
    <row r="46">
      <c r="A46" s="27" t="s">
        <v>42</v>
      </c>
      <c r="B46" s="27" t="s">
        <v>172</v>
      </c>
      <c r="C46" s="27" t="s">
        <v>173</v>
      </c>
      <c r="D46" s="27" t="s">
        <v>174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31300</f>
        <v>31300.0</v>
      </c>
      <c r="L46" s="34" t="s">
        <v>48</v>
      </c>
      <c r="M46" s="33" t="n">
        <f>31380</f>
        <v>31380.0</v>
      </c>
      <c r="N46" s="34" t="s">
        <v>48</v>
      </c>
      <c r="O46" s="33" t="n">
        <f>22500</f>
        <v>22500.0</v>
      </c>
      <c r="P46" s="34" t="s">
        <v>49</v>
      </c>
      <c r="Q46" s="33" t="n">
        <f>29290</f>
        <v>29290.0</v>
      </c>
      <c r="R46" s="34" t="s">
        <v>50</v>
      </c>
      <c r="S46" s="35" t="n">
        <f>27195</f>
        <v>27195.0</v>
      </c>
      <c r="T46" s="32" t="n">
        <f>10363</f>
        <v>10363.0</v>
      </c>
      <c r="U46" s="32" t="str">
        <f>"－"</f>
        <v>－</v>
      </c>
      <c r="V46" s="32" t="n">
        <f>283295095</f>
        <v>2.83295095E8</v>
      </c>
      <c r="W46" s="32" t="str">
        <f>"－"</f>
        <v>－</v>
      </c>
      <c r="X46" s="36" t="n">
        <f>21</f>
        <v>21.0</v>
      </c>
    </row>
    <row r="47">
      <c r="A47" s="27" t="s">
        <v>42</v>
      </c>
      <c r="B47" s="27" t="s">
        <v>175</v>
      </c>
      <c r="C47" s="27" t="s">
        <v>176</v>
      </c>
      <c r="D47" s="27" t="s">
        <v>177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2956</f>
        <v>2956.0</v>
      </c>
      <c r="L47" s="34" t="s">
        <v>48</v>
      </c>
      <c r="M47" s="33" t="n">
        <f>3730</f>
        <v>3730.0</v>
      </c>
      <c r="N47" s="34" t="s">
        <v>49</v>
      </c>
      <c r="O47" s="33" t="n">
        <f>2725</f>
        <v>2725.0</v>
      </c>
      <c r="P47" s="34" t="s">
        <v>67</v>
      </c>
      <c r="Q47" s="33" t="n">
        <f>2912</f>
        <v>2912.0</v>
      </c>
      <c r="R47" s="34" t="s">
        <v>50</v>
      </c>
      <c r="S47" s="35" t="n">
        <f>2950.76</f>
        <v>2950.76</v>
      </c>
      <c r="T47" s="32" t="n">
        <f>121975</f>
        <v>121975.0</v>
      </c>
      <c r="U47" s="32" t="str">
        <f>"－"</f>
        <v>－</v>
      </c>
      <c r="V47" s="32" t="n">
        <f>413467825</f>
        <v>4.13467825E8</v>
      </c>
      <c r="W47" s="32" t="str">
        <f>"－"</f>
        <v>－</v>
      </c>
      <c r="X47" s="36" t="n">
        <f>21</f>
        <v>21.0</v>
      </c>
    </row>
    <row r="48">
      <c r="A48" s="27" t="s">
        <v>42</v>
      </c>
      <c r="B48" s="27" t="s">
        <v>178</v>
      </c>
      <c r="C48" s="27" t="s">
        <v>179</v>
      </c>
      <c r="D48" s="27" t="s">
        <v>180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664</f>
        <v>664.0</v>
      </c>
      <c r="L48" s="34" t="s">
        <v>48</v>
      </c>
      <c r="M48" s="33" t="n">
        <f>927</f>
        <v>927.0</v>
      </c>
      <c r="N48" s="34" t="s">
        <v>49</v>
      </c>
      <c r="O48" s="33" t="n">
        <f>607</f>
        <v>607.0</v>
      </c>
      <c r="P48" s="34" t="s">
        <v>67</v>
      </c>
      <c r="Q48" s="33" t="n">
        <f>617</f>
        <v>617.0</v>
      </c>
      <c r="R48" s="34" t="s">
        <v>50</v>
      </c>
      <c r="S48" s="35" t="n">
        <f>690.71</f>
        <v>690.71</v>
      </c>
      <c r="T48" s="32" t="n">
        <f>188537</f>
        <v>188537.0</v>
      </c>
      <c r="U48" s="32" t="str">
        <f>"－"</f>
        <v>－</v>
      </c>
      <c r="V48" s="32" t="n">
        <f>150063753</f>
        <v>1.50063753E8</v>
      </c>
      <c r="W48" s="32" t="str">
        <f>"－"</f>
        <v>－</v>
      </c>
      <c r="X48" s="36" t="n">
        <f>21</f>
        <v>21.0</v>
      </c>
    </row>
    <row r="49">
      <c r="A49" s="27" t="s">
        <v>42</v>
      </c>
      <c r="B49" s="27" t="s">
        <v>181</v>
      </c>
      <c r="C49" s="27" t="s">
        <v>182</v>
      </c>
      <c r="D49" s="27" t="s">
        <v>183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649</f>
        <v>649.0</v>
      </c>
      <c r="L49" s="34" t="s">
        <v>48</v>
      </c>
      <c r="M49" s="33" t="n">
        <f>913.6</f>
        <v>913.6</v>
      </c>
      <c r="N49" s="34" t="s">
        <v>49</v>
      </c>
      <c r="O49" s="33" t="n">
        <f>612</f>
        <v>612.0</v>
      </c>
      <c r="P49" s="34" t="s">
        <v>50</v>
      </c>
      <c r="Q49" s="33" t="n">
        <f>613.3</f>
        <v>613.3</v>
      </c>
      <c r="R49" s="34" t="s">
        <v>50</v>
      </c>
      <c r="S49" s="35" t="n">
        <f>682.81</f>
        <v>682.81</v>
      </c>
      <c r="T49" s="32" t="n">
        <f>734020</f>
        <v>734020.0</v>
      </c>
      <c r="U49" s="32" t="n">
        <f>100</f>
        <v>100.0</v>
      </c>
      <c r="V49" s="32" t="n">
        <f>568911996</f>
        <v>5.68911996E8</v>
      </c>
      <c r="W49" s="32" t="n">
        <f>74000</f>
        <v>74000.0</v>
      </c>
      <c r="X49" s="36" t="n">
        <f>21</f>
        <v>21.0</v>
      </c>
    </row>
    <row r="50">
      <c r="A50" s="27" t="s">
        <v>42</v>
      </c>
      <c r="B50" s="27" t="s">
        <v>184</v>
      </c>
      <c r="C50" s="27" t="s">
        <v>185</v>
      </c>
      <c r="D50" s="27" t="s">
        <v>186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268</f>
        <v>268.0</v>
      </c>
      <c r="L50" s="34" t="s">
        <v>48</v>
      </c>
      <c r="M50" s="33" t="n">
        <f>404</f>
        <v>404.0</v>
      </c>
      <c r="N50" s="34" t="s">
        <v>49</v>
      </c>
      <c r="O50" s="33" t="n">
        <f>246</f>
        <v>246.0</v>
      </c>
      <c r="P50" s="34" t="s">
        <v>84</v>
      </c>
      <c r="Q50" s="33" t="n">
        <f>247</f>
        <v>247.0</v>
      </c>
      <c r="R50" s="34" t="s">
        <v>50</v>
      </c>
      <c r="S50" s="35" t="n">
        <f>277.05</f>
        <v>277.05</v>
      </c>
      <c r="T50" s="32" t="n">
        <f>1204827</f>
        <v>1204827.0</v>
      </c>
      <c r="U50" s="32" t="str">
        <f>"－"</f>
        <v>－</v>
      </c>
      <c r="V50" s="32" t="n">
        <f>390523286</f>
        <v>3.90523286E8</v>
      </c>
      <c r="W50" s="32" t="str">
        <f>"－"</f>
        <v>－</v>
      </c>
      <c r="X50" s="36" t="n">
        <f>21</f>
        <v>21.0</v>
      </c>
    </row>
    <row r="51">
      <c r="A51" s="27" t="s">
        <v>42</v>
      </c>
      <c r="B51" s="27" t="s">
        <v>187</v>
      </c>
      <c r="C51" s="27" t="s">
        <v>188</v>
      </c>
      <c r="D51" s="27" t="s">
        <v>189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2786.5</f>
        <v>2786.5</v>
      </c>
      <c r="L51" s="34" t="s">
        <v>48</v>
      </c>
      <c r="M51" s="33" t="n">
        <f>2935.5</f>
        <v>2935.5</v>
      </c>
      <c r="N51" s="34" t="s">
        <v>49</v>
      </c>
      <c r="O51" s="33" t="n">
        <f>2189</f>
        <v>2189.0</v>
      </c>
      <c r="P51" s="34" t="s">
        <v>49</v>
      </c>
      <c r="Q51" s="33" t="n">
        <f>2753</f>
        <v>2753.0</v>
      </c>
      <c r="R51" s="34" t="s">
        <v>50</v>
      </c>
      <c r="S51" s="35" t="n">
        <f>2667.07</f>
        <v>2667.07</v>
      </c>
      <c r="T51" s="32" t="n">
        <f>407820</f>
        <v>407820.0</v>
      </c>
      <c r="U51" s="32" t="n">
        <f>128000</f>
        <v>128000.0</v>
      </c>
      <c r="V51" s="32" t="n">
        <f>1047159755</f>
        <v>1.047159755E9</v>
      </c>
      <c r="W51" s="32" t="n">
        <f>336603100</f>
        <v>3.366031E8</v>
      </c>
      <c r="X51" s="36" t="n">
        <f>21</f>
        <v>21.0</v>
      </c>
    </row>
    <row r="52">
      <c r="A52" s="27" t="s">
        <v>42</v>
      </c>
      <c r="B52" s="27" t="s">
        <v>190</v>
      </c>
      <c r="C52" s="27" t="s">
        <v>191</v>
      </c>
      <c r="D52" s="27" t="s">
        <v>192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25205</f>
        <v>25205.0</v>
      </c>
      <c r="L52" s="34" t="s">
        <v>48</v>
      </c>
      <c r="M52" s="33" t="n">
        <f>25205</f>
        <v>25205.0</v>
      </c>
      <c r="N52" s="34" t="s">
        <v>48</v>
      </c>
      <c r="O52" s="33" t="n">
        <f>21070</f>
        <v>21070.0</v>
      </c>
      <c r="P52" s="34" t="s">
        <v>49</v>
      </c>
      <c r="Q52" s="33" t="n">
        <f>25005</f>
        <v>25005.0</v>
      </c>
      <c r="R52" s="34" t="s">
        <v>50</v>
      </c>
      <c r="S52" s="35" t="n">
        <f>24109</f>
        <v>24109.0</v>
      </c>
      <c r="T52" s="32" t="n">
        <f>1664</f>
        <v>1664.0</v>
      </c>
      <c r="U52" s="32" t="str">
        <f>"－"</f>
        <v>－</v>
      </c>
      <c r="V52" s="32" t="n">
        <f>39158500</f>
        <v>3.91585E7</v>
      </c>
      <c r="W52" s="32" t="str">
        <f>"－"</f>
        <v>－</v>
      </c>
      <c r="X52" s="36" t="n">
        <f>20</f>
        <v>20.0</v>
      </c>
    </row>
    <row r="53">
      <c r="A53" s="27" t="s">
        <v>42</v>
      </c>
      <c r="B53" s="27" t="s">
        <v>193</v>
      </c>
      <c r="C53" s="27" t="s">
        <v>194</v>
      </c>
      <c r="D53" s="27" t="s">
        <v>195</v>
      </c>
      <c r="E53" s="28" t="s">
        <v>196</v>
      </c>
      <c r="F53" s="29" t="s">
        <v>197</v>
      </c>
      <c r="G53" s="30" t="s">
        <v>46</v>
      </c>
      <c r="H53" s="31"/>
      <c r="I53" s="31" t="s">
        <v>47</v>
      </c>
      <c r="J53" s="32" t="n">
        <v>10.0</v>
      </c>
      <c r="K53" s="33" t="n">
        <f>2862</f>
        <v>2862.0</v>
      </c>
      <c r="L53" s="34" t="s">
        <v>48</v>
      </c>
      <c r="M53" s="33" t="n">
        <f>2863</f>
        <v>2863.0</v>
      </c>
      <c r="N53" s="34" t="s">
        <v>48</v>
      </c>
      <c r="O53" s="33" t="n">
        <f>2336</f>
        <v>2336.0</v>
      </c>
      <c r="P53" s="34" t="s">
        <v>49</v>
      </c>
      <c r="Q53" s="33" t="n">
        <f>2540</f>
        <v>2540.0</v>
      </c>
      <c r="R53" s="34" t="s">
        <v>60</v>
      </c>
      <c r="S53" s="35" t="n">
        <f>2612.8</f>
        <v>2612.8</v>
      </c>
      <c r="T53" s="32" t="n">
        <f>15834913</f>
        <v>1.5834913E7</v>
      </c>
      <c r="U53" s="32" t="n">
        <f>8464832</f>
        <v>8464832.0</v>
      </c>
      <c r="V53" s="32" t="n">
        <f>40970622634</f>
        <v>4.0970622634E10</v>
      </c>
      <c r="W53" s="32" t="n">
        <f>21752131805</f>
        <v>2.1752131805E10</v>
      </c>
      <c r="X53" s="36" t="n">
        <f>5</f>
        <v>5.0</v>
      </c>
    </row>
    <row r="54">
      <c r="A54" s="27" t="s">
        <v>42</v>
      </c>
      <c r="B54" s="27" t="s">
        <v>193</v>
      </c>
      <c r="C54" s="27" t="s">
        <v>194</v>
      </c>
      <c r="D54" s="27" t="s">
        <v>195</v>
      </c>
      <c r="E54" s="28" t="s">
        <v>196</v>
      </c>
      <c r="F54" s="29" t="s">
        <v>197</v>
      </c>
      <c r="G54" s="30" t="s">
        <v>46</v>
      </c>
      <c r="H54" s="31"/>
      <c r="I54" s="31" t="s">
        <v>47</v>
      </c>
      <c r="J54" s="32" t="n">
        <v>10.0</v>
      </c>
      <c r="K54" s="33" t="n">
        <f>250.8</f>
        <v>250.8</v>
      </c>
      <c r="L54" s="34" t="s">
        <v>198</v>
      </c>
      <c r="M54" s="33" t="n">
        <f>277.9</f>
        <v>277.9</v>
      </c>
      <c r="N54" s="34" t="s">
        <v>50</v>
      </c>
      <c r="O54" s="33" t="n">
        <f>249</f>
        <v>249.0</v>
      </c>
      <c r="P54" s="34" t="s">
        <v>198</v>
      </c>
      <c r="Q54" s="33" t="n">
        <f>277.9</f>
        <v>277.9</v>
      </c>
      <c r="R54" s="34" t="s">
        <v>50</v>
      </c>
      <c r="S54" s="35" t="n">
        <f>269.41</f>
        <v>269.41</v>
      </c>
      <c r="T54" s="32" t="n">
        <f>86775570</f>
        <v>8.677557E7</v>
      </c>
      <c r="U54" s="32" t="n">
        <f>61188390</f>
        <v>6.118839E7</v>
      </c>
      <c r="V54" s="32" t="n">
        <f>23490515586</f>
        <v>2.3490515586E10</v>
      </c>
      <c r="W54" s="32" t="n">
        <f>16655996982</f>
        <v>1.6655996982E10</v>
      </c>
      <c r="X54" s="36" t="n">
        <f>16</f>
        <v>16.0</v>
      </c>
    </row>
    <row r="55">
      <c r="A55" s="27" t="s">
        <v>42</v>
      </c>
      <c r="B55" s="27" t="s">
        <v>199</v>
      </c>
      <c r="C55" s="27" t="s">
        <v>200</v>
      </c>
      <c r="D55" s="27" t="s">
        <v>201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1799</f>
        <v>1799.0</v>
      </c>
      <c r="L55" s="34" t="s">
        <v>48</v>
      </c>
      <c r="M55" s="33" t="n">
        <f>1852</f>
        <v>1852.0</v>
      </c>
      <c r="N55" s="34" t="s">
        <v>104</v>
      </c>
      <c r="O55" s="33" t="n">
        <f>1683</f>
        <v>1683.0</v>
      </c>
      <c r="P55" s="34" t="s">
        <v>49</v>
      </c>
      <c r="Q55" s="33" t="n">
        <f>1820</f>
        <v>1820.0</v>
      </c>
      <c r="R55" s="34" t="s">
        <v>50</v>
      </c>
      <c r="S55" s="35" t="n">
        <f>1785.19</f>
        <v>1785.19</v>
      </c>
      <c r="T55" s="32" t="n">
        <f>19957234</f>
        <v>1.9957234E7</v>
      </c>
      <c r="U55" s="32" t="n">
        <f>12458915</f>
        <v>1.2458915E7</v>
      </c>
      <c r="V55" s="32" t="n">
        <f>35479077713</f>
        <v>3.5479077713E10</v>
      </c>
      <c r="W55" s="32" t="n">
        <f>22086832137</f>
        <v>2.2086832137E10</v>
      </c>
      <c r="X55" s="36" t="n">
        <f>21</f>
        <v>21.0</v>
      </c>
    </row>
    <row r="56">
      <c r="A56" s="27" t="s">
        <v>42</v>
      </c>
      <c r="B56" s="27" t="s">
        <v>202</v>
      </c>
      <c r="C56" s="27" t="s">
        <v>203</v>
      </c>
      <c r="D56" s="27" t="s">
        <v>204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2646</f>
        <v>2646.0</v>
      </c>
      <c r="L56" s="34" t="s">
        <v>48</v>
      </c>
      <c r="M56" s="33" t="n">
        <f>2696</f>
        <v>2696.0</v>
      </c>
      <c r="N56" s="34" t="s">
        <v>49</v>
      </c>
      <c r="O56" s="33" t="n">
        <f>2249</f>
        <v>2249.0</v>
      </c>
      <c r="P56" s="34" t="s">
        <v>49</v>
      </c>
      <c r="Q56" s="33" t="n">
        <f>2577</f>
        <v>2577.0</v>
      </c>
      <c r="R56" s="34" t="s">
        <v>50</v>
      </c>
      <c r="S56" s="35" t="n">
        <f>2501.05</f>
        <v>2501.05</v>
      </c>
      <c r="T56" s="32" t="n">
        <f>163153</f>
        <v>163153.0</v>
      </c>
      <c r="U56" s="32" t="n">
        <f>9796</f>
        <v>9796.0</v>
      </c>
      <c r="V56" s="32" t="n">
        <f>401511653</f>
        <v>4.01511653E8</v>
      </c>
      <c r="W56" s="32" t="n">
        <f>25268564</f>
        <v>2.5268564E7</v>
      </c>
      <c r="X56" s="36" t="n">
        <f>21</f>
        <v>21.0</v>
      </c>
    </row>
    <row r="57">
      <c r="A57" s="27" t="s">
        <v>42</v>
      </c>
      <c r="B57" s="27" t="s">
        <v>205</v>
      </c>
      <c r="C57" s="27" t="s">
        <v>206</v>
      </c>
      <c r="D57" s="27" t="s">
        <v>207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3780</f>
        <v>3780.0</v>
      </c>
      <c r="L57" s="34" t="s">
        <v>48</v>
      </c>
      <c r="M57" s="33" t="n">
        <f>3785</f>
        <v>3785.0</v>
      </c>
      <c r="N57" s="34" t="s">
        <v>48</v>
      </c>
      <c r="O57" s="33" t="n">
        <f>3095</f>
        <v>3095.0</v>
      </c>
      <c r="P57" s="34" t="s">
        <v>49</v>
      </c>
      <c r="Q57" s="33" t="n">
        <f>3640</f>
        <v>3640.0</v>
      </c>
      <c r="R57" s="34" t="s">
        <v>50</v>
      </c>
      <c r="S57" s="35" t="n">
        <f>3500</f>
        <v>3500.0</v>
      </c>
      <c r="T57" s="32" t="n">
        <f>1124940</f>
        <v>1124940.0</v>
      </c>
      <c r="U57" s="32" t="n">
        <f>284495</f>
        <v>284495.0</v>
      </c>
      <c r="V57" s="32" t="n">
        <f>3818075085</f>
        <v>3.818075085E9</v>
      </c>
      <c r="W57" s="32" t="n">
        <f>939723055</f>
        <v>9.39723055E8</v>
      </c>
      <c r="X57" s="36" t="n">
        <f>21</f>
        <v>21.0</v>
      </c>
    </row>
    <row r="58">
      <c r="A58" s="27" t="s">
        <v>42</v>
      </c>
      <c r="B58" s="27" t="s">
        <v>208</v>
      </c>
      <c r="C58" s="27" t="s">
        <v>209</v>
      </c>
      <c r="D58" s="27" t="s">
        <v>210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31820</f>
        <v>31820.0</v>
      </c>
      <c r="L58" s="34" t="s">
        <v>60</v>
      </c>
      <c r="M58" s="33" t="n">
        <f>36050</f>
        <v>36050.0</v>
      </c>
      <c r="N58" s="34" t="s">
        <v>67</v>
      </c>
      <c r="O58" s="33" t="n">
        <f>31800</f>
        <v>31800.0</v>
      </c>
      <c r="P58" s="34" t="s">
        <v>60</v>
      </c>
      <c r="Q58" s="33" t="n">
        <f>35510</f>
        <v>35510.0</v>
      </c>
      <c r="R58" s="34" t="s">
        <v>153</v>
      </c>
      <c r="S58" s="35" t="n">
        <f>34638</f>
        <v>34638.0</v>
      </c>
      <c r="T58" s="32" t="n">
        <f>197</f>
        <v>197.0</v>
      </c>
      <c r="U58" s="32" t="str">
        <f>"－"</f>
        <v>－</v>
      </c>
      <c r="V58" s="32" t="n">
        <f>6563540</f>
        <v>6563540.0</v>
      </c>
      <c r="W58" s="32" t="str">
        <f>"－"</f>
        <v>－</v>
      </c>
      <c r="X58" s="36" t="n">
        <f>10</f>
        <v>10.0</v>
      </c>
    </row>
    <row r="59">
      <c r="A59" s="27" t="s">
        <v>42</v>
      </c>
      <c r="B59" s="27" t="s">
        <v>211</v>
      </c>
      <c r="C59" s="27" t="s">
        <v>212</v>
      </c>
      <c r="D59" s="27" t="s">
        <v>213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27990</f>
        <v>27990.0</v>
      </c>
      <c r="L59" s="34" t="s">
        <v>48</v>
      </c>
      <c r="M59" s="33" t="n">
        <f>27990</f>
        <v>27990.0</v>
      </c>
      <c r="N59" s="34" t="s">
        <v>48</v>
      </c>
      <c r="O59" s="33" t="n">
        <f>21260</f>
        <v>21260.0</v>
      </c>
      <c r="P59" s="34" t="s">
        <v>214</v>
      </c>
      <c r="Q59" s="33" t="n">
        <f>27030</f>
        <v>27030.0</v>
      </c>
      <c r="R59" s="34" t="s">
        <v>215</v>
      </c>
      <c r="S59" s="35" t="n">
        <f>25947.73</f>
        <v>25947.73</v>
      </c>
      <c r="T59" s="32" t="n">
        <f>259</f>
        <v>259.0</v>
      </c>
      <c r="U59" s="32" t="str">
        <f>"－"</f>
        <v>－</v>
      </c>
      <c r="V59" s="32" t="n">
        <f>6116670</f>
        <v>6116670.0</v>
      </c>
      <c r="W59" s="32" t="str">
        <f>"－"</f>
        <v>－</v>
      </c>
      <c r="X59" s="36" t="n">
        <f>11</f>
        <v>11.0</v>
      </c>
    </row>
    <row r="60">
      <c r="A60" s="27" t="s">
        <v>42</v>
      </c>
      <c r="B60" s="27" t="s">
        <v>216</v>
      </c>
      <c r="C60" s="27" t="s">
        <v>217</v>
      </c>
      <c r="D60" s="27" t="s">
        <v>218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2995</f>
        <v>2995.0</v>
      </c>
      <c r="L60" s="34" t="s">
        <v>48</v>
      </c>
      <c r="M60" s="33" t="n">
        <f>2995</f>
        <v>2995.0</v>
      </c>
      <c r="N60" s="34" t="s">
        <v>48</v>
      </c>
      <c r="O60" s="33" t="n">
        <f>2534</f>
        <v>2534.0</v>
      </c>
      <c r="P60" s="34" t="s">
        <v>49</v>
      </c>
      <c r="Q60" s="33" t="n">
        <f>2867</f>
        <v>2867.0</v>
      </c>
      <c r="R60" s="34" t="s">
        <v>50</v>
      </c>
      <c r="S60" s="35" t="n">
        <f>2798</f>
        <v>2798.0</v>
      </c>
      <c r="T60" s="32" t="n">
        <f>2210</f>
        <v>2210.0</v>
      </c>
      <c r="U60" s="32" t="n">
        <f>1</f>
        <v>1.0</v>
      </c>
      <c r="V60" s="32" t="n">
        <f>6129451</f>
        <v>6129451.0</v>
      </c>
      <c r="W60" s="32" t="n">
        <f>2634</f>
        <v>2634.0</v>
      </c>
      <c r="X60" s="36" t="n">
        <f>21</f>
        <v>21.0</v>
      </c>
    </row>
    <row r="61">
      <c r="A61" s="27" t="s">
        <v>42</v>
      </c>
      <c r="B61" s="27" t="s">
        <v>219</v>
      </c>
      <c r="C61" s="27" t="s">
        <v>220</v>
      </c>
      <c r="D61" s="27" t="s">
        <v>221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1736</f>
        <v>1736.0</v>
      </c>
      <c r="L61" s="34" t="s">
        <v>48</v>
      </c>
      <c r="M61" s="33" t="n">
        <f>1779</f>
        <v>1779.0</v>
      </c>
      <c r="N61" s="34" t="s">
        <v>49</v>
      </c>
      <c r="O61" s="33" t="n">
        <f>1733</f>
        <v>1733.0</v>
      </c>
      <c r="P61" s="34" t="s">
        <v>48</v>
      </c>
      <c r="Q61" s="33" t="n">
        <f>1756</f>
        <v>1756.0</v>
      </c>
      <c r="R61" s="34" t="s">
        <v>50</v>
      </c>
      <c r="S61" s="35" t="n">
        <f>1757.76</f>
        <v>1757.76</v>
      </c>
      <c r="T61" s="32" t="n">
        <f>10530172</f>
        <v>1.0530172E7</v>
      </c>
      <c r="U61" s="32" t="n">
        <f>6936444</f>
        <v>6936444.0</v>
      </c>
      <c r="V61" s="32" t="n">
        <f>18479852810</f>
        <v>1.847985281E10</v>
      </c>
      <c r="W61" s="32" t="n">
        <f>12154439340</f>
        <v>1.215443934E10</v>
      </c>
      <c r="X61" s="36" t="n">
        <f>21</f>
        <v>21.0</v>
      </c>
    </row>
    <row r="62">
      <c r="A62" s="27" t="s">
        <v>42</v>
      </c>
      <c r="B62" s="27" t="s">
        <v>222</v>
      </c>
      <c r="C62" s="27" t="s">
        <v>223</v>
      </c>
      <c r="D62" s="27" t="s">
        <v>224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1.0</v>
      </c>
      <c r="K62" s="33" t="n">
        <f>2924</f>
        <v>2924.0</v>
      </c>
      <c r="L62" s="34" t="s">
        <v>48</v>
      </c>
      <c r="M62" s="33" t="n">
        <f>2924</f>
        <v>2924.0</v>
      </c>
      <c r="N62" s="34" t="s">
        <v>48</v>
      </c>
      <c r="O62" s="33" t="n">
        <f>2445</f>
        <v>2445.0</v>
      </c>
      <c r="P62" s="34" t="s">
        <v>49</v>
      </c>
      <c r="Q62" s="33" t="n">
        <f>2711</f>
        <v>2711.0</v>
      </c>
      <c r="R62" s="34" t="s">
        <v>50</v>
      </c>
      <c r="S62" s="35" t="n">
        <f>2702.8</f>
        <v>2702.8</v>
      </c>
      <c r="T62" s="32" t="n">
        <f>624</f>
        <v>624.0</v>
      </c>
      <c r="U62" s="32" t="str">
        <f>"－"</f>
        <v>－</v>
      </c>
      <c r="V62" s="32" t="n">
        <f>1652253</f>
        <v>1652253.0</v>
      </c>
      <c r="W62" s="32" t="str">
        <f>"－"</f>
        <v>－</v>
      </c>
      <c r="X62" s="36" t="n">
        <f>20</f>
        <v>20.0</v>
      </c>
    </row>
    <row r="63">
      <c r="A63" s="27" t="s">
        <v>42</v>
      </c>
      <c r="B63" s="27" t="s">
        <v>225</v>
      </c>
      <c r="C63" s="27" t="s">
        <v>226</v>
      </c>
      <c r="D63" s="27" t="s">
        <v>227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10.0</v>
      </c>
      <c r="K63" s="33" t="n">
        <f>2878</f>
        <v>2878.0</v>
      </c>
      <c r="L63" s="34" t="s">
        <v>48</v>
      </c>
      <c r="M63" s="33" t="n">
        <f>2878</f>
        <v>2878.0</v>
      </c>
      <c r="N63" s="34" t="s">
        <v>48</v>
      </c>
      <c r="O63" s="33" t="n">
        <f>2439</f>
        <v>2439.0</v>
      </c>
      <c r="P63" s="34" t="s">
        <v>49</v>
      </c>
      <c r="Q63" s="33" t="n">
        <f>2821</f>
        <v>2821.0</v>
      </c>
      <c r="R63" s="34" t="s">
        <v>50</v>
      </c>
      <c r="S63" s="35" t="n">
        <f>2703.14</f>
        <v>2703.14</v>
      </c>
      <c r="T63" s="32" t="n">
        <f>3770</f>
        <v>3770.0</v>
      </c>
      <c r="U63" s="32" t="str">
        <f>"－"</f>
        <v>－</v>
      </c>
      <c r="V63" s="32" t="n">
        <f>10069565</f>
        <v>1.0069565E7</v>
      </c>
      <c r="W63" s="32" t="str">
        <f>"－"</f>
        <v>－</v>
      </c>
      <c r="X63" s="36" t="n">
        <f>21</f>
        <v>21.0</v>
      </c>
    </row>
    <row r="64">
      <c r="A64" s="27" t="s">
        <v>42</v>
      </c>
      <c r="B64" s="27" t="s">
        <v>228</v>
      </c>
      <c r="C64" s="27" t="s">
        <v>229</v>
      </c>
      <c r="D64" s="27" t="s">
        <v>230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39360</f>
        <v>39360.0</v>
      </c>
      <c r="L64" s="34" t="s">
        <v>48</v>
      </c>
      <c r="M64" s="33" t="n">
        <f>47790</f>
        <v>47790.0</v>
      </c>
      <c r="N64" s="34" t="s">
        <v>104</v>
      </c>
      <c r="O64" s="33" t="n">
        <f>38080</f>
        <v>38080.0</v>
      </c>
      <c r="P64" s="34" t="s">
        <v>231</v>
      </c>
      <c r="Q64" s="33" t="n">
        <f>47790</f>
        <v>47790.0</v>
      </c>
      <c r="R64" s="34" t="s">
        <v>50</v>
      </c>
      <c r="S64" s="35" t="n">
        <f>42762</f>
        <v>42762.0</v>
      </c>
      <c r="T64" s="32" t="n">
        <f>24</f>
        <v>24.0</v>
      </c>
      <c r="U64" s="32" t="str">
        <f>"－"</f>
        <v>－</v>
      </c>
      <c r="V64" s="32" t="n">
        <f>1105830</f>
        <v>1105830.0</v>
      </c>
      <c r="W64" s="32" t="str">
        <f>"－"</f>
        <v>－</v>
      </c>
      <c r="X64" s="36" t="n">
        <f>5</f>
        <v>5.0</v>
      </c>
    </row>
    <row r="65">
      <c r="A65" s="27" t="s">
        <v>42</v>
      </c>
      <c r="B65" s="27" t="s">
        <v>232</v>
      </c>
      <c r="C65" s="27" t="s">
        <v>233</v>
      </c>
      <c r="D65" s="27" t="s">
        <v>234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23605</f>
        <v>23605.0</v>
      </c>
      <c r="L65" s="34" t="s">
        <v>48</v>
      </c>
      <c r="M65" s="33" t="n">
        <f>23715</f>
        <v>23715.0</v>
      </c>
      <c r="N65" s="34" t="s">
        <v>67</v>
      </c>
      <c r="O65" s="33" t="n">
        <f>22900</f>
        <v>22900.0</v>
      </c>
      <c r="P65" s="34" t="s">
        <v>49</v>
      </c>
      <c r="Q65" s="33" t="n">
        <f>23135</f>
        <v>23135.0</v>
      </c>
      <c r="R65" s="34" t="s">
        <v>50</v>
      </c>
      <c r="S65" s="35" t="n">
        <f>23356.67</f>
        <v>23356.67</v>
      </c>
      <c r="T65" s="32" t="n">
        <f>245753</f>
        <v>245753.0</v>
      </c>
      <c r="U65" s="32" t="n">
        <f>175008</f>
        <v>175008.0</v>
      </c>
      <c r="V65" s="32" t="n">
        <f>5705302021</f>
        <v>5.705302021E9</v>
      </c>
      <c r="W65" s="32" t="n">
        <f>4058494256</f>
        <v>4.058494256E9</v>
      </c>
      <c r="X65" s="36" t="n">
        <f>21</f>
        <v>21.0</v>
      </c>
    </row>
    <row r="66">
      <c r="A66" s="27" t="s">
        <v>42</v>
      </c>
      <c r="B66" s="27" t="s">
        <v>235</v>
      </c>
      <c r="C66" s="27" t="s">
        <v>236</v>
      </c>
      <c r="D66" s="27" t="s">
        <v>237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13305</f>
        <v>13305.0</v>
      </c>
      <c r="L66" s="34" t="s">
        <v>48</v>
      </c>
      <c r="M66" s="33" t="n">
        <f>13685</f>
        <v>13685.0</v>
      </c>
      <c r="N66" s="34" t="s">
        <v>49</v>
      </c>
      <c r="O66" s="33" t="n">
        <f>13305</f>
        <v>13305.0</v>
      </c>
      <c r="P66" s="34" t="s">
        <v>48</v>
      </c>
      <c r="Q66" s="33" t="n">
        <f>13480</f>
        <v>13480.0</v>
      </c>
      <c r="R66" s="34" t="s">
        <v>50</v>
      </c>
      <c r="S66" s="35" t="n">
        <f>13490.71</f>
        <v>13490.71</v>
      </c>
      <c r="T66" s="32" t="n">
        <f>551073</f>
        <v>551073.0</v>
      </c>
      <c r="U66" s="32" t="n">
        <f>372342</f>
        <v>372342.0</v>
      </c>
      <c r="V66" s="32" t="n">
        <f>7441838093</f>
        <v>7.441838093E9</v>
      </c>
      <c r="W66" s="32" t="n">
        <f>5035355053</f>
        <v>5.035355053E9</v>
      </c>
      <c r="X66" s="36" t="n">
        <f>21</f>
        <v>21.0</v>
      </c>
    </row>
    <row r="67">
      <c r="A67" s="27" t="s">
        <v>42</v>
      </c>
      <c r="B67" s="27" t="s">
        <v>238</v>
      </c>
      <c r="C67" s="27" t="s">
        <v>239</v>
      </c>
      <c r="D67" s="27" t="s">
        <v>240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1784</f>
        <v>1784.0</v>
      </c>
      <c r="L67" s="34" t="s">
        <v>48</v>
      </c>
      <c r="M67" s="33" t="n">
        <f>1867</f>
        <v>1867.0</v>
      </c>
      <c r="N67" s="34" t="s">
        <v>104</v>
      </c>
      <c r="O67" s="33" t="n">
        <f>1681</f>
        <v>1681.0</v>
      </c>
      <c r="P67" s="34" t="s">
        <v>49</v>
      </c>
      <c r="Q67" s="33" t="n">
        <f>1835</f>
        <v>1835.0</v>
      </c>
      <c r="R67" s="34" t="s">
        <v>50</v>
      </c>
      <c r="S67" s="35" t="n">
        <f>1794.76</f>
        <v>1794.76</v>
      </c>
      <c r="T67" s="32" t="n">
        <f>10737318</f>
        <v>1.0737318E7</v>
      </c>
      <c r="U67" s="32" t="n">
        <f>4560071</f>
        <v>4560071.0</v>
      </c>
      <c r="V67" s="32" t="n">
        <f>19098699125</f>
        <v>1.9098699125E10</v>
      </c>
      <c r="W67" s="32" t="n">
        <f>8141118747</f>
        <v>8.141118747E9</v>
      </c>
      <c r="X67" s="36" t="n">
        <f>21</f>
        <v>21.0</v>
      </c>
    </row>
    <row r="68">
      <c r="A68" s="27" t="s">
        <v>42</v>
      </c>
      <c r="B68" s="27" t="s">
        <v>241</v>
      </c>
      <c r="C68" s="27" t="s">
        <v>242</v>
      </c>
      <c r="D68" s="27" t="s">
        <v>243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1.0</v>
      </c>
      <c r="K68" s="33" t="n">
        <f>2363</f>
        <v>2363.0</v>
      </c>
      <c r="L68" s="34" t="s">
        <v>48</v>
      </c>
      <c r="M68" s="33" t="n">
        <f>2363</f>
        <v>2363.0</v>
      </c>
      <c r="N68" s="34" t="s">
        <v>48</v>
      </c>
      <c r="O68" s="33" t="n">
        <f>1874</f>
        <v>1874.0</v>
      </c>
      <c r="P68" s="34" t="s">
        <v>49</v>
      </c>
      <c r="Q68" s="33" t="n">
        <f>2291</f>
        <v>2291.0</v>
      </c>
      <c r="R68" s="34" t="s">
        <v>50</v>
      </c>
      <c r="S68" s="35" t="n">
        <f>2209.62</f>
        <v>2209.62</v>
      </c>
      <c r="T68" s="32" t="n">
        <f>27980824</f>
        <v>2.7980824E7</v>
      </c>
      <c r="U68" s="32" t="n">
        <f>3529723</f>
        <v>3529723.0</v>
      </c>
      <c r="V68" s="32" t="n">
        <f>60480958145</f>
        <v>6.0480958145E10</v>
      </c>
      <c r="W68" s="32" t="n">
        <f>7736402097</f>
        <v>7.736402097E9</v>
      </c>
      <c r="X68" s="36" t="n">
        <f>21</f>
        <v>21.0</v>
      </c>
    </row>
    <row r="69">
      <c r="A69" s="27" t="s">
        <v>42</v>
      </c>
      <c r="B69" s="27" t="s">
        <v>244</v>
      </c>
      <c r="C69" s="27" t="s">
        <v>245</v>
      </c>
      <c r="D69" s="27" t="s">
        <v>246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10.0</v>
      </c>
      <c r="K69" s="33" t="n">
        <f>7539</f>
        <v>7539.0</v>
      </c>
      <c r="L69" s="34" t="s">
        <v>214</v>
      </c>
      <c r="M69" s="33" t="n">
        <f>7594</f>
        <v>7594.0</v>
      </c>
      <c r="N69" s="34" t="s">
        <v>247</v>
      </c>
      <c r="O69" s="33" t="n">
        <f>7523</f>
        <v>7523.0</v>
      </c>
      <c r="P69" s="34" t="s">
        <v>248</v>
      </c>
      <c r="Q69" s="33" t="n">
        <f>7544</f>
        <v>7544.0</v>
      </c>
      <c r="R69" s="34" t="s">
        <v>215</v>
      </c>
      <c r="S69" s="35" t="n">
        <f>7549.6</f>
        <v>7549.6</v>
      </c>
      <c r="T69" s="32" t="n">
        <f>3030</f>
        <v>3030.0</v>
      </c>
      <c r="U69" s="32" t="str">
        <f>"－"</f>
        <v>－</v>
      </c>
      <c r="V69" s="32" t="n">
        <f>22887060</f>
        <v>2.288706E7</v>
      </c>
      <c r="W69" s="32" t="str">
        <f>"－"</f>
        <v>－</v>
      </c>
      <c r="X69" s="36" t="n">
        <f>5</f>
        <v>5.0</v>
      </c>
    </row>
    <row r="70">
      <c r="A70" s="27" t="s">
        <v>42</v>
      </c>
      <c r="B70" s="27" t="s">
        <v>249</v>
      </c>
      <c r="C70" s="27" t="s">
        <v>250</v>
      </c>
      <c r="D70" s="27" t="s">
        <v>251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19355</f>
        <v>19355.0</v>
      </c>
      <c r="L70" s="34" t="s">
        <v>48</v>
      </c>
      <c r="M70" s="33" t="n">
        <f>19355</f>
        <v>19355.0</v>
      </c>
      <c r="N70" s="34" t="s">
        <v>48</v>
      </c>
      <c r="O70" s="33" t="n">
        <f>15595</f>
        <v>15595.0</v>
      </c>
      <c r="P70" s="34" t="s">
        <v>214</v>
      </c>
      <c r="Q70" s="33" t="n">
        <f>19310</f>
        <v>19310.0</v>
      </c>
      <c r="R70" s="34" t="s">
        <v>50</v>
      </c>
      <c r="S70" s="35" t="n">
        <f>18515.24</f>
        <v>18515.24</v>
      </c>
      <c r="T70" s="32" t="n">
        <f>6268</f>
        <v>6268.0</v>
      </c>
      <c r="U70" s="32" t="n">
        <f>1</f>
        <v>1.0</v>
      </c>
      <c r="V70" s="32" t="n">
        <f>116426215</f>
        <v>1.16426215E8</v>
      </c>
      <c r="W70" s="32" t="n">
        <f>19150</f>
        <v>19150.0</v>
      </c>
      <c r="X70" s="36" t="n">
        <f>21</f>
        <v>21.0</v>
      </c>
    </row>
    <row r="71">
      <c r="A71" s="27" t="s">
        <v>42</v>
      </c>
      <c r="B71" s="27" t="s">
        <v>252</v>
      </c>
      <c r="C71" s="27" t="s">
        <v>253</v>
      </c>
      <c r="D71" s="27" t="s">
        <v>254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32000</f>
        <v>32000.0</v>
      </c>
      <c r="L71" s="34" t="s">
        <v>48</v>
      </c>
      <c r="M71" s="33" t="n">
        <f>32000</f>
        <v>32000.0</v>
      </c>
      <c r="N71" s="34" t="s">
        <v>48</v>
      </c>
      <c r="O71" s="33" t="n">
        <f>27300</f>
        <v>27300.0</v>
      </c>
      <c r="P71" s="34" t="s">
        <v>49</v>
      </c>
      <c r="Q71" s="33" t="n">
        <f>30420</f>
        <v>30420.0</v>
      </c>
      <c r="R71" s="34" t="s">
        <v>50</v>
      </c>
      <c r="S71" s="35" t="n">
        <f>29612.86</f>
        <v>29612.86</v>
      </c>
      <c r="T71" s="32" t="n">
        <f>52947</f>
        <v>52947.0</v>
      </c>
      <c r="U71" s="32" t="n">
        <f>21523</f>
        <v>21523.0</v>
      </c>
      <c r="V71" s="32" t="n">
        <f>1536881996</f>
        <v>1.536881996E9</v>
      </c>
      <c r="W71" s="32" t="n">
        <f>611700166</f>
        <v>6.11700166E8</v>
      </c>
      <c r="X71" s="36" t="n">
        <f>21</f>
        <v>21.0</v>
      </c>
    </row>
    <row r="72">
      <c r="A72" s="27" t="s">
        <v>42</v>
      </c>
      <c r="B72" s="27" t="s">
        <v>255</v>
      </c>
      <c r="C72" s="27" t="s">
        <v>256</v>
      </c>
      <c r="D72" s="27" t="s">
        <v>257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10.0</v>
      </c>
      <c r="K72" s="33" t="n">
        <f>10190</f>
        <v>10190.0</v>
      </c>
      <c r="L72" s="34" t="s">
        <v>48</v>
      </c>
      <c r="M72" s="33" t="n">
        <f>10395</f>
        <v>10395.0</v>
      </c>
      <c r="N72" s="34" t="s">
        <v>50</v>
      </c>
      <c r="O72" s="33" t="n">
        <f>9658</f>
        <v>9658.0</v>
      </c>
      <c r="P72" s="34" t="s">
        <v>49</v>
      </c>
      <c r="Q72" s="33" t="n">
        <f>10330</f>
        <v>10330.0</v>
      </c>
      <c r="R72" s="34" t="s">
        <v>50</v>
      </c>
      <c r="S72" s="35" t="n">
        <f>10088.86</f>
        <v>10088.86</v>
      </c>
      <c r="T72" s="32" t="n">
        <f>17100</f>
        <v>17100.0</v>
      </c>
      <c r="U72" s="32" t="n">
        <f>40</f>
        <v>40.0</v>
      </c>
      <c r="V72" s="32" t="n">
        <f>172436640</f>
        <v>1.7243664E8</v>
      </c>
      <c r="W72" s="32" t="n">
        <f>402560</f>
        <v>402560.0</v>
      </c>
      <c r="X72" s="36" t="n">
        <f>21</f>
        <v>21.0</v>
      </c>
    </row>
    <row r="73">
      <c r="A73" s="27" t="s">
        <v>42</v>
      </c>
      <c r="B73" s="27" t="s">
        <v>258</v>
      </c>
      <c r="C73" s="27" t="s">
        <v>259</v>
      </c>
      <c r="D73" s="27" t="s">
        <v>260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1840</f>
        <v>1840.0</v>
      </c>
      <c r="L73" s="34" t="s">
        <v>48</v>
      </c>
      <c r="M73" s="33" t="n">
        <f>1888</f>
        <v>1888.0</v>
      </c>
      <c r="N73" s="34" t="s">
        <v>261</v>
      </c>
      <c r="O73" s="33" t="n">
        <f>1835</f>
        <v>1835.0</v>
      </c>
      <c r="P73" s="34" t="s">
        <v>48</v>
      </c>
      <c r="Q73" s="33" t="n">
        <f>1870</f>
        <v>1870.0</v>
      </c>
      <c r="R73" s="34" t="s">
        <v>50</v>
      </c>
      <c r="S73" s="35" t="n">
        <f>1861.81</f>
        <v>1861.81</v>
      </c>
      <c r="T73" s="32" t="n">
        <f>3080479</f>
        <v>3080479.0</v>
      </c>
      <c r="U73" s="32" t="n">
        <f>2397000</f>
        <v>2397000.0</v>
      </c>
      <c r="V73" s="32" t="n">
        <f>5764356952</f>
        <v>5.764356952E9</v>
      </c>
      <c r="W73" s="32" t="n">
        <f>4491128100</f>
        <v>4.4911281E9</v>
      </c>
      <c r="X73" s="36" t="n">
        <f>21</f>
        <v>21.0</v>
      </c>
    </row>
    <row r="74">
      <c r="A74" s="27" t="s">
        <v>42</v>
      </c>
      <c r="B74" s="27" t="s">
        <v>262</v>
      </c>
      <c r="C74" s="27" t="s">
        <v>263</v>
      </c>
      <c r="D74" s="27" t="s">
        <v>264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1863</f>
        <v>1863.0</v>
      </c>
      <c r="L74" s="34" t="s">
        <v>48</v>
      </c>
      <c r="M74" s="33" t="n">
        <f>1886</f>
        <v>1886.0</v>
      </c>
      <c r="N74" s="34" t="s">
        <v>261</v>
      </c>
      <c r="O74" s="33" t="n">
        <f>1837</f>
        <v>1837.0</v>
      </c>
      <c r="P74" s="34" t="s">
        <v>49</v>
      </c>
      <c r="Q74" s="33" t="n">
        <f>1880</f>
        <v>1880.0</v>
      </c>
      <c r="R74" s="34" t="s">
        <v>50</v>
      </c>
      <c r="S74" s="35" t="n">
        <f>1866.05</f>
        <v>1866.05</v>
      </c>
      <c r="T74" s="32" t="n">
        <f>708263</f>
        <v>708263.0</v>
      </c>
      <c r="U74" s="32" t="str">
        <f>"－"</f>
        <v>－</v>
      </c>
      <c r="V74" s="32" t="n">
        <f>1315973280</f>
        <v>1.31597328E9</v>
      </c>
      <c r="W74" s="32" t="str">
        <f>"－"</f>
        <v>－</v>
      </c>
      <c r="X74" s="36" t="n">
        <f>21</f>
        <v>21.0</v>
      </c>
    </row>
    <row r="75">
      <c r="A75" s="27" t="s">
        <v>42</v>
      </c>
      <c r="B75" s="27" t="s">
        <v>265</v>
      </c>
      <c r="C75" s="27" t="s">
        <v>266</v>
      </c>
      <c r="D75" s="27" t="s">
        <v>267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21410</f>
        <v>21410.0</v>
      </c>
      <c r="L75" s="34" t="s">
        <v>48</v>
      </c>
      <c r="M75" s="33" t="n">
        <f>21480</f>
        <v>21480.0</v>
      </c>
      <c r="N75" s="34" t="s">
        <v>50</v>
      </c>
      <c r="O75" s="33" t="n">
        <f>16900</f>
        <v>16900.0</v>
      </c>
      <c r="P75" s="34" t="s">
        <v>214</v>
      </c>
      <c r="Q75" s="33" t="n">
        <f>21480</f>
        <v>21480.0</v>
      </c>
      <c r="R75" s="34" t="s">
        <v>50</v>
      </c>
      <c r="S75" s="35" t="n">
        <f>20509.52</f>
        <v>20509.52</v>
      </c>
      <c r="T75" s="32" t="n">
        <f>1147</f>
        <v>1147.0</v>
      </c>
      <c r="U75" s="32" t="str">
        <f>"－"</f>
        <v>－</v>
      </c>
      <c r="V75" s="32" t="n">
        <f>23454365</f>
        <v>2.3454365E7</v>
      </c>
      <c r="W75" s="32" t="str">
        <f>"－"</f>
        <v>－</v>
      </c>
      <c r="X75" s="36" t="n">
        <f>21</f>
        <v>21.0</v>
      </c>
    </row>
    <row r="76">
      <c r="A76" s="27" t="s">
        <v>42</v>
      </c>
      <c r="B76" s="27" t="s">
        <v>268</v>
      </c>
      <c r="C76" s="27" t="s">
        <v>269</v>
      </c>
      <c r="D76" s="27" t="s">
        <v>270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9475</f>
        <v>9475.0</v>
      </c>
      <c r="L76" s="34" t="s">
        <v>48</v>
      </c>
      <c r="M76" s="33" t="n">
        <f>9479</f>
        <v>9479.0</v>
      </c>
      <c r="N76" s="34" t="s">
        <v>248</v>
      </c>
      <c r="O76" s="33" t="n">
        <f>8700</f>
        <v>8700.0</v>
      </c>
      <c r="P76" s="34" t="s">
        <v>49</v>
      </c>
      <c r="Q76" s="33" t="n">
        <f>9374</f>
        <v>9374.0</v>
      </c>
      <c r="R76" s="34" t="s">
        <v>50</v>
      </c>
      <c r="S76" s="35" t="n">
        <f>9363.1</f>
        <v>9363.1</v>
      </c>
      <c r="T76" s="32" t="n">
        <f>3721</f>
        <v>3721.0</v>
      </c>
      <c r="U76" s="32" t="n">
        <f>1</f>
        <v>1.0</v>
      </c>
      <c r="V76" s="32" t="n">
        <f>34461340</f>
        <v>3.446134E7</v>
      </c>
      <c r="W76" s="32" t="n">
        <f>9424</f>
        <v>9424.0</v>
      </c>
      <c r="X76" s="36" t="n">
        <f>21</f>
        <v>21.0</v>
      </c>
    </row>
    <row r="77">
      <c r="A77" s="27" t="s">
        <v>42</v>
      </c>
      <c r="B77" s="27" t="s">
        <v>271</v>
      </c>
      <c r="C77" s="27" t="s">
        <v>272</v>
      </c>
      <c r="D77" s="27" t="s">
        <v>273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11110</f>
        <v>11110.0</v>
      </c>
      <c r="L77" s="34" t="s">
        <v>48</v>
      </c>
      <c r="M77" s="33" t="n">
        <f>11260</f>
        <v>11260.0</v>
      </c>
      <c r="N77" s="34" t="s">
        <v>88</v>
      </c>
      <c r="O77" s="33" t="n">
        <f>10425</f>
        <v>10425.0</v>
      </c>
      <c r="P77" s="34" t="s">
        <v>60</v>
      </c>
      <c r="Q77" s="33" t="n">
        <f>11025</f>
        <v>11025.0</v>
      </c>
      <c r="R77" s="34" t="s">
        <v>50</v>
      </c>
      <c r="S77" s="35" t="n">
        <f>10934.05</f>
        <v>10934.05</v>
      </c>
      <c r="T77" s="32" t="n">
        <f>4230561</f>
        <v>4230561.0</v>
      </c>
      <c r="U77" s="32" t="n">
        <f>688832</f>
        <v>688832.0</v>
      </c>
      <c r="V77" s="32" t="n">
        <f>46243901851</f>
        <v>4.6243901851E10</v>
      </c>
      <c r="W77" s="32" t="n">
        <f>7619626806</f>
        <v>7.619626806E9</v>
      </c>
      <c r="X77" s="36" t="n">
        <f>21</f>
        <v>21.0</v>
      </c>
    </row>
    <row r="78">
      <c r="A78" s="27" t="s">
        <v>42</v>
      </c>
      <c r="B78" s="27" t="s">
        <v>274</v>
      </c>
      <c r="C78" s="27" t="s">
        <v>275</v>
      </c>
      <c r="D78" s="27" t="s">
        <v>276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4435</f>
        <v>4435.0</v>
      </c>
      <c r="L78" s="34" t="s">
        <v>48</v>
      </c>
      <c r="M78" s="33" t="n">
        <f>4435</f>
        <v>4435.0</v>
      </c>
      <c r="N78" s="34" t="s">
        <v>48</v>
      </c>
      <c r="O78" s="33" t="n">
        <f>3885</f>
        <v>3885.0</v>
      </c>
      <c r="P78" s="34" t="s">
        <v>214</v>
      </c>
      <c r="Q78" s="33" t="n">
        <f>4090</f>
        <v>4090.0</v>
      </c>
      <c r="R78" s="34" t="s">
        <v>50</v>
      </c>
      <c r="S78" s="35" t="n">
        <f>4115</f>
        <v>4115.0</v>
      </c>
      <c r="T78" s="32" t="n">
        <f>365718</f>
        <v>365718.0</v>
      </c>
      <c r="U78" s="32" t="n">
        <f>2158</f>
        <v>2158.0</v>
      </c>
      <c r="V78" s="32" t="n">
        <f>1497482620</f>
        <v>1.49748262E9</v>
      </c>
      <c r="W78" s="32" t="n">
        <f>8454710</f>
        <v>8454710.0</v>
      </c>
      <c r="X78" s="36" t="n">
        <f>21</f>
        <v>21.0</v>
      </c>
    </row>
    <row r="79">
      <c r="A79" s="27" t="s">
        <v>42</v>
      </c>
      <c r="B79" s="27" t="s">
        <v>277</v>
      </c>
      <c r="C79" s="27" t="s">
        <v>278</v>
      </c>
      <c r="D79" s="27" t="s">
        <v>279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13020</f>
        <v>13020.0</v>
      </c>
      <c r="L79" s="34" t="s">
        <v>48</v>
      </c>
      <c r="M79" s="33" t="n">
        <f>13020</f>
        <v>13020.0</v>
      </c>
      <c r="N79" s="34" t="s">
        <v>48</v>
      </c>
      <c r="O79" s="33" t="n">
        <f>11110</f>
        <v>11110.0</v>
      </c>
      <c r="P79" s="34" t="s">
        <v>49</v>
      </c>
      <c r="Q79" s="33" t="n">
        <f>12630</f>
        <v>12630.0</v>
      </c>
      <c r="R79" s="34" t="s">
        <v>50</v>
      </c>
      <c r="S79" s="35" t="n">
        <f>12376.67</f>
        <v>12376.67</v>
      </c>
      <c r="T79" s="32" t="n">
        <f>316074</f>
        <v>316074.0</v>
      </c>
      <c r="U79" s="32" t="n">
        <f>90</f>
        <v>90.0</v>
      </c>
      <c r="V79" s="32" t="n">
        <f>3837748245</f>
        <v>3.837748245E9</v>
      </c>
      <c r="W79" s="32" t="n">
        <f>1032005</f>
        <v>1032005.0</v>
      </c>
      <c r="X79" s="36" t="n">
        <f>21</f>
        <v>21.0</v>
      </c>
    </row>
    <row r="80">
      <c r="A80" s="27" t="s">
        <v>42</v>
      </c>
      <c r="B80" s="27" t="s">
        <v>280</v>
      </c>
      <c r="C80" s="27" t="s">
        <v>281</v>
      </c>
      <c r="D80" s="27" t="s">
        <v>282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42450</f>
        <v>42450.0</v>
      </c>
      <c r="L80" s="34" t="s">
        <v>48</v>
      </c>
      <c r="M80" s="33" t="n">
        <f>42490</f>
        <v>42490.0</v>
      </c>
      <c r="N80" s="34" t="s">
        <v>48</v>
      </c>
      <c r="O80" s="33" t="n">
        <f>35240</f>
        <v>35240.0</v>
      </c>
      <c r="P80" s="34" t="s">
        <v>49</v>
      </c>
      <c r="Q80" s="33" t="n">
        <f>41430</f>
        <v>41430.0</v>
      </c>
      <c r="R80" s="34" t="s">
        <v>50</v>
      </c>
      <c r="S80" s="35" t="n">
        <f>40099.52</f>
        <v>40099.52</v>
      </c>
      <c r="T80" s="32" t="n">
        <f>9057</f>
        <v>9057.0</v>
      </c>
      <c r="U80" s="32" t="n">
        <f>19</f>
        <v>19.0</v>
      </c>
      <c r="V80" s="32" t="n">
        <f>357248720</f>
        <v>3.5724872E8</v>
      </c>
      <c r="W80" s="32" t="n">
        <f>715040</f>
        <v>715040.0</v>
      </c>
      <c r="X80" s="36" t="n">
        <f>21</f>
        <v>21.0</v>
      </c>
    </row>
    <row r="81">
      <c r="A81" s="27" t="s">
        <v>42</v>
      </c>
      <c r="B81" s="27" t="s">
        <v>283</v>
      </c>
      <c r="C81" s="27" t="s">
        <v>284</v>
      </c>
      <c r="D81" s="27" t="s">
        <v>285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29680</f>
        <v>29680.0</v>
      </c>
      <c r="L81" s="34" t="s">
        <v>48</v>
      </c>
      <c r="M81" s="33" t="n">
        <f>29750</f>
        <v>29750.0</v>
      </c>
      <c r="N81" s="34" t="s">
        <v>48</v>
      </c>
      <c r="O81" s="33" t="n">
        <f>24880</f>
        <v>24880.0</v>
      </c>
      <c r="P81" s="34" t="s">
        <v>49</v>
      </c>
      <c r="Q81" s="33" t="n">
        <f>28380</f>
        <v>28380.0</v>
      </c>
      <c r="R81" s="34" t="s">
        <v>50</v>
      </c>
      <c r="S81" s="35" t="n">
        <f>28211.9</f>
        <v>28211.9</v>
      </c>
      <c r="T81" s="32" t="n">
        <f>1305484</f>
        <v>1305484.0</v>
      </c>
      <c r="U81" s="32" t="n">
        <f>23580</f>
        <v>23580.0</v>
      </c>
      <c r="V81" s="32" t="n">
        <f>36174394935</f>
        <v>3.6174394935E10</v>
      </c>
      <c r="W81" s="32" t="n">
        <f>680319345</f>
        <v>6.80319345E8</v>
      </c>
      <c r="X81" s="36" t="n">
        <f>21</f>
        <v>21.0</v>
      </c>
    </row>
    <row r="82">
      <c r="A82" s="27" t="s">
        <v>42</v>
      </c>
      <c r="B82" s="27" t="s">
        <v>286</v>
      </c>
      <c r="C82" s="27" t="s">
        <v>287</v>
      </c>
      <c r="D82" s="27" t="s">
        <v>288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1.0</v>
      </c>
      <c r="K82" s="33" t="n">
        <f>60580</f>
        <v>60580.0</v>
      </c>
      <c r="L82" s="34" t="s">
        <v>48</v>
      </c>
      <c r="M82" s="33" t="n">
        <f>60640</f>
        <v>60640.0</v>
      </c>
      <c r="N82" s="34" t="s">
        <v>48</v>
      </c>
      <c r="O82" s="33" t="n">
        <f>54300</f>
        <v>54300.0</v>
      </c>
      <c r="P82" s="34" t="s">
        <v>49</v>
      </c>
      <c r="Q82" s="33" t="n">
        <f>58310</f>
        <v>58310.0</v>
      </c>
      <c r="R82" s="34" t="s">
        <v>50</v>
      </c>
      <c r="S82" s="35" t="n">
        <f>57468.1</f>
        <v>57468.1</v>
      </c>
      <c r="T82" s="32" t="n">
        <f>62827</f>
        <v>62827.0</v>
      </c>
      <c r="U82" s="32" t="n">
        <f>3000</f>
        <v>3000.0</v>
      </c>
      <c r="V82" s="32" t="n">
        <f>3589190225</f>
        <v>3.589190225E9</v>
      </c>
      <c r="W82" s="32" t="n">
        <f>172354425</f>
        <v>1.72354425E8</v>
      </c>
      <c r="X82" s="36" t="n">
        <f>21</f>
        <v>21.0</v>
      </c>
    </row>
    <row r="83">
      <c r="A83" s="27" t="s">
        <v>42</v>
      </c>
      <c r="B83" s="27" t="s">
        <v>289</v>
      </c>
      <c r="C83" s="27" t="s">
        <v>290</v>
      </c>
      <c r="D83" s="27" t="s">
        <v>291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9065</f>
        <v>9065.0</v>
      </c>
      <c r="L83" s="34" t="s">
        <v>48</v>
      </c>
      <c r="M83" s="33" t="n">
        <f>9119</f>
        <v>9119.0</v>
      </c>
      <c r="N83" s="34" t="s">
        <v>48</v>
      </c>
      <c r="O83" s="33" t="n">
        <f>8038</f>
        <v>8038.0</v>
      </c>
      <c r="P83" s="34" t="s">
        <v>49</v>
      </c>
      <c r="Q83" s="33" t="n">
        <f>8867</f>
        <v>8867.0</v>
      </c>
      <c r="R83" s="34" t="s">
        <v>50</v>
      </c>
      <c r="S83" s="35" t="n">
        <f>8740.52</f>
        <v>8740.52</v>
      </c>
      <c r="T83" s="32" t="n">
        <f>1617400</f>
        <v>1617400.0</v>
      </c>
      <c r="U83" s="32" t="n">
        <f>160630</f>
        <v>160630.0</v>
      </c>
      <c r="V83" s="32" t="n">
        <f>13946741846</f>
        <v>1.3946741846E10</v>
      </c>
      <c r="W83" s="32" t="n">
        <f>1423743286</f>
        <v>1.423743286E9</v>
      </c>
      <c r="X83" s="36" t="n">
        <f>21</f>
        <v>21.0</v>
      </c>
    </row>
    <row r="84">
      <c r="A84" s="27" t="s">
        <v>42</v>
      </c>
      <c r="B84" s="27" t="s">
        <v>292</v>
      </c>
      <c r="C84" s="27" t="s">
        <v>293</v>
      </c>
      <c r="D84" s="27" t="s">
        <v>294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5590</f>
        <v>5590.0</v>
      </c>
      <c r="L84" s="34" t="s">
        <v>48</v>
      </c>
      <c r="M84" s="33" t="n">
        <f>5593</f>
        <v>5593.0</v>
      </c>
      <c r="N84" s="34" t="s">
        <v>48</v>
      </c>
      <c r="O84" s="33" t="n">
        <f>4950</f>
        <v>4950.0</v>
      </c>
      <c r="P84" s="34" t="s">
        <v>49</v>
      </c>
      <c r="Q84" s="33" t="n">
        <f>5488</f>
        <v>5488.0</v>
      </c>
      <c r="R84" s="34" t="s">
        <v>50</v>
      </c>
      <c r="S84" s="35" t="n">
        <f>5385.33</f>
        <v>5385.33</v>
      </c>
      <c r="T84" s="32" t="n">
        <f>167310</f>
        <v>167310.0</v>
      </c>
      <c r="U84" s="32" t="n">
        <f>13190</f>
        <v>13190.0</v>
      </c>
      <c r="V84" s="32" t="n">
        <f>884666652</f>
        <v>8.84666652E8</v>
      </c>
      <c r="W84" s="32" t="n">
        <f>67888882</f>
        <v>6.7888882E7</v>
      </c>
      <c r="X84" s="36" t="n">
        <f>21</f>
        <v>21.0</v>
      </c>
    </row>
    <row r="85">
      <c r="A85" s="27" t="s">
        <v>42</v>
      </c>
      <c r="B85" s="27" t="s">
        <v>295</v>
      </c>
      <c r="C85" s="27" t="s">
        <v>296</v>
      </c>
      <c r="D85" s="27" t="s">
        <v>297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5067</f>
        <v>5067.0</v>
      </c>
      <c r="L85" s="34" t="s">
        <v>48</v>
      </c>
      <c r="M85" s="33" t="n">
        <f>5253</f>
        <v>5253.0</v>
      </c>
      <c r="N85" s="34" t="s">
        <v>50</v>
      </c>
      <c r="O85" s="33" t="n">
        <f>4150</f>
        <v>4150.0</v>
      </c>
      <c r="P85" s="34" t="s">
        <v>49</v>
      </c>
      <c r="Q85" s="33" t="n">
        <f>5132</f>
        <v>5132.0</v>
      </c>
      <c r="R85" s="34" t="s">
        <v>50</v>
      </c>
      <c r="S85" s="35" t="n">
        <f>4936.05</f>
        <v>4936.05</v>
      </c>
      <c r="T85" s="32" t="n">
        <f>6380</f>
        <v>6380.0</v>
      </c>
      <c r="U85" s="32" t="str">
        <f>"－"</f>
        <v>－</v>
      </c>
      <c r="V85" s="32" t="n">
        <f>31885880</f>
        <v>3.188588E7</v>
      </c>
      <c r="W85" s="32" t="str">
        <f>"－"</f>
        <v>－</v>
      </c>
      <c r="X85" s="36" t="n">
        <f>20</f>
        <v>20.0</v>
      </c>
    </row>
    <row r="86">
      <c r="A86" s="27" t="s">
        <v>42</v>
      </c>
      <c r="B86" s="27" t="s">
        <v>298</v>
      </c>
      <c r="C86" s="27" t="s">
        <v>299</v>
      </c>
      <c r="D86" s="27" t="s">
        <v>300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4658</f>
        <v>4658.0</v>
      </c>
      <c r="L86" s="34" t="s">
        <v>48</v>
      </c>
      <c r="M86" s="33" t="n">
        <f>4658</f>
        <v>4658.0</v>
      </c>
      <c r="N86" s="34" t="s">
        <v>48</v>
      </c>
      <c r="O86" s="33" t="n">
        <f>4111</f>
        <v>4111.0</v>
      </c>
      <c r="P86" s="34" t="s">
        <v>49</v>
      </c>
      <c r="Q86" s="33" t="n">
        <f>4555</f>
        <v>4555.0</v>
      </c>
      <c r="R86" s="34" t="s">
        <v>50</v>
      </c>
      <c r="S86" s="35" t="n">
        <f>4471.62</f>
        <v>4471.62</v>
      </c>
      <c r="T86" s="32" t="n">
        <f>95830</f>
        <v>95830.0</v>
      </c>
      <c r="U86" s="32" t="str">
        <f>"－"</f>
        <v>－</v>
      </c>
      <c r="V86" s="32" t="n">
        <f>420482120</f>
        <v>4.2048212E8</v>
      </c>
      <c r="W86" s="32" t="str">
        <f>"－"</f>
        <v>－</v>
      </c>
      <c r="X86" s="36" t="n">
        <f>21</f>
        <v>21.0</v>
      </c>
    </row>
    <row r="87">
      <c r="A87" s="27" t="s">
        <v>42</v>
      </c>
      <c r="B87" s="27" t="s">
        <v>301</v>
      </c>
      <c r="C87" s="27" t="s">
        <v>302</v>
      </c>
      <c r="D87" s="27" t="s">
        <v>303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10.0</v>
      </c>
      <c r="K87" s="33" t="n">
        <f>2285</f>
        <v>2285.0</v>
      </c>
      <c r="L87" s="34" t="s">
        <v>48</v>
      </c>
      <c r="M87" s="33" t="n">
        <f>2294</f>
        <v>2294.0</v>
      </c>
      <c r="N87" s="34" t="s">
        <v>231</v>
      </c>
      <c r="O87" s="33" t="n">
        <f>1976.5</f>
        <v>1976.5</v>
      </c>
      <c r="P87" s="34" t="s">
        <v>49</v>
      </c>
      <c r="Q87" s="33" t="n">
        <f>2259</f>
        <v>2259.0</v>
      </c>
      <c r="R87" s="34" t="s">
        <v>50</v>
      </c>
      <c r="S87" s="35" t="n">
        <f>2192.19</f>
        <v>2192.19</v>
      </c>
      <c r="T87" s="32" t="n">
        <f>74970</f>
        <v>74970.0</v>
      </c>
      <c r="U87" s="32" t="n">
        <f>30</f>
        <v>30.0</v>
      </c>
      <c r="V87" s="32" t="n">
        <f>160189965</f>
        <v>1.60189965E8</v>
      </c>
      <c r="W87" s="32" t="n">
        <f>66000</f>
        <v>66000.0</v>
      </c>
      <c r="X87" s="36" t="n">
        <f>21</f>
        <v>21.0</v>
      </c>
    </row>
    <row r="88">
      <c r="A88" s="27" t="s">
        <v>42</v>
      </c>
      <c r="B88" s="27" t="s">
        <v>304</v>
      </c>
      <c r="C88" s="27" t="s">
        <v>305</v>
      </c>
      <c r="D88" s="27" t="s">
        <v>306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82980</f>
        <v>82980.0</v>
      </c>
      <c r="L88" s="34" t="s">
        <v>48</v>
      </c>
      <c r="M88" s="33" t="n">
        <f>83130</f>
        <v>83130.0</v>
      </c>
      <c r="N88" s="34" t="s">
        <v>48</v>
      </c>
      <c r="O88" s="33" t="n">
        <f>73650</f>
        <v>73650.0</v>
      </c>
      <c r="P88" s="34" t="s">
        <v>49</v>
      </c>
      <c r="Q88" s="33" t="n">
        <f>81050</f>
        <v>81050.0</v>
      </c>
      <c r="R88" s="34" t="s">
        <v>50</v>
      </c>
      <c r="S88" s="35" t="n">
        <f>79940</f>
        <v>79940.0</v>
      </c>
      <c r="T88" s="32" t="n">
        <f>92463</f>
        <v>92463.0</v>
      </c>
      <c r="U88" s="32" t="str">
        <f>"－"</f>
        <v>－</v>
      </c>
      <c r="V88" s="32" t="n">
        <f>7290343820</f>
        <v>7.29034382E9</v>
      </c>
      <c r="W88" s="32" t="str">
        <f>"－"</f>
        <v>－</v>
      </c>
      <c r="X88" s="36" t="n">
        <f>21</f>
        <v>21.0</v>
      </c>
    </row>
    <row r="89">
      <c r="A89" s="27" t="s">
        <v>42</v>
      </c>
      <c r="B89" s="27" t="s">
        <v>307</v>
      </c>
      <c r="C89" s="27" t="s">
        <v>308</v>
      </c>
      <c r="D89" s="27" t="s">
        <v>309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3260</f>
        <v>3260.0</v>
      </c>
      <c r="L89" s="34" t="s">
        <v>48</v>
      </c>
      <c r="M89" s="33" t="n">
        <f>3260</f>
        <v>3260.0</v>
      </c>
      <c r="N89" s="34" t="s">
        <v>48</v>
      </c>
      <c r="O89" s="33" t="n">
        <f>3030</f>
        <v>3030.0</v>
      </c>
      <c r="P89" s="34" t="s">
        <v>49</v>
      </c>
      <c r="Q89" s="33" t="n">
        <f>3250</f>
        <v>3250.0</v>
      </c>
      <c r="R89" s="34" t="s">
        <v>50</v>
      </c>
      <c r="S89" s="35" t="n">
        <f>3194.52</f>
        <v>3194.52</v>
      </c>
      <c r="T89" s="32" t="n">
        <f>6917</f>
        <v>6917.0</v>
      </c>
      <c r="U89" s="32" t="str">
        <f>"－"</f>
        <v>－</v>
      </c>
      <c r="V89" s="32" t="n">
        <f>22143175</f>
        <v>2.2143175E7</v>
      </c>
      <c r="W89" s="32" t="str">
        <f>"－"</f>
        <v>－</v>
      </c>
      <c r="X89" s="36" t="n">
        <f>21</f>
        <v>21.0</v>
      </c>
    </row>
    <row r="90">
      <c r="A90" s="27" t="s">
        <v>42</v>
      </c>
      <c r="B90" s="27" t="s">
        <v>310</v>
      </c>
      <c r="C90" s="27" t="s">
        <v>311</v>
      </c>
      <c r="D90" s="27" t="s">
        <v>312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5290</f>
        <v>5290.0</v>
      </c>
      <c r="L90" s="34" t="s">
        <v>48</v>
      </c>
      <c r="M90" s="33" t="n">
        <f>5310</f>
        <v>5310.0</v>
      </c>
      <c r="N90" s="34" t="s">
        <v>261</v>
      </c>
      <c r="O90" s="33" t="n">
        <f>4695</f>
        <v>4695.0</v>
      </c>
      <c r="P90" s="34" t="s">
        <v>49</v>
      </c>
      <c r="Q90" s="33" t="n">
        <f>5290</f>
        <v>5290.0</v>
      </c>
      <c r="R90" s="34" t="s">
        <v>50</v>
      </c>
      <c r="S90" s="35" t="n">
        <f>5080.71</f>
        <v>5080.71</v>
      </c>
      <c r="T90" s="32" t="n">
        <f>6202</f>
        <v>6202.0</v>
      </c>
      <c r="U90" s="32" t="str">
        <f>"－"</f>
        <v>－</v>
      </c>
      <c r="V90" s="32" t="n">
        <f>31192220</f>
        <v>3.119222E7</v>
      </c>
      <c r="W90" s="32" t="str">
        <f>"－"</f>
        <v>－</v>
      </c>
      <c r="X90" s="36" t="n">
        <f>21</f>
        <v>21.0</v>
      </c>
    </row>
    <row r="91">
      <c r="A91" s="27" t="s">
        <v>42</v>
      </c>
      <c r="B91" s="27" t="s">
        <v>313</v>
      </c>
      <c r="C91" s="27" t="s">
        <v>314</v>
      </c>
      <c r="D91" s="27" t="s">
        <v>315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2201</f>
        <v>2201.0</v>
      </c>
      <c r="L91" s="34" t="s">
        <v>48</v>
      </c>
      <c r="M91" s="33" t="n">
        <f>2431</f>
        <v>2431.0</v>
      </c>
      <c r="N91" s="34" t="s">
        <v>316</v>
      </c>
      <c r="O91" s="33" t="n">
        <f>1610</f>
        <v>1610.0</v>
      </c>
      <c r="P91" s="34" t="s">
        <v>49</v>
      </c>
      <c r="Q91" s="33" t="n">
        <f>2357</f>
        <v>2357.0</v>
      </c>
      <c r="R91" s="34" t="s">
        <v>50</v>
      </c>
      <c r="S91" s="35" t="n">
        <f>2098.1</f>
        <v>2098.1</v>
      </c>
      <c r="T91" s="32" t="n">
        <f>3142321</f>
        <v>3142321.0</v>
      </c>
      <c r="U91" s="32" t="n">
        <f>161027</f>
        <v>161027.0</v>
      </c>
      <c r="V91" s="32" t="n">
        <f>6519799426</f>
        <v>6.519799426E9</v>
      </c>
      <c r="W91" s="32" t="n">
        <f>378440304</f>
        <v>3.78440304E8</v>
      </c>
      <c r="X91" s="36" t="n">
        <f>21</f>
        <v>21.0</v>
      </c>
    </row>
    <row r="92">
      <c r="A92" s="27" t="s">
        <v>42</v>
      </c>
      <c r="B92" s="27" t="s">
        <v>317</v>
      </c>
      <c r="C92" s="27" t="s">
        <v>318</v>
      </c>
      <c r="D92" s="27" t="s">
        <v>319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1.0</v>
      </c>
      <c r="K92" s="33" t="n">
        <f>48570</f>
        <v>48570.0</v>
      </c>
      <c r="L92" s="34" t="s">
        <v>48</v>
      </c>
      <c r="M92" s="33" t="n">
        <f>49470</f>
        <v>49470.0</v>
      </c>
      <c r="N92" s="34" t="s">
        <v>67</v>
      </c>
      <c r="O92" s="33" t="n">
        <f>46150</f>
        <v>46150.0</v>
      </c>
      <c r="P92" s="34" t="s">
        <v>49</v>
      </c>
      <c r="Q92" s="33" t="n">
        <f>48300</f>
        <v>48300.0</v>
      </c>
      <c r="R92" s="34" t="s">
        <v>50</v>
      </c>
      <c r="S92" s="35" t="n">
        <f>48272.38</f>
        <v>48272.38</v>
      </c>
      <c r="T92" s="32" t="n">
        <f>16490</f>
        <v>16490.0</v>
      </c>
      <c r="U92" s="32" t="n">
        <f>219</f>
        <v>219.0</v>
      </c>
      <c r="V92" s="32" t="n">
        <f>794473441</f>
        <v>7.94473441E8</v>
      </c>
      <c r="W92" s="32" t="n">
        <f>10660701</f>
        <v>1.0660701E7</v>
      </c>
      <c r="X92" s="36" t="n">
        <f>21</f>
        <v>21.0</v>
      </c>
    </row>
    <row r="93">
      <c r="A93" s="27" t="s">
        <v>42</v>
      </c>
      <c r="B93" s="27" t="s">
        <v>320</v>
      </c>
      <c r="C93" s="27" t="s">
        <v>321</v>
      </c>
      <c r="D93" s="27" t="s">
        <v>322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502</f>
        <v>502.0</v>
      </c>
      <c r="L93" s="34" t="s">
        <v>48</v>
      </c>
      <c r="M93" s="33" t="n">
        <f>502</f>
        <v>502.0</v>
      </c>
      <c r="N93" s="34" t="s">
        <v>48</v>
      </c>
      <c r="O93" s="33" t="n">
        <f>336.6</f>
        <v>336.6</v>
      </c>
      <c r="P93" s="34" t="s">
        <v>49</v>
      </c>
      <c r="Q93" s="33" t="n">
        <f>455.7</f>
        <v>455.7</v>
      </c>
      <c r="R93" s="34" t="s">
        <v>50</v>
      </c>
      <c r="S93" s="35" t="n">
        <f>422.39</f>
        <v>422.39</v>
      </c>
      <c r="T93" s="32" t="n">
        <f>156436810</f>
        <v>1.5643681E8</v>
      </c>
      <c r="U93" s="32" t="n">
        <f>26260</f>
        <v>26260.0</v>
      </c>
      <c r="V93" s="32" t="n">
        <f>64794268187</f>
        <v>6.4794268187E10</v>
      </c>
      <c r="W93" s="32" t="n">
        <f>10242399</f>
        <v>1.0242399E7</v>
      </c>
      <c r="X93" s="36" t="n">
        <f>21</f>
        <v>21.0</v>
      </c>
    </row>
    <row r="94">
      <c r="A94" s="27" t="s">
        <v>42</v>
      </c>
      <c r="B94" s="27" t="s">
        <v>323</v>
      </c>
      <c r="C94" s="27" t="s">
        <v>324</v>
      </c>
      <c r="D94" s="27" t="s">
        <v>325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10.0</v>
      </c>
      <c r="K94" s="33" t="n">
        <f>1300</f>
        <v>1300.0</v>
      </c>
      <c r="L94" s="34" t="s">
        <v>48</v>
      </c>
      <c r="M94" s="33" t="n">
        <f>1637</f>
        <v>1637.0</v>
      </c>
      <c r="N94" s="34" t="s">
        <v>49</v>
      </c>
      <c r="O94" s="33" t="n">
        <f>1270.5</f>
        <v>1270.5</v>
      </c>
      <c r="P94" s="34" t="s">
        <v>50</v>
      </c>
      <c r="Q94" s="33" t="n">
        <f>1274.5</f>
        <v>1274.5</v>
      </c>
      <c r="R94" s="34" t="s">
        <v>50</v>
      </c>
      <c r="S94" s="35" t="n">
        <f>1343.12</f>
        <v>1343.12</v>
      </c>
      <c r="T94" s="32" t="n">
        <f>3876240</f>
        <v>3876240.0</v>
      </c>
      <c r="U94" s="32" t="n">
        <f>654410</f>
        <v>654410.0</v>
      </c>
      <c r="V94" s="32" t="n">
        <f>5430573330</f>
        <v>5.43057333E9</v>
      </c>
      <c r="W94" s="32" t="n">
        <f>915961610</f>
        <v>9.1596161E8</v>
      </c>
      <c r="X94" s="36" t="n">
        <f>21</f>
        <v>21.0</v>
      </c>
    </row>
    <row r="95">
      <c r="A95" s="27" t="s">
        <v>42</v>
      </c>
      <c r="B95" s="27" t="s">
        <v>326</v>
      </c>
      <c r="C95" s="27" t="s">
        <v>327</v>
      </c>
      <c r="D95" s="27" t="s">
        <v>328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27700</f>
        <v>27700.0</v>
      </c>
      <c r="L95" s="34" t="s">
        <v>48</v>
      </c>
      <c r="M95" s="33" t="n">
        <f>27750</f>
        <v>27750.0</v>
      </c>
      <c r="N95" s="34" t="s">
        <v>48</v>
      </c>
      <c r="O95" s="33" t="n">
        <f>18885</f>
        <v>18885.0</v>
      </c>
      <c r="P95" s="34" t="s">
        <v>49</v>
      </c>
      <c r="Q95" s="33" t="n">
        <f>26530</f>
        <v>26530.0</v>
      </c>
      <c r="R95" s="34" t="s">
        <v>50</v>
      </c>
      <c r="S95" s="35" t="n">
        <f>24413.1</f>
        <v>24413.1</v>
      </c>
      <c r="T95" s="32" t="n">
        <f>182877451</f>
        <v>1.82877451E8</v>
      </c>
      <c r="U95" s="32" t="n">
        <f>846709</f>
        <v>846709.0</v>
      </c>
      <c r="V95" s="32" t="n">
        <f>4357685074812</f>
        <v>4.357685074812E12</v>
      </c>
      <c r="W95" s="32" t="n">
        <f>21078099322</f>
        <v>2.1078099322E10</v>
      </c>
      <c r="X95" s="36" t="n">
        <f>21</f>
        <v>21.0</v>
      </c>
    </row>
    <row r="96">
      <c r="A96" s="27" t="s">
        <v>42</v>
      </c>
      <c r="B96" s="27" t="s">
        <v>329</v>
      </c>
      <c r="C96" s="27" t="s">
        <v>330</v>
      </c>
      <c r="D96" s="27" t="s">
        <v>331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1.0</v>
      </c>
      <c r="K96" s="33" t="n">
        <f>622</f>
        <v>622.0</v>
      </c>
      <c r="L96" s="34" t="s">
        <v>48</v>
      </c>
      <c r="M96" s="33" t="n">
        <f>767</f>
        <v>767.0</v>
      </c>
      <c r="N96" s="34" t="s">
        <v>49</v>
      </c>
      <c r="O96" s="33" t="n">
        <f>600</f>
        <v>600.0</v>
      </c>
      <c r="P96" s="34" t="s">
        <v>50</v>
      </c>
      <c r="Q96" s="33" t="n">
        <f>600</f>
        <v>600.0</v>
      </c>
      <c r="R96" s="34" t="s">
        <v>50</v>
      </c>
      <c r="S96" s="35" t="n">
        <f>635.33</f>
        <v>635.33</v>
      </c>
      <c r="T96" s="32" t="n">
        <f>63576169</f>
        <v>6.3576169E7</v>
      </c>
      <c r="U96" s="32" t="n">
        <f>5330634</f>
        <v>5330634.0</v>
      </c>
      <c r="V96" s="32" t="n">
        <f>42323669146</f>
        <v>4.2323669146E10</v>
      </c>
      <c r="W96" s="32" t="n">
        <f>3704356722</f>
        <v>3.704356722E9</v>
      </c>
      <c r="X96" s="36" t="n">
        <f>21</f>
        <v>21.0</v>
      </c>
    </row>
    <row r="97">
      <c r="A97" s="27" t="s">
        <v>42</v>
      </c>
      <c r="B97" s="27" t="s">
        <v>332</v>
      </c>
      <c r="C97" s="27" t="s">
        <v>333</v>
      </c>
      <c r="D97" s="27" t="s">
        <v>334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4031</f>
        <v>4031.0</v>
      </c>
      <c r="L97" s="34" t="s">
        <v>48</v>
      </c>
      <c r="M97" s="33" t="n">
        <f>4229</f>
        <v>4229.0</v>
      </c>
      <c r="N97" s="34" t="s">
        <v>50</v>
      </c>
      <c r="O97" s="33" t="n">
        <f>3385</f>
        <v>3385.0</v>
      </c>
      <c r="P97" s="34" t="s">
        <v>49</v>
      </c>
      <c r="Q97" s="33" t="n">
        <f>4210</f>
        <v>4210.0</v>
      </c>
      <c r="R97" s="34" t="s">
        <v>50</v>
      </c>
      <c r="S97" s="35" t="n">
        <f>3875.9</f>
        <v>3875.9</v>
      </c>
      <c r="T97" s="32" t="n">
        <f>312010</f>
        <v>312010.0</v>
      </c>
      <c r="U97" s="32" t="str">
        <f>"－"</f>
        <v>－</v>
      </c>
      <c r="V97" s="32" t="n">
        <f>1192849160</f>
        <v>1.19284916E9</v>
      </c>
      <c r="W97" s="32" t="str">
        <f>"－"</f>
        <v>－</v>
      </c>
      <c r="X97" s="36" t="n">
        <f>21</f>
        <v>21.0</v>
      </c>
    </row>
    <row r="98">
      <c r="A98" s="27" t="s">
        <v>42</v>
      </c>
      <c r="B98" s="27" t="s">
        <v>335</v>
      </c>
      <c r="C98" s="27" t="s">
        <v>336</v>
      </c>
      <c r="D98" s="27" t="s">
        <v>337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10.0</v>
      </c>
      <c r="K98" s="33" t="n">
        <f>12150</f>
        <v>12150.0</v>
      </c>
      <c r="L98" s="34" t="s">
        <v>48</v>
      </c>
      <c r="M98" s="33" t="n">
        <f>12375</f>
        <v>12375.0</v>
      </c>
      <c r="N98" s="34" t="s">
        <v>231</v>
      </c>
      <c r="O98" s="33" t="n">
        <f>11130</f>
        <v>11130.0</v>
      </c>
      <c r="P98" s="34" t="s">
        <v>50</v>
      </c>
      <c r="Q98" s="33" t="n">
        <f>11130</f>
        <v>11130.0</v>
      </c>
      <c r="R98" s="34" t="s">
        <v>50</v>
      </c>
      <c r="S98" s="35" t="n">
        <f>11798.57</f>
        <v>11798.57</v>
      </c>
      <c r="T98" s="32" t="n">
        <f>31390</f>
        <v>31390.0</v>
      </c>
      <c r="U98" s="32" t="n">
        <f>40</f>
        <v>40.0</v>
      </c>
      <c r="V98" s="32" t="n">
        <f>372469950</f>
        <v>3.7246995E8</v>
      </c>
      <c r="W98" s="32" t="n">
        <f>480600</f>
        <v>480600.0</v>
      </c>
      <c r="X98" s="36" t="n">
        <f>21</f>
        <v>21.0</v>
      </c>
    </row>
    <row r="99">
      <c r="A99" s="27" t="s">
        <v>42</v>
      </c>
      <c r="B99" s="27" t="s">
        <v>338</v>
      </c>
      <c r="C99" s="27" t="s">
        <v>339</v>
      </c>
      <c r="D99" s="27" t="s">
        <v>340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38830</f>
        <v>38830.0</v>
      </c>
      <c r="L99" s="34" t="s">
        <v>48</v>
      </c>
      <c r="M99" s="33" t="n">
        <f>38870</f>
        <v>38870.0</v>
      </c>
      <c r="N99" s="34" t="s">
        <v>48</v>
      </c>
      <c r="O99" s="33" t="n">
        <f>30100</f>
        <v>30100.0</v>
      </c>
      <c r="P99" s="34" t="s">
        <v>49</v>
      </c>
      <c r="Q99" s="33" t="n">
        <f>37380</f>
        <v>37380.0</v>
      </c>
      <c r="R99" s="34" t="s">
        <v>50</v>
      </c>
      <c r="S99" s="35" t="n">
        <f>35937.62</f>
        <v>35937.62</v>
      </c>
      <c r="T99" s="32" t="n">
        <f>365778</f>
        <v>365778.0</v>
      </c>
      <c r="U99" s="32" t="n">
        <f>146535</f>
        <v>146535.0</v>
      </c>
      <c r="V99" s="32" t="n">
        <f>12970578056</f>
        <v>1.2970578056E10</v>
      </c>
      <c r="W99" s="32" t="n">
        <f>5297767746</f>
        <v>5.297767746E9</v>
      </c>
      <c r="X99" s="36" t="n">
        <f>21</f>
        <v>21.0</v>
      </c>
    </row>
    <row r="100">
      <c r="A100" s="27" t="s">
        <v>42</v>
      </c>
      <c r="B100" s="27" t="s">
        <v>341</v>
      </c>
      <c r="C100" s="27" t="s">
        <v>342</v>
      </c>
      <c r="D100" s="27" t="s">
        <v>343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1.0</v>
      </c>
      <c r="K100" s="33" t="n">
        <f>3095</f>
        <v>3095.0</v>
      </c>
      <c r="L100" s="34" t="s">
        <v>48</v>
      </c>
      <c r="M100" s="33" t="n">
        <f>3095</f>
        <v>3095.0</v>
      </c>
      <c r="N100" s="34" t="s">
        <v>48</v>
      </c>
      <c r="O100" s="33" t="n">
        <f>2430</f>
        <v>2430.0</v>
      </c>
      <c r="P100" s="34" t="s">
        <v>49</v>
      </c>
      <c r="Q100" s="33" t="n">
        <f>3085</f>
        <v>3085.0</v>
      </c>
      <c r="R100" s="34" t="s">
        <v>50</v>
      </c>
      <c r="S100" s="35" t="n">
        <f>2932.43</f>
        <v>2932.43</v>
      </c>
      <c r="T100" s="32" t="n">
        <f>473355</f>
        <v>473355.0</v>
      </c>
      <c r="U100" s="32" t="n">
        <f>256550</f>
        <v>256550.0</v>
      </c>
      <c r="V100" s="32" t="n">
        <f>1334545678</f>
        <v>1.334545678E9</v>
      </c>
      <c r="W100" s="32" t="n">
        <f>718758975</f>
        <v>7.18758975E8</v>
      </c>
      <c r="X100" s="36" t="n">
        <f>21</f>
        <v>21.0</v>
      </c>
    </row>
    <row r="101">
      <c r="A101" s="27" t="s">
        <v>42</v>
      </c>
      <c r="B101" s="27" t="s">
        <v>344</v>
      </c>
      <c r="C101" s="27" t="s">
        <v>345</v>
      </c>
      <c r="D101" s="27" t="s">
        <v>346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298.8</f>
        <v>298.8</v>
      </c>
      <c r="L101" s="34" t="s">
        <v>48</v>
      </c>
      <c r="M101" s="33" t="n">
        <f>298.8</f>
        <v>298.8</v>
      </c>
      <c r="N101" s="34" t="s">
        <v>48</v>
      </c>
      <c r="O101" s="33" t="n">
        <f>176</f>
        <v>176.0</v>
      </c>
      <c r="P101" s="34" t="s">
        <v>49</v>
      </c>
      <c r="Q101" s="33" t="n">
        <f>285</f>
        <v>285.0</v>
      </c>
      <c r="R101" s="34" t="s">
        <v>50</v>
      </c>
      <c r="S101" s="35" t="n">
        <f>261.25</f>
        <v>261.25</v>
      </c>
      <c r="T101" s="32" t="n">
        <f>820510630</f>
        <v>8.2051063E8</v>
      </c>
      <c r="U101" s="32" t="n">
        <f>2737480</f>
        <v>2737480.0</v>
      </c>
      <c r="V101" s="32" t="n">
        <f>208947141598</f>
        <v>2.08947141598E11</v>
      </c>
      <c r="W101" s="32" t="n">
        <f>701303514</f>
        <v>7.01303514E8</v>
      </c>
      <c r="X101" s="36" t="n">
        <f>21</f>
        <v>21.0</v>
      </c>
    </row>
    <row r="102">
      <c r="A102" s="27" t="s">
        <v>42</v>
      </c>
      <c r="B102" s="27" t="s">
        <v>347</v>
      </c>
      <c r="C102" s="27" t="s">
        <v>348</v>
      </c>
      <c r="D102" s="27" t="s">
        <v>349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1644.5</f>
        <v>1644.5</v>
      </c>
      <c r="L102" s="34" t="s">
        <v>48</v>
      </c>
      <c r="M102" s="33" t="n">
        <f>2045</f>
        <v>2045.0</v>
      </c>
      <c r="N102" s="34" t="s">
        <v>49</v>
      </c>
      <c r="O102" s="33" t="n">
        <f>1593</f>
        <v>1593.0</v>
      </c>
      <c r="P102" s="34" t="s">
        <v>50</v>
      </c>
      <c r="Q102" s="33" t="n">
        <f>1596</f>
        <v>1596.0</v>
      </c>
      <c r="R102" s="34" t="s">
        <v>50</v>
      </c>
      <c r="S102" s="35" t="n">
        <f>1689.21</f>
        <v>1689.21</v>
      </c>
      <c r="T102" s="32" t="n">
        <f>14316310</f>
        <v>1.431631E7</v>
      </c>
      <c r="U102" s="32" t="n">
        <f>242250</f>
        <v>242250.0</v>
      </c>
      <c r="V102" s="32" t="n">
        <f>25187750103</f>
        <v>2.5187750103E10</v>
      </c>
      <c r="W102" s="32" t="n">
        <f>414479928</f>
        <v>4.14479928E8</v>
      </c>
      <c r="X102" s="36" t="n">
        <f>21</f>
        <v>21.0</v>
      </c>
    </row>
    <row r="103">
      <c r="A103" s="27" t="s">
        <v>42</v>
      </c>
      <c r="B103" s="27" t="s">
        <v>350</v>
      </c>
      <c r="C103" s="27" t="s">
        <v>351</v>
      </c>
      <c r="D103" s="27" t="s">
        <v>352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10.0</v>
      </c>
      <c r="K103" s="33" t="n">
        <f>1913</f>
        <v>1913.0</v>
      </c>
      <c r="L103" s="34" t="s">
        <v>48</v>
      </c>
      <c r="M103" s="33" t="n">
        <f>1913</f>
        <v>1913.0</v>
      </c>
      <c r="N103" s="34" t="s">
        <v>48</v>
      </c>
      <c r="O103" s="33" t="n">
        <f>1557</f>
        <v>1557.0</v>
      </c>
      <c r="P103" s="34" t="s">
        <v>49</v>
      </c>
      <c r="Q103" s="33" t="n">
        <f>1866</f>
        <v>1866.0</v>
      </c>
      <c r="R103" s="34" t="s">
        <v>50</v>
      </c>
      <c r="S103" s="35" t="n">
        <f>1777.55</f>
        <v>1777.55</v>
      </c>
      <c r="T103" s="32" t="n">
        <f>46020</f>
        <v>46020.0</v>
      </c>
      <c r="U103" s="32" t="n">
        <f>50</f>
        <v>50.0</v>
      </c>
      <c r="V103" s="32" t="n">
        <f>82975665</f>
        <v>8.2975665E7</v>
      </c>
      <c r="W103" s="32" t="n">
        <f>88215</f>
        <v>88215.0</v>
      </c>
      <c r="X103" s="36" t="n">
        <f>21</f>
        <v>21.0</v>
      </c>
    </row>
    <row r="104">
      <c r="A104" s="27" t="s">
        <v>42</v>
      </c>
      <c r="B104" s="27" t="s">
        <v>353</v>
      </c>
      <c r="C104" s="27" t="s">
        <v>354</v>
      </c>
      <c r="D104" s="27" t="s">
        <v>355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2230</f>
        <v>2230.0</v>
      </c>
      <c r="L104" s="34" t="s">
        <v>48</v>
      </c>
      <c r="M104" s="33" t="n">
        <f>2230</f>
        <v>2230.0</v>
      </c>
      <c r="N104" s="34" t="s">
        <v>48</v>
      </c>
      <c r="O104" s="33" t="n">
        <f>1875</f>
        <v>1875.0</v>
      </c>
      <c r="P104" s="34" t="s">
        <v>49</v>
      </c>
      <c r="Q104" s="33" t="n">
        <f>2164</f>
        <v>2164.0</v>
      </c>
      <c r="R104" s="34" t="s">
        <v>50</v>
      </c>
      <c r="S104" s="35" t="n">
        <f>2082.14</f>
        <v>2082.14</v>
      </c>
      <c r="T104" s="32" t="n">
        <f>3721</f>
        <v>3721.0</v>
      </c>
      <c r="U104" s="32" t="str">
        <f>"－"</f>
        <v>－</v>
      </c>
      <c r="V104" s="32" t="n">
        <f>7423476</f>
        <v>7423476.0</v>
      </c>
      <c r="W104" s="32" t="str">
        <f>"－"</f>
        <v>－</v>
      </c>
      <c r="X104" s="36" t="n">
        <f>21</f>
        <v>21.0</v>
      </c>
    </row>
    <row r="105">
      <c r="A105" s="27" t="s">
        <v>42</v>
      </c>
      <c r="B105" s="27" t="s">
        <v>356</v>
      </c>
      <c r="C105" s="27" t="s">
        <v>357</v>
      </c>
      <c r="D105" s="27" t="s">
        <v>358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25450</f>
        <v>25450.0</v>
      </c>
      <c r="L105" s="34" t="s">
        <v>48</v>
      </c>
      <c r="M105" s="33" t="n">
        <f>25450</f>
        <v>25450.0</v>
      </c>
      <c r="N105" s="34" t="s">
        <v>48</v>
      </c>
      <c r="O105" s="33" t="n">
        <f>20100</f>
        <v>20100.0</v>
      </c>
      <c r="P105" s="34" t="s">
        <v>49</v>
      </c>
      <c r="Q105" s="33" t="n">
        <f>25000</f>
        <v>25000.0</v>
      </c>
      <c r="R105" s="34" t="s">
        <v>50</v>
      </c>
      <c r="S105" s="35" t="n">
        <f>23969.05</f>
        <v>23969.05</v>
      </c>
      <c r="T105" s="32" t="n">
        <f>60123</f>
        <v>60123.0</v>
      </c>
      <c r="U105" s="32" t="n">
        <f>9380</f>
        <v>9380.0</v>
      </c>
      <c r="V105" s="32" t="n">
        <f>1403228939</f>
        <v>1.403228939E9</v>
      </c>
      <c r="W105" s="32" t="n">
        <f>224518314</f>
        <v>2.24518314E8</v>
      </c>
      <c r="X105" s="36" t="n">
        <f>21</f>
        <v>21.0</v>
      </c>
    </row>
    <row r="106">
      <c r="A106" s="27" t="s">
        <v>42</v>
      </c>
      <c r="B106" s="27" t="s">
        <v>359</v>
      </c>
      <c r="C106" s="27" t="s">
        <v>360</v>
      </c>
      <c r="D106" s="27" t="s">
        <v>361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2355</f>
        <v>2355.0</v>
      </c>
      <c r="L106" s="34" t="s">
        <v>48</v>
      </c>
      <c r="M106" s="33" t="n">
        <f>2355</f>
        <v>2355.0</v>
      </c>
      <c r="N106" s="34" t="s">
        <v>48</v>
      </c>
      <c r="O106" s="33" t="n">
        <f>1850</f>
        <v>1850.0</v>
      </c>
      <c r="P106" s="34" t="s">
        <v>49</v>
      </c>
      <c r="Q106" s="33" t="n">
        <f>2283</f>
        <v>2283.0</v>
      </c>
      <c r="R106" s="34" t="s">
        <v>50</v>
      </c>
      <c r="S106" s="35" t="n">
        <f>2206.33</f>
        <v>2206.33</v>
      </c>
      <c r="T106" s="32" t="n">
        <f>75531</f>
        <v>75531.0</v>
      </c>
      <c r="U106" s="32" t="n">
        <f>9200</f>
        <v>9200.0</v>
      </c>
      <c r="V106" s="32" t="n">
        <f>160460485</f>
        <v>1.60460485E8</v>
      </c>
      <c r="W106" s="32" t="n">
        <f>20000800</f>
        <v>2.00008E7</v>
      </c>
      <c r="X106" s="36" t="n">
        <f>21</f>
        <v>21.0</v>
      </c>
    </row>
    <row r="107">
      <c r="A107" s="27" t="s">
        <v>42</v>
      </c>
      <c r="B107" s="27" t="s">
        <v>362</v>
      </c>
      <c r="C107" s="27" t="s">
        <v>363</v>
      </c>
      <c r="D107" s="27" t="s">
        <v>364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1.0</v>
      </c>
      <c r="K107" s="33" t="n">
        <f>25985</f>
        <v>25985.0</v>
      </c>
      <c r="L107" s="34" t="s">
        <v>48</v>
      </c>
      <c r="M107" s="33" t="n">
        <f>25990</f>
        <v>25990.0</v>
      </c>
      <c r="N107" s="34" t="s">
        <v>48</v>
      </c>
      <c r="O107" s="33" t="n">
        <f>20500</f>
        <v>20500.0</v>
      </c>
      <c r="P107" s="34" t="s">
        <v>49</v>
      </c>
      <c r="Q107" s="33" t="n">
        <f>25555</f>
        <v>25555.0</v>
      </c>
      <c r="R107" s="34" t="s">
        <v>50</v>
      </c>
      <c r="S107" s="35" t="n">
        <f>24710.71</f>
        <v>24710.71</v>
      </c>
      <c r="T107" s="32" t="n">
        <f>23431</f>
        <v>23431.0</v>
      </c>
      <c r="U107" s="32" t="str">
        <f>"－"</f>
        <v>－</v>
      </c>
      <c r="V107" s="32" t="n">
        <f>560007985</f>
        <v>5.60007985E8</v>
      </c>
      <c r="W107" s="32" t="str">
        <f>"－"</f>
        <v>－</v>
      </c>
      <c r="X107" s="36" t="n">
        <f>21</f>
        <v>21.0</v>
      </c>
    </row>
    <row r="108">
      <c r="A108" s="27" t="s">
        <v>42</v>
      </c>
      <c r="B108" s="27" t="s">
        <v>365</v>
      </c>
      <c r="C108" s="27" t="s">
        <v>366</v>
      </c>
      <c r="D108" s="27" t="s">
        <v>367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1754.5</f>
        <v>1754.5</v>
      </c>
      <c r="L108" s="34" t="s">
        <v>48</v>
      </c>
      <c r="M108" s="33" t="n">
        <f>1840.5</f>
        <v>1840.5</v>
      </c>
      <c r="N108" s="34" t="s">
        <v>104</v>
      </c>
      <c r="O108" s="33" t="n">
        <f>1654.5</f>
        <v>1654.5</v>
      </c>
      <c r="P108" s="34" t="s">
        <v>49</v>
      </c>
      <c r="Q108" s="33" t="n">
        <f>1807</f>
        <v>1807.0</v>
      </c>
      <c r="R108" s="34" t="s">
        <v>50</v>
      </c>
      <c r="S108" s="35" t="n">
        <f>1769.36</f>
        <v>1769.36</v>
      </c>
      <c r="T108" s="32" t="n">
        <f>2957260</f>
        <v>2957260.0</v>
      </c>
      <c r="U108" s="32" t="n">
        <f>1263040</f>
        <v>1263040.0</v>
      </c>
      <c r="V108" s="32" t="n">
        <f>5145664722</f>
        <v>5.145664722E9</v>
      </c>
      <c r="W108" s="32" t="n">
        <f>2197160232</f>
        <v>2.197160232E9</v>
      </c>
      <c r="X108" s="36" t="n">
        <f>21</f>
        <v>21.0</v>
      </c>
    </row>
    <row r="109">
      <c r="A109" s="27" t="s">
        <v>42</v>
      </c>
      <c r="B109" s="27" t="s">
        <v>368</v>
      </c>
      <c r="C109" s="27" t="s">
        <v>369</v>
      </c>
      <c r="D109" s="27" t="s">
        <v>370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str">
        <f>"－"</f>
        <v>－</v>
      </c>
      <c r="L109" s="34"/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5" t="str">
        <f>"－"</f>
        <v>－</v>
      </c>
      <c r="T109" s="32" t="str">
        <f>"－"</f>
        <v>－</v>
      </c>
      <c r="U109" s="32" t="str">
        <f>"－"</f>
        <v>－</v>
      </c>
      <c r="V109" s="32" t="str">
        <f>"－"</f>
        <v>－</v>
      </c>
      <c r="W109" s="32" t="str">
        <f>"－"</f>
        <v>－</v>
      </c>
      <c r="X109" s="36" t="str">
        <f>"－"</f>
        <v>－</v>
      </c>
    </row>
    <row r="110">
      <c r="A110" s="27" t="s">
        <v>42</v>
      </c>
      <c r="B110" s="27" t="s">
        <v>371</v>
      </c>
      <c r="C110" s="27" t="s">
        <v>372</v>
      </c>
      <c r="D110" s="27" t="s">
        <v>373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10.0</v>
      </c>
      <c r="K110" s="33" t="n">
        <f>1786.5</f>
        <v>1786.5</v>
      </c>
      <c r="L110" s="34" t="s">
        <v>48</v>
      </c>
      <c r="M110" s="33" t="n">
        <f>1858.5</f>
        <v>1858.5</v>
      </c>
      <c r="N110" s="34" t="s">
        <v>104</v>
      </c>
      <c r="O110" s="33" t="n">
        <f>1671.5</f>
        <v>1671.5</v>
      </c>
      <c r="P110" s="34" t="s">
        <v>49</v>
      </c>
      <c r="Q110" s="33" t="n">
        <f>1823</f>
        <v>1823.0</v>
      </c>
      <c r="R110" s="34" t="s">
        <v>50</v>
      </c>
      <c r="S110" s="35" t="n">
        <f>1786.57</f>
        <v>1786.57</v>
      </c>
      <c r="T110" s="32" t="n">
        <f>10182140</f>
        <v>1.018214E7</v>
      </c>
      <c r="U110" s="32" t="n">
        <f>5272720</f>
        <v>5272720.0</v>
      </c>
      <c r="V110" s="32" t="n">
        <f>17926006476</f>
        <v>1.7926006476E10</v>
      </c>
      <c r="W110" s="32" t="n">
        <f>9285859981</f>
        <v>9.285859981E9</v>
      </c>
      <c r="X110" s="36" t="n">
        <f>21</f>
        <v>21.0</v>
      </c>
    </row>
    <row r="111">
      <c r="A111" s="27" t="s">
        <v>42</v>
      </c>
      <c r="B111" s="27" t="s">
        <v>374</v>
      </c>
      <c r="C111" s="27" t="s">
        <v>375</v>
      </c>
      <c r="D111" s="27" t="s">
        <v>376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1.0</v>
      </c>
      <c r="K111" s="33" t="n">
        <f>25985</f>
        <v>25985.0</v>
      </c>
      <c r="L111" s="34" t="s">
        <v>48</v>
      </c>
      <c r="M111" s="33" t="n">
        <f>26550</f>
        <v>26550.0</v>
      </c>
      <c r="N111" s="34" t="s">
        <v>214</v>
      </c>
      <c r="O111" s="33" t="n">
        <f>20200</f>
        <v>20200.0</v>
      </c>
      <c r="P111" s="34" t="s">
        <v>49</v>
      </c>
      <c r="Q111" s="33" t="n">
        <f>25250</f>
        <v>25250.0</v>
      </c>
      <c r="R111" s="34" t="s">
        <v>50</v>
      </c>
      <c r="S111" s="35" t="n">
        <f>24330.71</f>
        <v>24330.71</v>
      </c>
      <c r="T111" s="32" t="n">
        <f>19316</f>
        <v>19316.0</v>
      </c>
      <c r="U111" s="32" t="n">
        <f>201</f>
        <v>201.0</v>
      </c>
      <c r="V111" s="32" t="n">
        <f>421752159</f>
        <v>4.21752159E8</v>
      </c>
      <c r="W111" s="32" t="n">
        <f>4649044</f>
        <v>4649044.0</v>
      </c>
      <c r="X111" s="36" t="n">
        <f>21</f>
        <v>21.0</v>
      </c>
    </row>
    <row r="112">
      <c r="A112" s="27" t="s">
        <v>42</v>
      </c>
      <c r="B112" s="27" t="s">
        <v>377</v>
      </c>
      <c r="C112" s="27" t="s">
        <v>378</v>
      </c>
      <c r="D112" s="27" t="s">
        <v>379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10.0</v>
      </c>
      <c r="K112" s="33" t="n">
        <f>541.4</f>
        <v>541.4</v>
      </c>
      <c r="L112" s="34" t="s">
        <v>48</v>
      </c>
      <c r="M112" s="33" t="n">
        <f>541.4</f>
        <v>541.4</v>
      </c>
      <c r="N112" s="34" t="s">
        <v>48</v>
      </c>
      <c r="O112" s="33" t="n">
        <f>445</f>
        <v>445.0</v>
      </c>
      <c r="P112" s="34" t="s">
        <v>49</v>
      </c>
      <c r="Q112" s="33" t="n">
        <f>527.8</f>
        <v>527.8</v>
      </c>
      <c r="R112" s="34" t="s">
        <v>50</v>
      </c>
      <c r="S112" s="35" t="n">
        <f>505.35</f>
        <v>505.35</v>
      </c>
      <c r="T112" s="32" t="n">
        <f>1626780</f>
        <v>1626780.0</v>
      </c>
      <c r="U112" s="32" t="n">
        <f>61000</f>
        <v>61000.0</v>
      </c>
      <c r="V112" s="32" t="n">
        <f>775807103</f>
        <v>7.75807103E8</v>
      </c>
      <c r="W112" s="32" t="n">
        <f>30337435</f>
        <v>3.0337435E7</v>
      </c>
      <c r="X112" s="36" t="n">
        <f>21</f>
        <v>21.0</v>
      </c>
    </row>
    <row r="113">
      <c r="A113" s="27" t="s">
        <v>42</v>
      </c>
      <c r="B113" s="27" t="s">
        <v>380</v>
      </c>
      <c r="C113" s="27" t="s">
        <v>381</v>
      </c>
      <c r="D113" s="27" t="s">
        <v>382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100.0</v>
      </c>
      <c r="K113" s="33" t="n">
        <f>367.4</f>
        <v>367.4</v>
      </c>
      <c r="L113" s="34" t="s">
        <v>48</v>
      </c>
      <c r="M113" s="33" t="n">
        <f>369.5</f>
        <v>369.5</v>
      </c>
      <c r="N113" s="34" t="s">
        <v>48</v>
      </c>
      <c r="O113" s="33" t="n">
        <f>251</f>
        <v>251.0</v>
      </c>
      <c r="P113" s="34" t="s">
        <v>49</v>
      </c>
      <c r="Q113" s="33" t="n">
        <f>323.6</f>
        <v>323.6</v>
      </c>
      <c r="R113" s="34" t="s">
        <v>50</v>
      </c>
      <c r="S113" s="35" t="n">
        <f>317.47</f>
        <v>317.47</v>
      </c>
      <c r="T113" s="32" t="n">
        <f>129462200</f>
        <v>1.294622E8</v>
      </c>
      <c r="U113" s="32" t="n">
        <f>11205100</f>
        <v>1.12051E7</v>
      </c>
      <c r="V113" s="32" t="n">
        <f>40561596907</f>
        <v>4.0561596907E10</v>
      </c>
      <c r="W113" s="32" t="n">
        <f>3468364807</f>
        <v>3.468364807E9</v>
      </c>
      <c r="X113" s="36" t="n">
        <f>21</f>
        <v>21.0</v>
      </c>
    </row>
    <row r="114">
      <c r="A114" s="27" t="s">
        <v>42</v>
      </c>
      <c r="B114" s="27" t="s">
        <v>383</v>
      </c>
      <c r="C114" s="27" t="s">
        <v>384</v>
      </c>
      <c r="D114" s="27" t="s">
        <v>385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39380</f>
        <v>39380.0</v>
      </c>
      <c r="L114" s="34" t="s">
        <v>48</v>
      </c>
      <c r="M114" s="33" t="n">
        <f>39380</f>
        <v>39380.0</v>
      </c>
      <c r="N114" s="34" t="s">
        <v>48</v>
      </c>
      <c r="O114" s="33" t="n">
        <f>33750</f>
        <v>33750.0</v>
      </c>
      <c r="P114" s="34" t="s">
        <v>49</v>
      </c>
      <c r="Q114" s="33" t="n">
        <f>37610</f>
        <v>37610.0</v>
      </c>
      <c r="R114" s="34" t="s">
        <v>50</v>
      </c>
      <c r="S114" s="35" t="n">
        <f>36695.71</f>
        <v>36695.71</v>
      </c>
      <c r="T114" s="32" t="n">
        <f>4418</f>
        <v>4418.0</v>
      </c>
      <c r="U114" s="32" t="n">
        <f>5</f>
        <v>5.0</v>
      </c>
      <c r="V114" s="32" t="n">
        <f>162132630</f>
        <v>1.6213263E8</v>
      </c>
      <c r="W114" s="32" t="n">
        <f>183240</f>
        <v>183240.0</v>
      </c>
      <c r="X114" s="36" t="n">
        <f>21</f>
        <v>21.0</v>
      </c>
    </row>
    <row r="115">
      <c r="A115" s="27" t="s">
        <v>42</v>
      </c>
      <c r="B115" s="27" t="s">
        <v>386</v>
      </c>
      <c r="C115" s="27" t="s">
        <v>387</v>
      </c>
      <c r="D115" s="27" t="s">
        <v>388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22435</f>
        <v>22435.0</v>
      </c>
      <c r="L115" s="34" t="s">
        <v>48</v>
      </c>
      <c r="M115" s="33" t="n">
        <f>22435</f>
        <v>22435.0</v>
      </c>
      <c r="N115" s="34" t="s">
        <v>48</v>
      </c>
      <c r="O115" s="33" t="n">
        <f>15100</f>
        <v>15100.0</v>
      </c>
      <c r="P115" s="34" t="s">
        <v>49</v>
      </c>
      <c r="Q115" s="33" t="n">
        <f>21740</f>
        <v>21740.0</v>
      </c>
      <c r="R115" s="34" t="s">
        <v>50</v>
      </c>
      <c r="S115" s="35" t="n">
        <f>20738.81</f>
        <v>20738.81</v>
      </c>
      <c r="T115" s="32" t="n">
        <f>11430</f>
        <v>11430.0</v>
      </c>
      <c r="U115" s="32" t="n">
        <f>67</f>
        <v>67.0</v>
      </c>
      <c r="V115" s="32" t="n">
        <f>232032956</f>
        <v>2.32032956E8</v>
      </c>
      <c r="W115" s="32" t="n">
        <f>1431081</f>
        <v>1431081.0</v>
      </c>
      <c r="X115" s="36" t="n">
        <f>21</f>
        <v>21.0</v>
      </c>
    </row>
    <row r="116">
      <c r="A116" s="27" t="s">
        <v>42</v>
      </c>
      <c r="B116" s="27" t="s">
        <v>389</v>
      </c>
      <c r="C116" s="27" t="s">
        <v>390</v>
      </c>
      <c r="D116" s="27" t="s">
        <v>391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31300</f>
        <v>31300.0</v>
      </c>
      <c r="L116" s="34" t="s">
        <v>48</v>
      </c>
      <c r="M116" s="33" t="n">
        <f>31300</f>
        <v>31300.0</v>
      </c>
      <c r="N116" s="34" t="s">
        <v>48</v>
      </c>
      <c r="O116" s="33" t="n">
        <f>24980</f>
        <v>24980.0</v>
      </c>
      <c r="P116" s="34" t="s">
        <v>49</v>
      </c>
      <c r="Q116" s="33" t="n">
        <f>29905</f>
        <v>29905.0</v>
      </c>
      <c r="R116" s="34" t="s">
        <v>50</v>
      </c>
      <c r="S116" s="35" t="n">
        <f>29046.67</f>
        <v>29046.67</v>
      </c>
      <c r="T116" s="32" t="n">
        <f>3852</f>
        <v>3852.0</v>
      </c>
      <c r="U116" s="32" t="str">
        <f>"－"</f>
        <v>－</v>
      </c>
      <c r="V116" s="32" t="n">
        <f>109710635</f>
        <v>1.09710635E8</v>
      </c>
      <c r="W116" s="32" t="str">
        <f>"－"</f>
        <v>－</v>
      </c>
      <c r="X116" s="36" t="n">
        <f>21</f>
        <v>21.0</v>
      </c>
    </row>
    <row r="117">
      <c r="A117" s="27" t="s">
        <v>42</v>
      </c>
      <c r="B117" s="27" t="s">
        <v>392</v>
      </c>
      <c r="C117" s="27" t="s">
        <v>393</v>
      </c>
      <c r="D117" s="27" t="s">
        <v>394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31940</f>
        <v>31940.0</v>
      </c>
      <c r="L117" s="34" t="s">
        <v>48</v>
      </c>
      <c r="M117" s="33" t="n">
        <f>31940</f>
        <v>31940.0</v>
      </c>
      <c r="N117" s="34" t="s">
        <v>48</v>
      </c>
      <c r="O117" s="33" t="n">
        <f>27200</f>
        <v>27200.0</v>
      </c>
      <c r="P117" s="34" t="s">
        <v>49</v>
      </c>
      <c r="Q117" s="33" t="n">
        <f>30960</f>
        <v>30960.0</v>
      </c>
      <c r="R117" s="34" t="s">
        <v>50</v>
      </c>
      <c r="S117" s="35" t="n">
        <f>29991.67</f>
        <v>29991.67</v>
      </c>
      <c r="T117" s="32" t="n">
        <f>2173</f>
        <v>2173.0</v>
      </c>
      <c r="U117" s="32" t="str">
        <f>"－"</f>
        <v>－</v>
      </c>
      <c r="V117" s="32" t="n">
        <f>64135390</f>
        <v>6.413539E7</v>
      </c>
      <c r="W117" s="32" t="str">
        <f>"－"</f>
        <v>－</v>
      </c>
      <c r="X117" s="36" t="n">
        <f>21</f>
        <v>21.0</v>
      </c>
    </row>
    <row r="118">
      <c r="A118" s="27" t="s">
        <v>42</v>
      </c>
      <c r="B118" s="27" t="s">
        <v>395</v>
      </c>
      <c r="C118" s="27" t="s">
        <v>396</v>
      </c>
      <c r="D118" s="27" t="s">
        <v>397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30680</f>
        <v>30680.0</v>
      </c>
      <c r="L118" s="34" t="s">
        <v>48</v>
      </c>
      <c r="M118" s="33" t="n">
        <f>31870</f>
        <v>31870.0</v>
      </c>
      <c r="N118" s="34" t="s">
        <v>50</v>
      </c>
      <c r="O118" s="33" t="n">
        <f>27175</f>
        <v>27175.0</v>
      </c>
      <c r="P118" s="34" t="s">
        <v>214</v>
      </c>
      <c r="Q118" s="33" t="n">
        <f>31440</f>
        <v>31440.0</v>
      </c>
      <c r="R118" s="34" t="s">
        <v>50</v>
      </c>
      <c r="S118" s="35" t="n">
        <f>29943.57</f>
        <v>29943.57</v>
      </c>
      <c r="T118" s="32" t="n">
        <f>22207</f>
        <v>22207.0</v>
      </c>
      <c r="U118" s="32" t="n">
        <f>7594</f>
        <v>7594.0</v>
      </c>
      <c r="V118" s="32" t="n">
        <f>682271774</f>
        <v>6.82271774E8</v>
      </c>
      <c r="W118" s="32" t="n">
        <f>236782624</f>
        <v>2.36782624E8</v>
      </c>
      <c r="X118" s="36" t="n">
        <f>21</f>
        <v>21.0</v>
      </c>
    </row>
    <row r="119">
      <c r="A119" s="27" t="s">
        <v>42</v>
      </c>
      <c r="B119" s="27" t="s">
        <v>398</v>
      </c>
      <c r="C119" s="27" t="s">
        <v>399</v>
      </c>
      <c r="D119" s="27" t="s">
        <v>400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31580</f>
        <v>31580.0</v>
      </c>
      <c r="L119" s="34" t="s">
        <v>48</v>
      </c>
      <c r="M119" s="33" t="n">
        <f>31590</f>
        <v>31590.0</v>
      </c>
      <c r="N119" s="34" t="s">
        <v>48</v>
      </c>
      <c r="O119" s="33" t="n">
        <f>24280</f>
        <v>24280.0</v>
      </c>
      <c r="P119" s="34" t="s">
        <v>49</v>
      </c>
      <c r="Q119" s="33" t="n">
        <f>30310</f>
        <v>30310.0</v>
      </c>
      <c r="R119" s="34" t="s">
        <v>50</v>
      </c>
      <c r="S119" s="35" t="n">
        <f>29045.48</f>
        <v>29045.48</v>
      </c>
      <c r="T119" s="32" t="n">
        <f>18092</f>
        <v>18092.0</v>
      </c>
      <c r="U119" s="32" t="n">
        <f>148</f>
        <v>148.0</v>
      </c>
      <c r="V119" s="32" t="n">
        <f>519724974</f>
        <v>5.19724974E8</v>
      </c>
      <c r="W119" s="32" t="n">
        <f>4498724</f>
        <v>4498724.0</v>
      </c>
      <c r="X119" s="36" t="n">
        <f>21</f>
        <v>21.0</v>
      </c>
    </row>
    <row r="120">
      <c r="A120" s="27" t="s">
        <v>42</v>
      </c>
      <c r="B120" s="27" t="s">
        <v>401</v>
      </c>
      <c r="C120" s="27" t="s">
        <v>402</v>
      </c>
      <c r="D120" s="27" t="s">
        <v>403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26075</f>
        <v>26075.0</v>
      </c>
      <c r="L120" s="34" t="s">
        <v>48</v>
      </c>
      <c r="M120" s="33" t="n">
        <f>26075</f>
        <v>26075.0</v>
      </c>
      <c r="N120" s="34" t="s">
        <v>48</v>
      </c>
      <c r="O120" s="33" t="n">
        <f>21380</f>
        <v>21380.0</v>
      </c>
      <c r="P120" s="34" t="s">
        <v>49</v>
      </c>
      <c r="Q120" s="33" t="n">
        <f>25830</f>
        <v>25830.0</v>
      </c>
      <c r="R120" s="34" t="s">
        <v>50</v>
      </c>
      <c r="S120" s="35" t="n">
        <f>24613.57</f>
        <v>24613.57</v>
      </c>
      <c r="T120" s="32" t="n">
        <f>4885</f>
        <v>4885.0</v>
      </c>
      <c r="U120" s="32" t="n">
        <f>1</f>
        <v>1.0</v>
      </c>
      <c r="V120" s="32" t="n">
        <f>116997585</f>
        <v>1.16997585E8</v>
      </c>
      <c r="W120" s="32" t="n">
        <f>25470</f>
        <v>25470.0</v>
      </c>
      <c r="X120" s="36" t="n">
        <f>21</f>
        <v>21.0</v>
      </c>
    </row>
    <row r="121">
      <c r="A121" s="27" t="s">
        <v>42</v>
      </c>
      <c r="B121" s="27" t="s">
        <v>404</v>
      </c>
      <c r="C121" s="27" t="s">
        <v>405</v>
      </c>
      <c r="D121" s="27" t="s">
        <v>406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58540</f>
        <v>58540.0</v>
      </c>
      <c r="L121" s="34" t="s">
        <v>48</v>
      </c>
      <c r="M121" s="33" t="n">
        <f>58540</f>
        <v>58540.0</v>
      </c>
      <c r="N121" s="34" t="s">
        <v>48</v>
      </c>
      <c r="O121" s="33" t="n">
        <f>43610</f>
        <v>43610.0</v>
      </c>
      <c r="P121" s="34" t="s">
        <v>49</v>
      </c>
      <c r="Q121" s="33" t="n">
        <f>54730</f>
        <v>54730.0</v>
      </c>
      <c r="R121" s="34" t="s">
        <v>50</v>
      </c>
      <c r="S121" s="35" t="n">
        <f>52980</f>
        <v>52980.0</v>
      </c>
      <c r="T121" s="32" t="n">
        <f>2850</f>
        <v>2850.0</v>
      </c>
      <c r="U121" s="32" t="n">
        <f>49</f>
        <v>49.0</v>
      </c>
      <c r="V121" s="32" t="n">
        <f>149319430</f>
        <v>1.4931943E8</v>
      </c>
      <c r="W121" s="32" t="n">
        <f>2655560</f>
        <v>2655560.0</v>
      </c>
      <c r="X121" s="36" t="n">
        <f>21</f>
        <v>21.0</v>
      </c>
    </row>
    <row r="122">
      <c r="A122" s="27" t="s">
        <v>42</v>
      </c>
      <c r="B122" s="27" t="s">
        <v>407</v>
      </c>
      <c r="C122" s="27" t="s">
        <v>408</v>
      </c>
      <c r="D122" s="27" t="s">
        <v>409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38210</f>
        <v>38210.0</v>
      </c>
      <c r="L122" s="34" t="s">
        <v>48</v>
      </c>
      <c r="M122" s="33" t="n">
        <f>38210</f>
        <v>38210.0</v>
      </c>
      <c r="N122" s="34" t="s">
        <v>48</v>
      </c>
      <c r="O122" s="33" t="n">
        <f>29660</f>
        <v>29660.0</v>
      </c>
      <c r="P122" s="34" t="s">
        <v>49</v>
      </c>
      <c r="Q122" s="33" t="n">
        <f>37740</f>
        <v>37740.0</v>
      </c>
      <c r="R122" s="34" t="s">
        <v>50</v>
      </c>
      <c r="S122" s="35" t="n">
        <f>35944.76</f>
        <v>35944.76</v>
      </c>
      <c r="T122" s="32" t="n">
        <f>8465</f>
        <v>8465.0</v>
      </c>
      <c r="U122" s="32" t="n">
        <f>89</f>
        <v>89.0</v>
      </c>
      <c r="V122" s="32" t="n">
        <f>300281325</f>
        <v>3.00281325E8</v>
      </c>
      <c r="W122" s="32" t="n">
        <f>3281655</f>
        <v>3281655.0</v>
      </c>
      <c r="X122" s="36" t="n">
        <f>21</f>
        <v>21.0</v>
      </c>
    </row>
    <row r="123">
      <c r="A123" s="27" t="s">
        <v>42</v>
      </c>
      <c r="B123" s="27" t="s">
        <v>410</v>
      </c>
      <c r="C123" s="27" t="s">
        <v>411</v>
      </c>
      <c r="D123" s="27" t="s">
        <v>412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34920</f>
        <v>34920.0</v>
      </c>
      <c r="L123" s="34" t="s">
        <v>48</v>
      </c>
      <c r="M123" s="33" t="n">
        <f>35340</f>
        <v>35340.0</v>
      </c>
      <c r="N123" s="34" t="s">
        <v>50</v>
      </c>
      <c r="O123" s="33" t="n">
        <f>28900</f>
        <v>28900.0</v>
      </c>
      <c r="P123" s="34" t="s">
        <v>49</v>
      </c>
      <c r="Q123" s="33" t="n">
        <f>35340</f>
        <v>35340.0</v>
      </c>
      <c r="R123" s="34" t="s">
        <v>50</v>
      </c>
      <c r="S123" s="35" t="n">
        <f>33600.95</f>
        <v>33600.95</v>
      </c>
      <c r="T123" s="32" t="n">
        <f>8978</f>
        <v>8978.0</v>
      </c>
      <c r="U123" s="32" t="n">
        <f>10</f>
        <v>10.0</v>
      </c>
      <c r="V123" s="32" t="n">
        <f>288391530</f>
        <v>2.8839153E8</v>
      </c>
      <c r="W123" s="32" t="n">
        <f>342170</f>
        <v>342170.0</v>
      </c>
      <c r="X123" s="36" t="n">
        <f>21</f>
        <v>21.0</v>
      </c>
    </row>
    <row r="124">
      <c r="A124" s="27" t="s">
        <v>42</v>
      </c>
      <c r="B124" s="27" t="s">
        <v>413</v>
      </c>
      <c r="C124" s="27" t="s">
        <v>414</v>
      </c>
      <c r="D124" s="27" t="s">
        <v>415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9440</f>
        <v>9440.0</v>
      </c>
      <c r="L124" s="34" t="s">
        <v>48</v>
      </c>
      <c r="M124" s="33" t="n">
        <f>9450</f>
        <v>9450.0</v>
      </c>
      <c r="N124" s="34" t="s">
        <v>48</v>
      </c>
      <c r="O124" s="33" t="n">
        <f>7693</f>
        <v>7693.0</v>
      </c>
      <c r="P124" s="34" t="s">
        <v>49</v>
      </c>
      <c r="Q124" s="33" t="n">
        <f>9383</f>
        <v>9383.0</v>
      </c>
      <c r="R124" s="34" t="s">
        <v>50</v>
      </c>
      <c r="S124" s="35" t="n">
        <f>9038</f>
        <v>9038.0</v>
      </c>
      <c r="T124" s="32" t="n">
        <f>86357</f>
        <v>86357.0</v>
      </c>
      <c r="U124" s="32" t="n">
        <f>1</f>
        <v>1.0</v>
      </c>
      <c r="V124" s="32" t="n">
        <f>769513593</f>
        <v>7.69513593E8</v>
      </c>
      <c r="W124" s="32" t="n">
        <f>8676</f>
        <v>8676.0</v>
      </c>
      <c r="X124" s="36" t="n">
        <f>21</f>
        <v>21.0</v>
      </c>
    </row>
    <row r="125">
      <c r="A125" s="27" t="s">
        <v>42</v>
      </c>
      <c r="B125" s="27" t="s">
        <v>416</v>
      </c>
      <c r="C125" s="27" t="s">
        <v>417</v>
      </c>
      <c r="D125" s="27" t="s">
        <v>418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18290</f>
        <v>18290.0</v>
      </c>
      <c r="L125" s="34" t="s">
        <v>48</v>
      </c>
      <c r="M125" s="33" t="n">
        <f>18290</f>
        <v>18290.0</v>
      </c>
      <c r="N125" s="34" t="s">
        <v>48</v>
      </c>
      <c r="O125" s="33" t="n">
        <f>14900</f>
        <v>14900.0</v>
      </c>
      <c r="P125" s="34" t="s">
        <v>49</v>
      </c>
      <c r="Q125" s="33" t="n">
        <f>18250</f>
        <v>18250.0</v>
      </c>
      <c r="R125" s="34" t="s">
        <v>50</v>
      </c>
      <c r="S125" s="35" t="n">
        <f>17413.81</f>
        <v>17413.81</v>
      </c>
      <c r="T125" s="32" t="n">
        <f>10263</f>
        <v>10263.0</v>
      </c>
      <c r="U125" s="32" t="n">
        <f>5</f>
        <v>5.0</v>
      </c>
      <c r="V125" s="32" t="n">
        <f>176415545</f>
        <v>1.76415545E8</v>
      </c>
      <c r="W125" s="32" t="n">
        <f>85670</f>
        <v>85670.0</v>
      </c>
      <c r="X125" s="36" t="n">
        <f>21</f>
        <v>21.0</v>
      </c>
    </row>
    <row r="126">
      <c r="A126" s="27" t="s">
        <v>42</v>
      </c>
      <c r="B126" s="27" t="s">
        <v>419</v>
      </c>
      <c r="C126" s="27" t="s">
        <v>420</v>
      </c>
      <c r="D126" s="27" t="s">
        <v>421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89080</f>
        <v>89080.0</v>
      </c>
      <c r="L126" s="34" t="s">
        <v>48</v>
      </c>
      <c r="M126" s="33" t="n">
        <f>89870</f>
        <v>89870.0</v>
      </c>
      <c r="N126" s="34" t="s">
        <v>48</v>
      </c>
      <c r="O126" s="33" t="n">
        <f>65000</f>
        <v>65000.0</v>
      </c>
      <c r="P126" s="34" t="s">
        <v>49</v>
      </c>
      <c r="Q126" s="33" t="n">
        <f>84370</f>
        <v>84370.0</v>
      </c>
      <c r="R126" s="34" t="s">
        <v>50</v>
      </c>
      <c r="S126" s="35" t="n">
        <f>80100</f>
        <v>80100.0</v>
      </c>
      <c r="T126" s="32" t="n">
        <f>45195</f>
        <v>45195.0</v>
      </c>
      <c r="U126" s="32" t="n">
        <f>6828</f>
        <v>6828.0</v>
      </c>
      <c r="V126" s="32" t="n">
        <f>3541454929</f>
        <v>3.541454929E9</v>
      </c>
      <c r="W126" s="32" t="n">
        <f>522942429</f>
        <v>5.22942429E8</v>
      </c>
      <c r="X126" s="36" t="n">
        <f>21</f>
        <v>21.0</v>
      </c>
    </row>
    <row r="127">
      <c r="A127" s="27" t="s">
        <v>42</v>
      </c>
      <c r="B127" s="27" t="s">
        <v>422</v>
      </c>
      <c r="C127" s="27" t="s">
        <v>423</v>
      </c>
      <c r="D127" s="27" t="s">
        <v>424</v>
      </c>
      <c r="E127" s="28" t="s">
        <v>46</v>
      </c>
      <c r="F127" s="29" t="s">
        <v>46</v>
      </c>
      <c r="G127" s="30" t="s">
        <v>46</v>
      </c>
      <c r="H127" s="31"/>
      <c r="I127" s="31" t="s">
        <v>425</v>
      </c>
      <c r="J127" s="32" t="n">
        <v>1.0</v>
      </c>
      <c r="K127" s="33" t="n">
        <f>9875</f>
        <v>9875.0</v>
      </c>
      <c r="L127" s="34" t="s">
        <v>231</v>
      </c>
      <c r="M127" s="33" t="n">
        <f>10015</f>
        <v>10015.0</v>
      </c>
      <c r="N127" s="34" t="s">
        <v>50</v>
      </c>
      <c r="O127" s="33" t="n">
        <f>8245</f>
        <v>8245.0</v>
      </c>
      <c r="P127" s="34" t="s">
        <v>49</v>
      </c>
      <c r="Q127" s="33" t="n">
        <f>10015</f>
        <v>10015.0</v>
      </c>
      <c r="R127" s="34" t="s">
        <v>50</v>
      </c>
      <c r="S127" s="35" t="n">
        <f>9517.41</f>
        <v>9517.41</v>
      </c>
      <c r="T127" s="32" t="n">
        <f>7338</f>
        <v>7338.0</v>
      </c>
      <c r="U127" s="32" t="str">
        <f>"－"</f>
        <v>－</v>
      </c>
      <c r="V127" s="32" t="n">
        <f>68802735</f>
        <v>6.8802735E7</v>
      </c>
      <c r="W127" s="32" t="str">
        <f>"－"</f>
        <v>－</v>
      </c>
      <c r="X127" s="36" t="n">
        <f>17</f>
        <v>17.0</v>
      </c>
    </row>
    <row r="128">
      <c r="A128" s="27" t="s">
        <v>42</v>
      </c>
      <c r="B128" s="27" t="s">
        <v>426</v>
      </c>
      <c r="C128" s="27" t="s">
        <v>427</v>
      </c>
      <c r="D128" s="27" t="s">
        <v>428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28835</f>
        <v>28835.0</v>
      </c>
      <c r="L128" s="34" t="s">
        <v>48</v>
      </c>
      <c r="M128" s="33" t="n">
        <f>30610</f>
        <v>30610.0</v>
      </c>
      <c r="N128" s="34" t="s">
        <v>153</v>
      </c>
      <c r="O128" s="33" t="n">
        <f>25215</f>
        <v>25215.0</v>
      </c>
      <c r="P128" s="34" t="s">
        <v>49</v>
      </c>
      <c r="Q128" s="33" t="n">
        <f>30030</f>
        <v>30030.0</v>
      </c>
      <c r="R128" s="34" t="s">
        <v>50</v>
      </c>
      <c r="S128" s="35" t="n">
        <f>28438.81</f>
        <v>28438.81</v>
      </c>
      <c r="T128" s="32" t="n">
        <f>8477</f>
        <v>8477.0</v>
      </c>
      <c r="U128" s="32" t="n">
        <f>12</f>
        <v>12.0</v>
      </c>
      <c r="V128" s="32" t="n">
        <f>246017797</f>
        <v>2.46017797E8</v>
      </c>
      <c r="W128" s="32" t="n">
        <f>356207</f>
        <v>356207.0</v>
      </c>
      <c r="X128" s="36" t="n">
        <f>21</f>
        <v>21.0</v>
      </c>
    </row>
    <row r="129">
      <c r="A129" s="27" t="s">
        <v>42</v>
      </c>
      <c r="B129" s="27" t="s">
        <v>429</v>
      </c>
      <c r="C129" s="27" t="s">
        <v>430</v>
      </c>
      <c r="D129" s="27" t="s">
        <v>431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19990</f>
        <v>19990.0</v>
      </c>
      <c r="L129" s="34" t="s">
        <v>48</v>
      </c>
      <c r="M129" s="33" t="n">
        <f>19995</f>
        <v>19995.0</v>
      </c>
      <c r="N129" s="34" t="s">
        <v>48</v>
      </c>
      <c r="O129" s="33" t="n">
        <f>14100</f>
        <v>14100.0</v>
      </c>
      <c r="P129" s="34" t="s">
        <v>49</v>
      </c>
      <c r="Q129" s="33" t="n">
        <f>17230</f>
        <v>17230.0</v>
      </c>
      <c r="R129" s="34" t="s">
        <v>50</v>
      </c>
      <c r="S129" s="35" t="n">
        <f>16961.19</f>
        <v>16961.19</v>
      </c>
      <c r="T129" s="32" t="n">
        <f>366737</f>
        <v>366737.0</v>
      </c>
      <c r="U129" s="32" t="n">
        <f>239604</f>
        <v>239604.0</v>
      </c>
      <c r="V129" s="32" t="n">
        <f>6157115373</f>
        <v>6.157115373E9</v>
      </c>
      <c r="W129" s="32" t="n">
        <f>4034414753</f>
        <v>4.034414753E9</v>
      </c>
      <c r="X129" s="36" t="n">
        <f>21</f>
        <v>21.0</v>
      </c>
    </row>
    <row r="130">
      <c r="A130" s="27" t="s">
        <v>42</v>
      </c>
      <c r="B130" s="27" t="s">
        <v>432</v>
      </c>
      <c r="C130" s="27" t="s">
        <v>433</v>
      </c>
      <c r="D130" s="27" t="s">
        <v>434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29630</f>
        <v>29630.0</v>
      </c>
      <c r="L130" s="34" t="s">
        <v>48</v>
      </c>
      <c r="M130" s="33" t="n">
        <f>29630</f>
        <v>29630.0</v>
      </c>
      <c r="N130" s="34" t="s">
        <v>48</v>
      </c>
      <c r="O130" s="33" t="n">
        <f>20380</f>
        <v>20380.0</v>
      </c>
      <c r="P130" s="34" t="s">
        <v>49</v>
      </c>
      <c r="Q130" s="33" t="n">
        <f>26740</f>
        <v>26740.0</v>
      </c>
      <c r="R130" s="34" t="s">
        <v>50</v>
      </c>
      <c r="S130" s="35" t="n">
        <f>25750.24</f>
        <v>25750.24</v>
      </c>
      <c r="T130" s="32" t="n">
        <f>55927</f>
        <v>55927.0</v>
      </c>
      <c r="U130" s="32" t="n">
        <f>44</f>
        <v>44.0</v>
      </c>
      <c r="V130" s="32" t="n">
        <f>1429253491</f>
        <v>1.429253491E9</v>
      </c>
      <c r="W130" s="32" t="n">
        <f>1175581</f>
        <v>1175581.0</v>
      </c>
      <c r="X130" s="36" t="n">
        <f>21</f>
        <v>21.0</v>
      </c>
    </row>
    <row r="131">
      <c r="A131" s="27" t="s">
        <v>42</v>
      </c>
      <c r="B131" s="27" t="s">
        <v>435</v>
      </c>
      <c r="C131" s="27" t="s">
        <v>436</v>
      </c>
      <c r="D131" s="27" t="s">
        <v>437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1.0</v>
      </c>
      <c r="K131" s="33" t="n">
        <f>40280</f>
        <v>40280.0</v>
      </c>
      <c r="L131" s="34" t="s">
        <v>48</v>
      </c>
      <c r="M131" s="33" t="n">
        <f>41140</f>
        <v>41140.0</v>
      </c>
      <c r="N131" s="34" t="s">
        <v>50</v>
      </c>
      <c r="O131" s="33" t="n">
        <f>30500</f>
        <v>30500.0</v>
      </c>
      <c r="P131" s="34" t="s">
        <v>49</v>
      </c>
      <c r="Q131" s="33" t="n">
        <f>41140</f>
        <v>41140.0</v>
      </c>
      <c r="R131" s="34" t="s">
        <v>50</v>
      </c>
      <c r="S131" s="35" t="n">
        <f>38787.14</f>
        <v>38787.14</v>
      </c>
      <c r="T131" s="32" t="n">
        <f>7462</f>
        <v>7462.0</v>
      </c>
      <c r="U131" s="32" t="n">
        <f>84</f>
        <v>84.0</v>
      </c>
      <c r="V131" s="32" t="n">
        <f>278800230</f>
        <v>2.7880023E8</v>
      </c>
      <c r="W131" s="32" t="n">
        <f>3298080</f>
        <v>3298080.0</v>
      </c>
      <c r="X131" s="36" t="n">
        <f>21</f>
        <v>21.0</v>
      </c>
    </row>
    <row r="132">
      <c r="A132" s="27" t="s">
        <v>42</v>
      </c>
      <c r="B132" s="27" t="s">
        <v>438</v>
      </c>
      <c r="C132" s="27" t="s">
        <v>439</v>
      </c>
      <c r="D132" s="27" t="s">
        <v>440</v>
      </c>
      <c r="E132" s="28" t="s">
        <v>46</v>
      </c>
      <c r="F132" s="29" t="s">
        <v>46</v>
      </c>
      <c r="G132" s="30" t="s">
        <v>46</v>
      </c>
      <c r="H132" s="31"/>
      <c r="I132" s="31" t="s">
        <v>425</v>
      </c>
      <c r="J132" s="32" t="n">
        <v>1.0</v>
      </c>
      <c r="K132" s="33" t="n">
        <f>9489</f>
        <v>9489.0</v>
      </c>
      <c r="L132" s="34" t="s">
        <v>48</v>
      </c>
      <c r="M132" s="33" t="n">
        <f>9500</f>
        <v>9500.0</v>
      </c>
      <c r="N132" s="34" t="s">
        <v>48</v>
      </c>
      <c r="O132" s="33" t="n">
        <f>7000</f>
        <v>7000.0</v>
      </c>
      <c r="P132" s="34" t="s">
        <v>49</v>
      </c>
      <c r="Q132" s="33" t="n">
        <f>8920</f>
        <v>8920.0</v>
      </c>
      <c r="R132" s="34" t="s">
        <v>50</v>
      </c>
      <c r="S132" s="35" t="n">
        <f>8587.57</f>
        <v>8587.57</v>
      </c>
      <c r="T132" s="32" t="n">
        <f>133675</f>
        <v>133675.0</v>
      </c>
      <c r="U132" s="32" t="str">
        <f>"－"</f>
        <v>－</v>
      </c>
      <c r="V132" s="32" t="n">
        <f>1139150180</f>
        <v>1.13915018E9</v>
      </c>
      <c r="W132" s="32" t="str">
        <f>"－"</f>
        <v>－</v>
      </c>
      <c r="X132" s="36" t="n">
        <f>21</f>
        <v>21.0</v>
      </c>
    </row>
    <row r="133">
      <c r="A133" s="27" t="s">
        <v>42</v>
      </c>
      <c r="B133" s="27" t="s">
        <v>441</v>
      </c>
      <c r="C133" s="27" t="s">
        <v>442</v>
      </c>
      <c r="D133" s="27" t="s">
        <v>443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1.0</v>
      </c>
      <c r="K133" s="33" t="n">
        <f>2124</f>
        <v>2124.0</v>
      </c>
      <c r="L133" s="34" t="s">
        <v>48</v>
      </c>
      <c r="M133" s="33" t="n">
        <f>2125</f>
        <v>2125.0</v>
      </c>
      <c r="N133" s="34" t="s">
        <v>48</v>
      </c>
      <c r="O133" s="33" t="n">
        <f>1544</f>
        <v>1544.0</v>
      </c>
      <c r="P133" s="34" t="s">
        <v>49</v>
      </c>
      <c r="Q133" s="33" t="n">
        <f>1989</f>
        <v>1989.0</v>
      </c>
      <c r="R133" s="34" t="s">
        <v>50</v>
      </c>
      <c r="S133" s="35" t="n">
        <f>1914.71</f>
        <v>1914.71</v>
      </c>
      <c r="T133" s="32" t="n">
        <f>1653932</f>
        <v>1653932.0</v>
      </c>
      <c r="U133" s="32" t="n">
        <f>780668</f>
        <v>780668.0</v>
      </c>
      <c r="V133" s="32" t="n">
        <f>3119639491</f>
        <v>3.119639491E9</v>
      </c>
      <c r="W133" s="32" t="n">
        <f>1493335100</f>
        <v>1.4933351E9</v>
      </c>
      <c r="X133" s="36" t="n">
        <f>21</f>
        <v>21.0</v>
      </c>
    </row>
    <row r="134">
      <c r="A134" s="27" t="s">
        <v>42</v>
      </c>
      <c r="B134" s="27" t="s">
        <v>444</v>
      </c>
      <c r="C134" s="27" t="s">
        <v>445</v>
      </c>
      <c r="D134" s="27" t="s">
        <v>446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3342</f>
        <v>3342.0</v>
      </c>
      <c r="L134" s="34" t="s">
        <v>48</v>
      </c>
      <c r="M134" s="33" t="n">
        <f>3342</f>
        <v>3342.0</v>
      </c>
      <c r="N134" s="34" t="s">
        <v>48</v>
      </c>
      <c r="O134" s="33" t="n">
        <f>2783.5</f>
        <v>2783.5</v>
      </c>
      <c r="P134" s="34" t="s">
        <v>49</v>
      </c>
      <c r="Q134" s="33" t="n">
        <f>3200</f>
        <v>3200.0</v>
      </c>
      <c r="R134" s="34" t="s">
        <v>153</v>
      </c>
      <c r="S134" s="35" t="n">
        <f>3076.96</f>
        <v>3076.96</v>
      </c>
      <c r="T134" s="32" t="n">
        <f>13650</f>
        <v>13650.0</v>
      </c>
      <c r="U134" s="32" t="str">
        <f>"－"</f>
        <v>－</v>
      </c>
      <c r="V134" s="32" t="n">
        <f>41392265</f>
        <v>4.1392265E7</v>
      </c>
      <c r="W134" s="32" t="str">
        <f>"－"</f>
        <v>－</v>
      </c>
      <c r="X134" s="36" t="n">
        <f>14</f>
        <v>14.0</v>
      </c>
    </row>
    <row r="135">
      <c r="A135" s="27" t="s">
        <v>42</v>
      </c>
      <c r="B135" s="27" t="s">
        <v>447</v>
      </c>
      <c r="C135" s="27" t="s">
        <v>448</v>
      </c>
      <c r="D135" s="27" t="s">
        <v>449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3477</f>
        <v>3477.0</v>
      </c>
      <c r="L135" s="34" t="s">
        <v>48</v>
      </c>
      <c r="M135" s="33" t="n">
        <f>3477</f>
        <v>3477.0</v>
      </c>
      <c r="N135" s="34" t="s">
        <v>48</v>
      </c>
      <c r="O135" s="33" t="n">
        <f>2978</f>
        <v>2978.0</v>
      </c>
      <c r="P135" s="34" t="s">
        <v>214</v>
      </c>
      <c r="Q135" s="33" t="n">
        <f>3464</f>
        <v>3464.0</v>
      </c>
      <c r="R135" s="34" t="s">
        <v>50</v>
      </c>
      <c r="S135" s="35" t="n">
        <f>3309.76</f>
        <v>3309.76</v>
      </c>
      <c r="T135" s="32" t="n">
        <f>33820</f>
        <v>33820.0</v>
      </c>
      <c r="U135" s="32" t="n">
        <f>2880</f>
        <v>2880.0</v>
      </c>
      <c r="V135" s="32" t="n">
        <f>112165530</f>
        <v>1.1216553E8</v>
      </c>
      <c r="W135" s="32" t="n">
        <f>9996480</f>
        <v>9996480.0</v>
      </c>
      <c r="X135" s="36" t="n">
        <f>17</f>
        <v>17.0</v>
      </c>
    </row>
    <row r="136">
      <c r="A136" s="27" t="s">
        <v>42</v>
      </c>
      <c r="B136" s="27" t="s">
        <v>450</v>
      </c>
      <c r="C136" s="27" t="s">
        <v>451</v>
      </c>
      <c r="D136" s="27" t="s">
        <v>452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2005</f>
        <v>2005.0</v>
      </c>
      <c r="L136" s="34" t="s">
        <v>231</v>
      </c>
      <c r="M136" s="33" t="n">
        <f>2146</f>
        <v>2146.0</v>
      </c>
      <c r="N136" s="34" t="s">
        <v>67</v>
      </c>
      <c r="O136" s="33" t="n">
        <f>1967</f>
        <v>1967.0</v>
      </c>
      <c r="P136" s="34" t="s">
        <v>247</v>
      </c>
      <c r="Q136" s="33" t="n">
        <f>2144.5</f>
        <v>2144.5</v>
      </c>
      <c r="R136" s="34" t="s">
        <v>316</v>
      </c>
      <c r="S136" s="35" t="n">
        <f>2064.31</f>
        <v>2064.31</v>
      </c>
      <c r="T136" s="32" t="n">
        <f>1300</f>
        <v>1300.0</v>
      </c>
      <c r="U136" s="32" t="str">
        <f>"－"</f>
        <v>－</v>
      </c>
      <c r="V136" s="32" t="n">
        <f>2678325</f>
        <v>2678325.0</v>
      </c>
      <c r="W136" s="32" t="str">
        <f>"－"</f>
        <v>－</v>
      </c>
      <c r="X136" s="36" t="n">
        <f>8</f>
        <v>8.0</v>
      </c>
    </row>
    <row r="137">
      <c r="A137" s="27" t="s">
        <v>42</v>
      </c>
      <c r="B137" s="27" t="s">
        <v>453</v>
      </c>
      <c r="C137" s="27" t="s">
        <v>454</v>
      </c>
      <c r="D137" s="27" t="s">
        <v>455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601</f>
        <v>601.0</v>
      </c>
      <c r="L137" s="34" t="s">
        <v>48</v>
      </c>
      <c r="M137" s="33" t="n">
        <f>602.3</f>
        <v>602.3</v>
      </c>
      <c r="N137" s="34" t="s">
        <v>48</v>
      </c>
      <c r="O137" s="33" t="n">
        <f>532.8</f>
        <v>532.8</v>
      </c>
      <c r="P137" s="34" t="s">
        <v>49</v>
      </c>
      <c r="Q137" s="33" t="n">
        <f>584.8</f>
        <v>584.8</v>
      </c>
      <c r="R137" s="34" t="s">
        <v>50</v>
      </c>
      <c r="S137" s="35" t="n">
        <f>577.15</f>
        <v>577.15</v>
      </c>
      <c r="T137" s="32" t="n">
        <f>59807760</f>
        <v>5.980776E7</v>
      </c>
      <c r="U137" s="32" t="n">
        <f>588300</f>
        <v>588300.0</v>
      </c>
      <c r="V137" s="32" t="n">
        <f>34182206328</f>
        <v>3.4182206328E10</v>
      </c>
      <c r="W137" s="32" t="n">
        <f>341189421</f>
        <v>3.41189421E8</v>
      </c>
      <c r="X137" s="36" t="n">
        <f>21</f>
        <v>21.0</v>
      </c>
    </row>
    <row r="138">
      <c r="A138" s="27" t="s">
        <v>42</v>
      </c>
      <c r="B138" s="27" t="s">
        <v>456</v>
      </c>
      <c r="C138" s="27" t="s">
        <v>457</v>
      </c>
      <c r="D138" s="27" t="s">
        <v>458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10.0</v>
      </c>
      <c r="K138" s="33" t="n">
        <f>299.6</f>
        <v>299.6</v>
      </c>
      <c r="L138" s="34" t="s">
        <v>48</v>
      </c>
      <c r="M138" s="33" t="n">
        <f>302</f>
        <v>302.0</v>
      </c>
      <c r="N138" s="34" t="s">
        <v>248</v>
      </c>
      <c r="O138" s="33" t="n">
        <f>288.8</f>
        <v>288.8</v>
      </c>
      <c r="P138" s="34" t="s">
        <v>49</v>
      </c>
      <c r="Q138" s="33" t="n">
        <f>294.2</f>
        <v>294.2</v>
      </c>
      <c r="R138" s="34" t="s">
        <v>50</v>
      </c>
      <c r="S138" s="35" t="n">
        <f>296.63</f>
        <v>296.63</v>
      </c>
      <c r="T138" s="32" t="n">
        <f>32784970</f>
        <v>3.278497E7</v>
      </c>
      <c r="U138" s="32" t="n">
        <f>25559440</f>
        <v>2.555944E7</v>
      </c>
      <c r="V138" s="32" t="n">
        <f>9712468947</f>
        <v>9.712468947E9</v>
      </c>
      <c r="W138" s="32" t="n">
        <f>7558978319</f>
        <v>7.558978319E9</v>
      </c>
      <c r="X138" s="36" t="n">
        <f>21</f>
        <v>21.0</v>
      </c>
    </row>
    <row r="139">
      <c r="A139" s="27" t="s">
        <v>42</v>
      </c>
      <c r="B139" s="27" t="s">
        <v>459</v>
      </c>
      <c r="C139" s="27" t="s">
        <v>460</v>
      </c>
      <c r="D139" s="27" t="s">
        <v>461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5040</f>
        <v>5040.0</v>
      </c>
      <c r="L139" s="34" t="s">
        <v>48</v>
      </c>
      <c r="M139" s="33" t="n">
        <f>5040</f>
        <v>5040.0</v>
      </c>
      <c r="N139" s="34" t="s">
        <v>48</v>
      </c>
      <c r="O139" s="33" t="n">
        <f>4480</f>
        <v>4480.0</v>
      </c>
      <c r="P139" s="34" t="s">
        <v>49</v>
      </c>
      <c r="Q139" s="33" t="n">
        <f>4900</f>
        <v>4900.0</v>
      </c>
      <c r="R139" s="34" t="s">
        <v>50</v>
      </c>
      <c r="S139" s="35" t="n">
        <f>4832.14</f>
        <v>4832.14</v>
      </c>
      <c r="T139" s="32" t="n">
        <f>173819</f>
        <v>173819.0</v>
      </c>
      <c r="U139" s="32" t="n">
        <f>107344</f>
        <v>107344.0</v>
      </c>
      <c r="V139" s="32" t="n">
        <f>847317420</f>
        <v>8.4731742E8</v>
      </c>
      <c r="W139" s="32" t="n">
        <f>529564965</f>
        <v>5.29564965E8</v>
      </c>
      <c r="X139" s="36" t="n">
        <f>21</f>
        <v>21.0</v>
      </c>
    </row>
    <row r="140">
      <c r="A140" s="27" t="s">
        <v>42</v>
      </c>
      <c r="B140" s="27" t="s">
        <v>462</v>
      </c>
      <c r="C140" s="27" t="s">
        <v>463</v>
      </c>
      <c r="D140" s="27" t="s">
        <v>464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2757</f>
        <v>2757.0</v>
      </c>
      <c r="L140" s="34" t="s">
        <v>48</v>
      </c>
      <c r="M140" s="33" t="n">
        <f>2757</f>
        <v>2757.0</v>
      </c>
      <c r="N140" s="34" t="s">
        <v>48</v>
      </c>
      <c r="O140" s="33" t="n">
        <f>2383</f>
        <v>2383.0</v>
      </c>
      <c r="P140" s="34" t="s">
        <v>49</v>
      </c>
      <c r="Q140" s="33" t="n">
        <f>2654</f>
        <v>2654.0</v>
      </c>
      <c r="R140" s="34" t="s">
        <v>50</v>
      </c>
      <c r="S140" s="35" t="n">
        <f>2645.1</f>
        <v>2645.1</v>
      </c>
      <c r="T140" s="32" t="n">
        <f>109656</f>
        <v>109656.0</v>
      </c>
      <c r="U140" s="32" t="n">
        <f>38502</f>
        <v>38502.0</v>
      </c>
      <c r="V140" s="32" t="n">
        <f>288216297</f>
        <v>2.88216297E8</v>
      </c>
      <c r="W140" s="32" t="n">
        <f>100719693</f>
        <v>1.00719693E8</v>
      </c>
      <c r="X140" s="36" t="n">
        <f>21</f>
        <v>21.0</v>
      </c>
    </row>
    <row r="141">
      <c r="A141" s="27" t="s">
        <v>42</v>
      </c>
      <c r="B141" s="27" t="s">
        <v>465</v>
      </c>
      <c r="C141" s="27" t="s">
        <v>466</v>
      </c>
      <c r="D141" s="27" t="s">
        <v>467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3205</f>
        <v>3205.0</v>
      </c>
      <c r="L141" s="34" t="s">
        <v>48</v>
      </c>
      <c r="M141" s="33" t="n">
        <f>3240</f>
        <v>3240.0</v>
      </c>
      <c r="N141" s="34" t="s">
        <v>104</v>
      </c>
      <c r="O141" s="33" t="n">
        <f>3000</f>
        <v>3000.0</v>
      </c>
      <c r="P141" s="34" t="s">
        <v>49</v>
      </c>
      <c r="Q141" s="33" t="n">
        <f>3215</f>
        <v>3215.0</v>
      </c>
      <c r="R141" s="34" t="s">
        <v>50</v>
      </c>
      <c r="S141" s="35" t="n">
        <f>3163.57</f>
        <v>3163.57</v>
      </c>
      <c r="T141" s="32" t="n">
        <f>211947</f>
        <v>211947.0</v>
      </c>
      <c r="U141" s="32" t="n">
        <f>6</f>
        <v>6.0</v>
      </c>
      <c r="V141" s="32" t="n">
        <f>660751020</f>
        <v>6.6075102E8</v>
      </c>
      <c r="W141" s="32" t="n">
        <f>19140</f>
        <v>19140.0</v>
      </c>
      <c r="X141" s="36" t="n">
        <f>21</f>
        <v>21.0</v>
      </c>
    </row>
    <row r="142">
      <c r="A142" s="27" t="s">
        <v>42</v>
      </c>
      <c r="B142" s="27" t="s">
        <v>468</v>
      </c>
      <c r="C142" s="27" t="s">
        <v>469</v>
      </c>
      <c r="D142" s="27" t="s">
        <v>470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9922</f>
        <v>9922.0</v>
      </c>
      <c r="L142" s="34" t="s">
        <v>48</v>
      </c>
      <c r="M142" s="33" t="n">
        <f>10240</f>
        <v>10240.0</v>
      </c>
      <c r="N142" s="34" t="s">
        <v>104</v>
      </c>
      <c r="O142" s="33" t="n">
        <f>9195</f>
        <v>9195.0</v>
      </c>
      <c r="P142" s="34" t="s">
        <v>49</v>
      </c>
      <c r="Q142" s="33" t="n">
        <f>10035</f>
        <v>10035.0</v>
      </c>
      <c r="R142" s="34" t="s">
        <v>50</v>
      </c>
      <c r="S142" s="35" t="n">
        <f>9865.81</f>
        <v>9865.81</v>
      </c>
      <c r="T142" s="32" t="n">
        <f>444499</f>
        <v>444499.0</v>
      </c>
      <c r="U142" s="32" t="n">
        <f>82850</f>
        <v>82850.0</v>
      </c>
      <c r="V142" s="32" t="n">
        <f>4311706007</f>
        <v>4.311706007E9</v>
      </c>
      <c r="W142" s="32" t="n">
        <f>805266616</f>
        <v>8.05266616E8</v>
      </c>
      <c r="X142" s="36" t="n">
        <f>21</f>
        <v>21.0</v>
      </c>
    </row>
    <row r="143">
      <c r="A143" s="27" t="s">
        <v>42</v>
      </c>
      <c r="B143" s="27" t="s">
        <v>471</v>
      </c>
      <c r="C143" s="27" t="s">
        <v>472</v>
      </c>
      <c r="D143" s="27" t="s">
        <v>473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3215</f>
        <v>3215.0</v>
      </c>
      <c r="L143" s="34" t="s">
        <v>48</v>
      </c>
      <c r="M143" s="33" t="n">
        <f>3215</f>
        <v>3215.0</v>
      </c>
      <c r="N143" s="34" t="s">
        <v>48</v>
      </c>
      <c r="O143" s="33" t="n">
        <f>2833</f>
        <v>2833.0</v>
      </c>
      <c r="P143" s="34" t="s">
        <v>49</v>
      </c>
      <c r="Q143" s="33" t="n">
        <f>3035</f>
        <v>3035.0</v>
      </c>
      <c r="R143" s="34" t="s">
        <v>50</v>
      </c>
      <c r="S143" s="35" t="n">
        <f>3030.38</f>
        <v>3030.38</v>
      </c>
      <c r="T143" s="32" t="n">
        <f>6377824</f>
        <v>6377824.0</v>
      </c>
      <c r="U143" s="32" t="n">
        <f>4226</f>
        <v>4226.0</v>
      </c>
      <c r="V143" s="32" t="n">
        <f>19064009755</f>
        <v>1.9064009755E10</v>
      </c>
      <c r="W143" s="32" t="n">
        <f>13261112</f>
        <v>1.3261112E7</v>
      </c>
      <c r="X143" s="36" t="n">
        <f>21</f>
        <v>21.0</v>
      </c>
    </row>
    <row r="144">
      <c r="A144" s="27" t="s">
        <v>42</v>
      </c>
      <c r="B144" s="27" t="s">
        <v>474</v>
      </c>
      <c r="C144" s="27" t="s">
        <v>475</v>
      </c>
      <c r="D144" s="27" t="s">
        <v>476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35470</f>
        <v>35470.0</v>
      </c>
      <c r="L144" s="34" t="s">
        <v>48</v>
      </c>
      <c r="M144" s="33" t="n">
        <f>35500</f>
        <v>35500.0</v>
      </c>
      <c r="N144" s="34" t="s">
        <v>248</v>
      </c>
      <c r="O144" s="33" t="n">
        <f>32300</f>
        <v>32300.0</v>
      </c>
      <c r="P144" s="34" t="s">
        <v>60</v>
      </c>
      <c r="Q144" s="33" t="n">
        <f>34040</f>
        <v>34040.0</v>
      </c>
      <c r="R144" s="34" t="s">
        <v>50</v>
      </c>
      <c r="S144" s="35" t="n">
        <f>33771.9</f>
        <v>33771.9</v>
      </c>
      <c r="T144" s="32" t="n">
        <f>6069</f>
        <v>6069.0</v>
      </c>
      <c r="U144" s="32" t="str">
        <f>"－"</f>
        <v>－</v>
      </c>
      <c r="V144" s="32" t="n">
        <f>204332710</f>
        <v>2.0433271E8</v>
      </c>
      <c r="W144" s="32" t="str">
        <f>"－"</f>
        <v>－</v>
      </c>
      <c r="X144" s="36" t="n">
        <f>21</f>
        <v>21.0</v>
      </c>
    </row>
    <row r="145">
      <c r="A145" s="27" t="s">
        <v>42</v>
      </c>
      <c r="B145" s="27" t="s">
        <v>477</v>
      </c>
      <c r="C145" s="27" t="s">
        <v>478</v>
      </c>
      <c r="D145" s="27" t="s">
        <v>479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10.0</v>
      </c>
      <c r="K145" s="33" t="n">
        <f>4035</f>
        <v>4035.0</v>
      </c>
      <c r="L145" s="34" t="s">
        <v>48</v>
      </c>
      <c r="M145" s="33" t="n">
        <f>4035</f>
        <v>4035.0</v>
      </c>
      <c r="N145" s="34" t="s">
        <v>48</v>
      </c>
      <c r="O145" s="33" t="n">
        <f>3559</f>
        <v>3559.0</v>
      </c>
      <c r="P145" s="34" t="s">
        <v>60</v>
      </c>
      <c r="Q145" s="33" t="n">
        <f>3921</f>
        <v>3921.0</v>
      </c>
      <c r="R145" s="34" t="s">
        <v>50</v>
      </c>
      <c r="S145" s="35" t="n">
        <f>3847.76</f>
        <v>3847.76</v>
      </c>
      <c r="T145" s="32" t="n">
        <f>63700</f>
        <v>63700.0</v>
      </c>
      <c r="U145" s="32" t="str">
        <f>"－"</f>
        <v>－</v>
      </c>
      <c r="V145" s="32" t="n">
        <f>241495730</f>
        <v>2.4149573E8</v>
      </c>
      <c r="W145" s="32" t="str">
        <f>"－"</f>
        <v>－</v>
      </c>
      <c r="X145" s="36" t="n">
        <f>21</f>
        <v>21.0</v>
      </c>
    </row>
    <row r="146">
      <c r="A146" s="27" t="s">
        <v>42</v>
      </c>
      <c r="B146" s="27" t="s">
        <v>480</v>
      </c>
      <c r="C146" s="27" t="s">
        <v>481</v>
      </c>
      <c r="D146" s="27" t="s">
        <v>482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13935</f>
        <v>13935.0</v>
      </c>
      <c r="L146" s="34" t="s">
        <v>48</v>
      </c>
      <c r="M146" s="33" t="n">
        <f>13935</f>
        <v>13935.0</v>
      </c>
      <c r="N146" s="34" t="s">
        <v>48</v>
      </c>
      <c r="O146" s="33" t="n">
        <f>12070</f>
        <v>12070.0</v>
      </c>
      <c r="P146" s="34" t="s">
        <v>214</v>
      </c>
      <c r="Q146" s="33" t="n">
        <f>12605</f>
        <v>12605.0</v>
      </c>
      <c r="R146" s="34" t="s">
        <v>50</v>
      </c>
      <c r="S146" s="35" t="n">
        <f>12737.14</f>
        <v>12737.14</v>
      </c>
      <c r="T146" s="32" t="n">
        <f>6666</f>
        <v>6666.0</v>
      </c>
      <c r="U146" s="32" t="str">
        <f>"－"</f>
        <v>－</v>
      </c>
      <c r="V146" s="32" t="n">
        <f>84776765</f>
        <v>8.4776765E7</v>
      </c>
      <c r="W146" s="32" t="str">
        <f>"－"</f>
        <v>－</v>
      </c>
      <c r="X146" s="36" t="n">
        <f>21</f>
        <v>21.0</v>
      </c>
    </row>
    <row r="147">
      <c r="A147" s="27" t="s">
        <v>42</v>
      </c>
      <c r="B147" s="27" t="s">
        <v>483</v>
      </c>
      <c r="C147" s="27" t="s">
        <v>484</v>
      </c>
      <c r="D147" s="27" t="s">
        <v>485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12995</f>
        <v>12995.0</v>
      </c>
      <c r="L147" s="34" t="s">
        <v>48</v>
      </c>
      <c r="M147" s="33" t="n">
        <f>13475</f>
        <v>13475.0</v>
      </c>
      <c r="N147" s="34" t="s">
        <v>60</v>
      </c>
      <c r="O147" s="33" t="n">
        <f>11225</f>
        <v>11225.0</v>
      </c>
      <c r="P147" s="34" t="s">
        <v>49</v>
      </c>
      <c r="Q147" s="33" t="n">
        <f>13035</f>
        <v>13035.0</v>
      </c>
      <c r="R147" s="34" t="s">
        <v>50</v>
      </c>
      <c r="S147" s="35" t="n">
        <f>12532.38</f>
        <v>12532.38</v>
      </c>
      <c r="T147" s="32" t="n">
        <f>6578</f>
        <v>6578.0</v>
      </c>
      <c r="U147" s="32" t="str">
        <f>"－"</f>
        <v>－</v>
      </c>
      <c r="V147" s="32" t="n">
        <f>82583815</f>
        <v>8.2583815E7</v>
      </c>
      <c r="W147" s="32" t="str">
        <f>"－"</f>
        <v>－</v>
      </c>
      <c r="X147" s="36" t="n">
        <f>21</f>
        <v>21.0</v>
      </c>
    </row>
    <row r="148">
      <c r="A148" s="27" t="s">
        <v>42</v>
      </c>
      <c r="B148" s="27" t="s">
        <v>486</v>
      </c>
      <c r="C148" s="27" t="s">
        <v>487</v>
      </c>
      <c r="D148" s="27" t="s">
        <v>488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1.0</v>
      </c>
      <c r="K148" s="33" t="n">
        <f>22920</f>
        <v>22920.0</v>
      </c>
      <c r="L148" s="34" t="s">
        <v>48</v>
      </c>
      <c r="M148" s="33" t="n">
        <f>23995</f>
        <v>23995.0</v>
      </c>
      <c r="N148" s="34" t="s">
        <v>215</v>
      </c>
      <c r="O148" s="33" t="n">
        <f>20195</f>
        <v>20195.0</v>
      </c>
      <c r="P148" s="34" t="s">
        <v>60</v>
      </c>
      <c r="Q148" s="33" t="n">
        <f>22405</f>
        <v>22405.0</v>
      </c>
      <c r="R148" s="34" t="s">
        <v>50</v>
      </c>
      <c r="S148" s="35" t="n">
        <f>22185.26</f>
        <v>22185.26</v>
      </c>
      <c r="T148" s="32" t="n">
        <f>591</f>
        <v>591.0</v>
      </c>
      <c r="U148" s="32" t="str">
        <f>"－"</f>
        <v>－</v>
      </c>
      <c r="V148" s="32" t="n">
        <f>13169165</f>
        <v>1.3169165E7</v>
      </c>
      <c r="W148" s="32" t="str">
        <f>"－"</f>
        <v>－</v>
      </c>
      <c r="X148" s="36" t="n">
        <f>19</f>
        <v>19.0</v>
      </c>
    </row>
    <row r="149">
      <c r="A149" s="27" t="s">
        <v>42</v>
      </c>
      <c r="B149" s="27" t="s">
        <v>489</v>
      </c>
      <c r="C149" s="27" t="s">
        <v>490</v>
      </c>
      <c r="D149" s="27" t="s">
        <v>491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55500</f>
        <v>55500.0</v>
      </c>
      <c r="L149" s="34" t="s">
        <v>48</v>
      </c>
      <c r="M149" s="33" t="n">
        <f>55970</f>
        <v>55970.0</v>
      </c>
      <c r="N149" s="34" t="s">
        <v>231</v>
      </c>
      <c r="O149" s="33" t="n">
        <f>53860</f>
        <v>53860.0</v>
      </c>
      <c r="P149" s="34" t="s">
        <v>49</v>
      </c>
      <c r="Q149" s="33" t="n">
        <f>54910</f>
        <v>54910.0</v>
      </c>
      <c r="R149" s="34" t="s">
        <v>50</v>
      </c>
      <c r="S149" s="35" t="n">
        <f>55170.48</f>
        <v>55170.48</v>
      </c>
      <c r="T149" s="32" t="n">
        <f>3350</f>
        <v>3350.0</v>
      </c>
      <c r="U149" s="32" t="n">
        <f>10</f>
        <v>10.0</v>
      </c>
      <c r="V149" s="32" t="n">
        <f>184385200</f>
        <v>1.843852E8</v>
      </c>
      <c r="W149" s="32" t="n">
        <f>556100</f>
        <v>556100.0</v>
      </c>
      <c r="X149" s="36" t="n">
        <f>21</f>
        <v>21.0</v>
      </c>
    </row>
    <row r="150">
      <c r="A150" s="27" t="s">
        <v>42</v>
      </c>
      <c r="B150" s="27" t="s">
        <v>492</v>
      </c>
      <c r="C150" s="27" t="s">
        <v>493</v>
      </c>
      <c r="D150" s="27" t="s">
        <v>494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386.3</f>
        <v>386.3</v>
      </c>
      <c r="L150" s="34" t="s">
        <v>48</v>
      </c>
      <c r="M150" s="33" t="n">
        <f>386.4</f>
        <v>386.4</v>
      </c>
      <c r="N150" s="34" t="s">
        <v>48</v>
      </c>
      <c r="O150" s="33" t="n">
        <f>339.8</f>
        <v>339.8</v>
      </c>
      <c r="P150" s="34" t="s">
        <v>49</v>
      </c>
      <c r="Q150" s="33" t="n">
        <f>368.4</f>
        <v>368.4</v>
      </c>
      <c r="R150" s="34" t="s">
        <v>50</v>
      </c>
      <c r="S150" s="35" t="n">
        <f>363.79</f>
        <v>363.79</v>
      </c>
      <c r="T150" s="32" t="n">
        <f>82164230</f>
        <v>8.216423E7</v>
      </c>
      <c r="U150" s="32" t="n">
        <f>945440</f>
        <v>945440.0</v>
      </c>
      <c r="V150" s="32" t="n">
        <f>29842977597</f>
        <v>2.9842977597E10</v>
      </c>
      <c r="W150" s="32" t="n">
        <f>343023310</f>
        <v>3.4302331E8</v>
      </c>
      <c r="X150" s="36" t="n">
        <f>21</f>
        <v>21.0</v>
      </c>
    </row>
    <row r="151">
      <c r="A151" s="27" t="s">
        <v>42</v>
      </c>
      <c r="B151" s="27" t="s">
        <v>495</v>
      </c>
      <c r="C151" s="27" t="s">
        <v>496</v>
      </c>
      <c r="D151" s="27" t="s">
        <v>497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50960</f>
        <v>50960.0</v>
      </c>
      <c r="L151" s="34" t="s">
        <v>48</v>
      </c>
      <c r="M151" s="33" t="n">
        <f>51330</f>
        <v>51330.0</v>
      </c>
      <c r="N151" s="34" t="s">
        <v>48</v>
      </c>
      <c r="O151" s="33" t="n">
        <f>47050</f>
        <v>47050.0</v>
      </c>
      <c r="P151" s="34" t="s">
        <v>49</v>
      </c>
      <c r="Q151" s="33" t="n">
        <f>50190</f>
        <v>50190.0</v>
      </c>
      <c r="R151" s="34" t="s">
        <v>50</v>
      </c>
      <c r="S151" s="35" t="n">
        <f>49312.38</f>
        <v>49312.38</v>
      </c>
      <c r="T151" s="32" t="n">
        <f>5640</f>
        <v>5640.0</v>
      </c>
      <c r="U151" s="32" t="n">
        <f>40</f>
        <v>40.0</v>
      </c>
      <c r="V151" s="32" t="n">
        <f>275676200</f>
        <v>2.756762E8</v>
      </c>
      <c r="W151" s="32" t="n">
        <f>1983200</f>
        <v>1983200.0</v>
      </c>
      <c r="X151" s="36" t="n">
        <f>21</f>
        <v>21.0</v>
      </c>
    </row>
    <row r="152">
      <c r="A152" s="27" t="s">
        <v>42</v>
      </c>
      <c r="B152" s="27" t="s">
        <v>498</v>
      </c>
      <c r="C152" s="27" t="s">
        <v>499</v>
      </c>
      <c r="D152" s="27" t="s">
        <v>500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5711</f>
        <v>5711.0</v>
      </c>
      <c r="L152" s="34" t="s">
        <v>48</v>
      </c>
      <c r="M152" s="33" t="n">
        <f>5732</f>
        <v>5732.0</v>
      </c>
      <c r="N152" s="34" t="s">
        <v>48</v>
      </c>
      <c r="O152" s="33" t="n">
        <f>5098</f>
        <v>5098.0</v>
      </c>
      <c r="P152" s="34" t="s">
        <v>49</v>
      </c>
      <c r="Q152" s="33" t="n">
        <f>5637</f>
        <v>5637.0</v>
      </c>
      <c r="R152" s="34" t="s">
        <v>50</v>
      </c>
      <c r="S152" s="35" t="n">
        <f>5528.29</f>
        <v>5528.29</v>
      </c>
      <c r="T152" s="32" t="n">
        <f>86190</f>
        <v>86190.0</v>
      </c>
      <c r="U152" s="32" t="n">
        <f>10</f>
        <v>10.0</v>
      </c>
      <c r="V152" s="32" t="n">
        <f>471446270</f>
        <v>4.7144627E8</v>
      </c>
      <c r="W152" s="32" t="n">
        <f>52500</f>
        <v>52500.0</v>
      </c>
      <c r="X152" s="36" t="n">
        <f>21</f>
        <v>21.0</v>
      </c>
    </row>
    <row r="153">
      <c r="A153" s="27" t="s">
        <v>42</v>
      </c>
      <c r="B153" s="27" t="s">
        <v>501</v>
      </c>
      <c r="C153" s="27" t="s">
        <v>502</v>
      </c>
      <c r="D153" s="27" t="s">
        <v>503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2088</f>
        <v>2088.0</v>
      </c>
      <c r="L153" s="34" t="s">
        <v>48</v>
      </c>
      <c r="M153" s="33" t="n">
        <f>2088</f>
        <v>2088.0</v>
      </c>
      <c r="N153" s="34" t="s">
        <v>48</v>
      </c>
      <c r="O153" s="33" t="n">
        <f>1825</f>
        <v>1825.0</v>
      </c>
      <c r="P153" s="34" t="s">
        <v>49</v>
      </c>
      <c r="Q153" s="33" t="n">
        <f>2003</f>
        <v>2003.0</v>
      </c>
      <c r="R153" s="34" t="s">
        <v>50</v>
      </c>
      <c r="S153" s="35" t="n">
        <f>2005.76</f>
        <v>2005.76</v>
      </c>
      <c r="T153" s="32" t="n">
        <f>130450</f>
        <v>130450.0</v>
      </c>
      <c r="U153" s="32" t="n">
        <f>19450</f>
        <v>19450.0</v>
      </c>
      <c r="V153" s="32" t="n">
        <f>263274215</f>
        <v>2.63274215E8</v>
      </c>
      <c r="W153" s="32" t="n">
        <f>39945715</f>
        <v>3.9945715E7</v>
      </c>
      <c r="X153" s="36" t="n">
        <f>21</f>
        <v>21.0</v>
      </c>
    </row>
    <row r="154">
      <c r="A154" s="27" t="s">
        <v>42</v>
      </c>
      <c r="B154" s="27" t="s">
        <v>504</v>
      </c>
      <c r="C154" s="27" t="s">
        <v>505</v>
      </c>
      <c r="D154" s="27" t="s">
        <v>506</v>
      </c>
      <c r="E154" s="28" t="s">
        <v>507</v>
      </c>
      <c r="F154" s="29" t="s">
        <v>508</v>
      </c>
      <c r="G154" s="30" t="s">
        <v>509</v>
      </c>
      <c r="H154" s="31" t="s">
        <v>510</v>
      </c>
      <c r="I154" s="31"/>
      <c r="J154" s="32" t="n">
        <v>100.0</v>
      </c>
      <c r="K154" s="33" t="n">
        <f>256.7</f>
        <v>256.7</v>
      </c>
      <c r="L154" s="34" t="s">
        <v>48</v>
      </c>
      <c r="M154" s="33" t="n">
        <f>256.7</f>
        <v>256.7</v>
      </c>
      <c r="N154" s="34" t="s">
        <v>48</v>
      </c>
      <c r="O154" s="33" t="n">
        <f>210.2</f>
        <v>210.2</v>
      </c>
      <c r="P154" s="34" t="s">
        <v>214</v>
      </c>
      <c r="Q154" s="33" t="n">
        <f>236.8</f>
        <v>236.8</v>
      </c>
      <c r="R154" s="34" t="s">
        <v>67</v>
      </c>
      <c r="S154" s="35" t="n">
        <f>230.58</f>
        <v>230.58</v>
      </c>
      <c r="T154" s="32" t="n">
        <f>322400</f>
        <v>322400.0</v>
      </c>
      <c r="U154" s="32" t="n">
        <f>4500</f>
        <v>4500.0</v>
      </c>
      <c r="V154" s="32" t="n">
        <f>74594510</f>
        <v>7.459451E7</v>
      </c>
      <c r="W154" s="32" t="n">
        <f>1056960</f>
        <v>1056960.0</v>
      </c>
      <c r="X154" s="36" t="n">
        <f>11</f>
        <v>11.0</v>
      </c>
    </row>
    <row r="155">
      <c r="A155" s="27" t="s">
        <v>42</v>
      </c>
      <c r="B155" s="27" t="s">
        <v>511</v>
      </c>
      <c r="C155" s="27" t="s">
        <v>512</v>
      </c>
      <c r="D155" s="27" t="s">
        <v>513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1603.5</f>
        <v>1603.5</v>
      </c>
      <c r="L155" s="34" t="s">
        <v>48</v>
      </c>
      <c r="M155" s="33" t="n">
        <f>1637</f>
        <v>1637.0</v>
      </c>
      <c r="N155" s="34" t="s">
        <v>48</v>
      </c>
      <c r="O155" s="33" t="n">
        <f>1517</f>
        <v>1517.0</v>
      </c>
      <c r="P155" s="34" t="s">
        <v>214</v>
      </c>
      <c r="Q155" s="33" t="n">
        <f>1569</f>
        <v>1569.0</v>
      </c>
      <c r="R155" s="34" t="s">
        <v>50</v>
      </c>
      <c r="S155" s="35" t="n">
        <f>1563.06</f>
        <v>1563.06</v>
      </c>
      <c r="T155" s="32" t="n">
        <f>5710</f>
        <v>5710.0</v>
      </c>
      <c r="U155" s="32" t="str">
        <f>"－"</f>
        <v>－</v>
      </c>
      <c r="V155" s="32" t="n">
        <f>9045515</f>
        <v>9045515.0</v>
      </c>
      <c r="W155" s="32" t="str">
        <f>"－"</f>
        <v>－</v>
      </c>
      <c r="X155" s="36" t="n">
        <f>18</f>
        <v>18.0</v>
      </c>
    </row>
    <row r="156">
      <c r="A156" s="27" t="s">
        <v>42</v>
      </c>
      <c r="B156" s="27" t="s">
        <v>514</v>
      </c>
      <c r="C156" s="27" t="s">
        <v>515</v>
      </c>
      <c r="D156" s="27" t="s">
        <v>516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546.7</f>
        <v>546.7</v>
      </c>
      <c r="L156" s="34" t="s">
        <v>48</v>
      </c>
      <c r="M156" s="33" t="n">
        <f>546.7</f>
        <v>546.7</v>
      </c>
      <c r="N156" s="34" t="s">
        <v>48</v>
      </c>
      <c r="O156" s="33" t="n">
        <f>484.8</f>
        <v>484.8</v>
      </c>
      <c r="P156" s="34" t="s">
        <v>49</v>
      </c>
      <c r="Q156" s="33" t="n">
        <f>513.2</f>
        <v>513.2</v>
      </c>
      <c r="R156" s="34" t="s">
        <v>50</v>
      </c>
      <c r="S156" s="35" t="n">
        <f>514.36</f>
        <v>514.36</v>
      </c>
      <c r="T156" s="32" t="n">
        <f>38130</f>
        <v>38130.0</v>
      </c>
      <c r="U156" s="32" t="str">
        <f>"－"</f>
        <v>－</v>
      </c>
      <c r="V156" s="32" t="n">
        <f>19582148</f>
        <v>1.9582148E7</v>
      </c>
      <c r="W156" s="32" t="str">
        <f>"－"</f>
        <v>－</v>
      </c>
      <c r="X156" s="36" t="n">
        <f>21</f>
        <v>21.0</v>
      </c>
    </row>
    <row r="157">
      <c r="A157" s="27" t="s">
        <v>42</v>
      </c>
      <c r="B157" s="27" t="s">
        <v>517</v>
      </c>
      <c r="C157" s="27" t="s">
        <v>518</v>
      </c>
      <c r="D157" s="27" t="s">
        <v>519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2229</f>
        <v>2229.0</v>
      </c>
      <c r="L157" s="34" t="s">
        <v>48</v>
      </c>
      <c r="M157" s="33" t="n">
        <f>2248.5</f>
        <v>2248.5</v>
      </c>
      <c r="N157" s="34" t="s">
        <v>316</v>
      </c>
      <c r="O157" s="33" t="n">
        <f>2002.5</f>
        <v>2002.5</v>
      </c>
      <c r="P157" s="34" t="s">
        <v>60</v>
      </c>
      <c r="Q157" s="33" t="n">
        <f>2195</f>
        <v>2195.0</v>
      </c>
      <c r="R157" s="34" t="s">
        <v>50</v>
      </c>
      <c r="S157" s="35" t="n">
        <f>2156.74</f>
        <v>2156.74</v>
      </c>
      <c r="T157" s="32" t="n">
        <f>5350</f>
        <v>5350.0</v>
      </c>
      <c r="U157" s="32" t="str">
        <f>"－"</f>
        <v>－</v>
      </c>
      <c r="V157" s="32" t="n">
        <f>11500015</f>
        <v>1.1500015E7</v>
      </c>
      <c r="W157" s="32" t="str">
        <f>"－"</f>
        <v>－</v>
      </c>
      <c r="X157" s="36" t="n">
        <f>21</f>
        <v>21.0</v>
      </c>
    </row>
    <row r="158">
      <c r="A158" s="27" t="s">
        <v>42</v>
      </c>
      <c r="B158" s="27" t="s">
        <v>520</v>
      </c>
      <c r="C158" s="27" t="s">
        <v>521</v>
      </c>
      <c r="D158" s="27" t="s">
        <v>522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855.5</f>
        <v>855.5</v>
      </c>
      <c r="L158" s="34" t="s">
        <v>48</v>
      </c>
      <c r="M158" s="33" t="n">
        <f>982</f>
        <v>982.0</v>
      </c>
      <c r="N158" s="34" t="s">
        <v>198</v>
      </c>
      <c r="O158" s="33" t="n">
        <f>795.8</f>
        <v>795.8</v>
      </c>
      <c r="P158" s="34" t="s">
        <v>261</v>
      </c>
      <c r="Q158" s="33" t="n">
        <f>827</f>
        <v>827.0</v>
      </c>
      <c r="R158" s="34" t="s">
        <v>50</v>
      </c>
      <c r="S158" s="35" t="n">
        <f>820.28</f>
        <v>820.28</v>
      </c>
      <c r="T158" s="32" t="n">
        <f>50810</f>
        <v>50810.0</v>
      </c>
      <c r="U158" s="32" t="str">
        <f>"－"</f>
        <v>－</v>
      </c>
      <c r="V158" s="32" t="n">
        <f>41730658</f>
        <v>4.1730658E7</v>
      </c>
      <c r="W158" s="32" t="str">
        <f>"－"</f>
        <v>－</v>
      </c>
      <c r="X158" s="36" t="n">
        <f>21</f>
        <v>21.0</v>
      </c>
    </row>
    <row r="159">
      <c r="A159" s="27" t="s">
        <v>42</v>
      </c>
      <c r="B159" s="27" t="s">
        <v>523</v>
      </c>
      <c r="C159" s="27" t="s">
        <v>524</v>
      </c>
      <c r="D159" s="27" t="s">
        <v>525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519.9</f>
        <v>519.9</v>
      </c>
      <c r="L159" s="34" t="s">
        <v>48</v>
      </c>
      <c r="M159" s="33" t="n">
        <f>521</f>
        <v>521.0</v>
      </c>
      <c r="N159" s="34" t="s">
        <v>48</v>
      </c>
      <c r="O159" s="33" t="n">
        <f>468.8</f>
        <v>468.8</v>
      </c>
      <c r="P159" s="34" t="s">
        <v>261</v>
      </c>
      <c r="Q159" s="33" t="n">
        <f>490.5</f>
        <v>490.5</v>
      </c>
      <c r="R159" s="34" t="s">
        <v>50</v>
      </c>
      <c r="S159" s="35" t="n">
        <f>491.5</f>
        <v>491.5</v>
      </c>
      <c r="T159" s="32" t="n">
        <f>155240</f>
        <v>155240.0</v>
      </c>
      <c r="U159" s="32" t="str">
        <f>"－"</f>
        <v>－</v>
      </c>
      <c r="V159" s="32" t="n">
        <f>76530623</f>
        <v>7.6530623E7</v>
      </c>
      <c r="W159" s="32" t="str">
        <f>"－"</f>
        <v>－</v>
      </c>
      <c r="X159" s="36" t="n">
        <f>21</f>
        <v>21.0</v>
      </c>
    </row>
    <row r="160">
      <c r="A160" s="27" t="s">
        <v>42</v>
      </c>
      <c r="B160" s="27" t="s">
        <v>526</v>
      </c>
      <c r="C160" s="27" t="s">
        <v>527</v>
      </c>
      <c r="D160" s="27" t="s">
        <v>528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1.0</v>
      </c>
      <c r="K160" s="33" t="n">
        <f>1075</f>
        <v>1075.0</v>
      </c>
      <c r="L160" s="34" t="s">
        <v>48</v>
      </c>
      <c r="M160" s="33" t="n">
        <f>1091</f>
        <v>1091.0</v>
      </c>
      <c r="N160" s="34" t="s">
        <v>248</v>
      </c>
      <c r="O160" s="33" t="n">
        <f>920</f>
        <v>920.0</v>
      </c>
      <c r="P160" s="34" t="s">
        <v>49</v>
      </c>
      <c r="Q160" s="33" t="n">
        <f>984</f>
        <v>984.0</v>
      </c>
      <c r="R160" s="34" t="s">
        <v>50</v>
      </c>
      <c r="S160" s="35" t="n">
        <f>1020.29</f>
        <v>1020.29</v>
      </c>
      <c r="T160" s="32" t="n">
        <f>1196610</f>
        <v>1196610.0</v>
      </c>
      <c r="U160" s="32" t="str">
        <f>"－"</f>
        <v>－</v>
      </c>
      <c r="V160" s="32" t="n">
        <f>1206659641</f>
        <v>1.206659641E9</v>
      </c>
      <c r="W160" s="32" t="str">
        <f>"－"</f>
        <v>－</v>
      </c>
      <c r="X160" s="36" t="n">
        <f>21</f>
        <v>21.0</v>
      </c>
    </row>
    <row r="161">
      <c r="A161" s="27" t="s">
        <v>42</v>
      </c>
      <c r="B161" s="27" t="s">
        <v>529</v>
      </c>
      <c r="C161" s="27" t="s">
        <v>530</v>
      </c>
      <c r="D161" s="27" t="s">
        <v>531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10.0</v>
      </c>
      <c r="K161" s="33" t="n">
        <f>1490.5</f>
        <v>1490.5</v>
      </c>
      <c r="L161" s="34" t="s">
        <v>48</v>
      </c>
      <c r="M161" s="33" t="n">
        <f>1540.5</f>
        <v>1540.5</v>
      </c>
      <c r="N161" s="34" t="s">
        <v>48</v>
      </c>
      <c r="O161" s="33" t="n">
        <f>1334</f>
        <v>1334.0</v>
      </c>
      <c r="P161" s="34" t="s">
        <v>214</v>
      </c>
      <c r="Q161" s="33" t="n">
        <f>1458</f>
        <v>1458.0</v>
      </c>
      <c r="R161" s="34" t="s">
        <v>50</v>
      </c>
      <c r="S161" s="35" t="n">
        <f>1454.81</f>
        <v>1454.81</v>
      </c>
      <c r="T161" s="32" t="n">
        <f>51300</f>
        <v>51300.0</v>
      </c>
      <c r="U161" s="32" t="str">
        <f>"－"</f>
        <v>－</v>
      </c>
      <c r="V161" s="32" t="n">
        <f>74045085</f>
        <v>7.4045085E7</v>
      </c>
      <c r="W161" s="32" t="str">
        <f>"－"</f>
        <v>－</v>
      </c>
      <c r="X161" s="36" t="n">
        <f>21</f>
        <v>21.0</v>
      </c>
    </row>
    <row r="162">
      <c r="A162" s="27" t="s">
        <v>42</v>
      </c>
      <c r="B162" s="27" t="s">
        <v>532</v>
      </c>
      <c r="C162" s="27" t="s">
        <v>533</v>
      </c>
      <c r="D162" s="27" t="s">
        <v>534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1.0</v>
      </c>
      <c r="K162" s="33" t="n">
        <f>8409</f>
        <v>8409.0</v>
      </c>
      <c r="L162" s="34" t="s">
        <v>48</v>
      </c>
      <c r="M162" s="33" t="n">
        <f>8409</f>
        <v>8409.0</v>
      </c>
      <c r="N162" s="34" t="s">
        <v>48</v>
      </c>
      <c r="O162" s="33" t="n">
        <f>7417</f>
        <v>7417.0</v>
      </c>
      <c r="P162" s="34" t="s">
        <v>215</v>
      </c>
      <c r="Q162" s="33" t="n">
        <f>7592</f>
        <v>7592.0</v>
      </c>
      <c r="R162" s="34" t="s">
        <v>50</v>
      </c>
      <c r="S162" s="35" t="n">
        <f>7773.89</f>
        <v>7773.89</v>
      </c>
      <c r="T162" s="32" t="n">
        <f>1659</f>
        <v>1659.0</v>
      </c>
      <c r="U162" s="32" t="str">
        <f>"－"</f>
        <v>－</v>
      </c>
      <c r="V162" s="32" t="n">
        <f>12877606</f>
        <v>1.2877606E7</v>
      </c>
      <c r="W162" s="32" t="str">
        <f>"－"</f>
        <v>－</v>
      </c>
      <c r="X162" s="36" t="n">
        <f>19</f>
        <v>19.0</v>
      </c>
    </row>
    <row r="163">
      <c r="A163" s="27" t="s">
        <v>42</v>
      </c>
      <c r="B163" s="27" t="s">
        <v>535</v>
      </c>
      <c r="C163" s="27" t="s">
        <v>536</v>
      </c>
      <c r="D163" s="27" t="s">
        <v>537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100.0</v>
      </c>
      <c r="K163" s="33" t="n">
        <f>461.3</f>
        <v>461.3</v>
      </c>
      <c r="L163" s="34" t="s">
        <v>48</v>
      </c>
      <c r="M163" s="33" t="n">
        <f>510</f>
        <v>510.0</v>
      </c>
      <c r="N163" s="34" t="s">
        <v>198</v>
      </c>
      <c r="O163" s="33" t="n">
        <f>421</f>
        <v>421.0</v>
      </c>
      <c r="P163" s="34" t="s">
        <v>49</v>
      </c>
      <c r="Q163" s="33" t="n">
        <f>470</f>
        <v>470.0</v>
      </c>
      <c r="R163" s="34" t="s">
        <v>50</v>
      </c>
      <c r="S163" s="35" t="n">
        <f>458.5</f>
        <v>458.5</v>
      </c>
      <c r="T163" s="32" t="n">
        <f>222300</f>
        <v>222300.0</v>
      </c>
      <c r="U163" s="32" t="str">
        <f>"－"</f>
        <v>－</v>
      </c>
      <c r="V163" s="32" t="n">
        <f>101912410</f>
        <v>1.0191241E8</v>
      </c>
      <c r="W163" s="32" t="str">
        <f>"－"</f>
        <v>－</v>
      </c>
      <c r="X163" s="36" t="n">
        <f>21</f>
        <v>21.0</v>
      </c>
    </row>
    <row r="164">
      <c r="A164" s="27" t="s">
        <v>42</v>
      </c>
      <c r="B164" s="27" t="s">
        <v>538</v>
      </c>
      <c r="C164" s="27" t="s">
        <v>539</v>
      </c>
      <c r="D164" s="27" t="s">
        <v>540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10.0</v>
      </c>
      <c r="K164" s="33" t="n">
        <f>5672</f>
        <v>5672.0</v>
      </c>
      <c r="L164" s="34" t="s">
        <v>48</v>
      </c>
      <c r="M164" s="33" t="n">
        <f>5676</f>
        <v>5676.0</v>
      </c>
      <c r="N164" s="34" t="s">
        <v>48</v>
      </c>
      <c r="O164" s="33" t="n">
        <f>5178</f>
        <v>5178.0</v>
      </c>
      <c r="P164" s="34" t="s">
        <v>198</v>
      </c>
      <c r="Q164" s="33" t="n">
        <f>5535</f>
        <v>5535.0</v>
      </c>
      <c r="R164" s="34" t="s">
        <v>50</v>
      </c>
      <c r="S164" s="35" t="n">
        <f>5452.95</f>
        <v>5452.95</v>
      </c>
      <c r="T164" s="32" t="n">
        <f>105580</f>
        <v>105580.0</v>
      </c>
      <c r="U164" s="32" t="str">
        <f>"－"</f>
        <v>－</v>
      </c>
      <c r="V164" s="32" t="n">
        <f>575562840</f>
        <v>5.7556284E8</v>
      </c>
      <c r="W164" s="32" t="str">
        <f>"－"</f>
        <v>－</v>
      </c>
      <c r="X164" s="36" t="n">
        <f>21</f>
        <v>21.0</v>
      </c>
    </row>
    <row r="165">
      <c r="A165" s="27" t="s">
        <v>42</v>
      </c>
      <c r="B165" s="27" t="s">
        <v>541</v>
      </c>
      <c r="C165" s="27" t="s">
        <v>542</v>
      </c>
      <c r="D165" s="27" t="s">
        <v>543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10.0</v>
      </c>
      <c r="K165" s="33" t="n">
        <f>2315</f>
        <v>2315.0</v>
      </c>
      <c r="L165" s="34" t="s">
        <v>48</v>
      </c>
      <c r="M165" s="33" t="n">
        <f>2340</f>
        <v>2340.0</v>
      </c>
      <c r="N165" s="34" t="s">
        <v>48</v>
      </c>
      <c r="O165" s="33" t="n">
        <f>2100.5</f>
        <v>2100.5</v>
      </c>
      <c r="P165" s="34" t="s">
        <v>214</v>
      </c>
      <c r="Q165" s="33" t="n">
        <f>2244.5</f>
        <v>2244.5</v>
      </c>
      <c r="R165" s="34" t="s">
        <v>50</v>
      </c>
      <c r="S165" s="35" t="n">
        <f>2202.48</f>
        <v>2202.48</v>
      </c>
      <c r="T165" s="32" t="n">
        <f>17770</f>
        <v>17770.0</v>
      </c>
      <c r="U165" s="32" t="str">
        <f>"－"</f>
        <v>－</v>
      </c>
      <c r="V165" s="32" t="n">
        <f>39168825</f>
        <v>3.9168825E7</v>
      </c>
      <c r="W165" s="32" t="str">
        <f>"－"</f>
        <v>－</v>
      </c>
      <c r="X165" s="36" t="n">
        <f>21</f>
        <v>21.0</v>
      </c>
    </row>
    <row r="166">
      <c r="A166" s="27" t="s">
        <v>42</v>
      </c>
      <c r="B166" s="27" t="s">
        <v>544</v>
      </c>
      <c r="C166" s="27" t="s">
        <v>545</v>
      </c>
      <c r="D166" s="27" t="s">
        <v>546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1.0</v>
      </c>
      <c r="K166" s="33" t="n">
        <f>3155</f>
        <v>3155.0</v>
      </c>
      <c r="L166" s="34" t="s">
        <v>48</v>
      </c>
      <c r="M166" s="33" t="n">
        <f>3200</f>
        <v>3200.0</v>
      </c>
      <c r="N166" s="34" t="s">
        <v>248</v>
      </c>
      <c r="O166" s="33" t="n">
        <f>2900</f>
        <v>2900.0</v>
      </c>
      <c r="P166" s="34" t="s">
        <v>261</v>
      </c>
      <c r="Q166" s="33" t="n">
        <f>3050</f>
        <v>3050.0</v>
      </c>
      <c r="R166" s="34" t="s">
        <v>50</v>
      </c>
      <c r="S166" s="35" t="n">
        <f>3072.9</f>
        <v>3072.9</v>
      </c>
      <c r="T166" s="32" t="n">
        <f>402078</f>
        <v>402078.0</v>
      </c>
      <c r="U166" s="32" t="str">
        <f>"－"</f>
        <v>－</v>
      </c>
      <c r="V166" s="32" t="n">
        <f>1235678608</f>
        <v>1.235678608E9</v>
      </c>
      <c r="W166" s="32" t="str">
        <f>"－"</f>
        <v>－</v>
      </c>
      <c r="X166" s="36" t="n">
        <f>21</f>
        <v>21.0</v>
      </c>
    </row>
    <row r="167">
      <c r="A167" s="27" t="s">
        <v>42</v>
      </c>
      <c r="B167" s="27" t="s">
        <v>547</v>
      </c>
      <c r="C167" s="27" t="s">
        <v>548</v>
      </c>
      <c r="D167" s="27" t="s">
        <v>549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1.0</v>
      </c>
      <c r="K167" s="33" t="n">
        <f>2809</f>
        <v>2809.0</v>
      </c>
      <c r="L167" s="34" t="s">
        <v>48</v>
      </c>
      <c r="M167" s="33" t="n">
        <f>2815</f>
        <v>2815.0</v>
      </c>
      <c r="N167" s="34" t="s">
        <v>48</v>
      </c>
      <c r="O167" s="33" t="n">
        <f>2612</f>
        <v>2612.0</v>
      </c>
      <c r="P167" s="34" t="s">
        <v>316</v>
      </c>
      <c r="Q167" s="33" t="n">
        <f>2696</f>
        <v>2696.0</v>
      </c>
      <c r="R167" s="34" t="s">
        <v>50</v>
      </c>
      <c r="S167" s="35" t="n">
        <f>2718.95</f>
        <v>2718.95</v>
      </c>
      <c r="T167" s="32" t="n">
        <f>34230</f>
        <v>34230.0</v>
      </c>
      <c r="U167" s="32" t="str">
        <f>"－"</f>
        <v>－</v>
      </c>
      <c r="V167" s="32" t="n">
        <f>93365957</f>
        <v>9.3365957E7</v>
      </c>
      <c r="W167" s="32" t="str">
        <f>"－"</f>
        <v>－</v>
      </c>
      <c r="X167" s="36" t="n">
        <f>21</f>
        <v>21.0</v>
      </c>
    </row>
    <row r="168">
      <c r="A168" s="27" t="s">
        <v>42</v>
      </c>
      <c r="B168" s="27" t="s">
        <v>550</v>
      </c>
      <c r="C168" s="27" t="s">
        <v>551</v>
      </c>
      <c r="D168" s="27" t="s">
        <v>552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3831</f>
        <v>3831.0</v>
      </c>
      <c r="L168" s="34" t="s">
        <v>48</v>
      </c>
      <c r="M168" s="33" t="n">
        <f>3999</f>
        <v>3999.0</v>
      </c>
      <c r="N168" s="34" t="s">
        <v>48</v>
      </c>
      <c r="O168" s="33" t="n">
        <f>3525</f>
        <v>3525.0</v>
      </c>
      <c r="P168" s="34" t="s">
        <v>88</v>
      </c>
      <c r="Q168" s="33" t="n">
        <f>3650</f>
        <v>3650.0</v>
      </c>
      <c r="R168" s="34" t="s">
        <v>50</v>
      </c>
      <c r="S168" s="35" t="n">
        <f>3703.81</f>
        <v>3703.81</v>
      </c>
      <c r="T168" s="32" t="n">
        <f>30140</f>
        <v>30140.0</v>
      </c>
      <c r="U168" s="32" t="str">
        <f>"－"</f>
        <v>－</v>
      </c>
      <c r="V168" s="32" t="n">
        <f>110742460</f>
        <v>1.1074246E8</v>
      </c>
      <c r="W168" s="32" t="str">
        <f>"－"</f>
        <v>－</v>
      </c>
      <c r="X168" s="36" t="n">
        <f>21</f>
        <v>21.0</v>
      </c>
    </row>
    <row r="169">
      <c r="A169" s="27" t="s">
        <v>42</v>
      </c>
      <c r="B169" s="27" t="s">
        <v>553</v>
      </c>
      <c r="C169" s="27" t="s">
        <v>554</v>
      </c>
      <c r="D169" s="27" t="s">
        <v>555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3075</f>
        <v>3075.0</v>
      </c>
      <c r="L169" s="34" t="s">
        <v>48</v>
      </c>
      <c r="M169" s="33" t="n">
        <f>3089</f>
        <v>3089.0</v>
      </c>
      <c r="N169" s="34" t="s">
        <v>214</v>
      </c>
      <c r="O169" s="33" t="n">
        <f>2665</f>
        <v>2665.0</v>
      </c>
      <c r="P169" s="34" t="s">
        <v>60</v>
      </c>
      <c r="Q169" s="33" t="n">
        <f>2980</f>
        <v>2980.0</v>
      </c>
      <c r="R169" s="34" t="s">
        <v>50</v>
      </c>
      <c r="S169" s="35" t="n">
        <f>2906.81</f>
        <v>2906.81</v>
      </c>
      <c r="T169" s="32" t="n">
        <f>316630</f>
        <v>316630.0</v>
      </c>
      <c r="U169" s="32" t="n">
        <f>36810</f>
        <v>36810.0</v>
      </c>
      <c r="V169" s="32" t="n">
        <f>902051239</f>
        <v>9.02051239E8</v>
      </c>
      <c r="W169" s="32" t="n">
        <f>101270274</f>
        <v>1.01270274E8</v>
      </c>
      <c r="X169" s="36" t="n">
        <f>21</f>
        <v>21.0</v>
      </c>
    </row>
    <row r="170">
      <c r="A170" s="27" t="s">
        <v>42</v>
      </c>
      <c r="B170" s="27" t="s">
        <v>556</v>
      </c>
      <c r="C170" s="27" t="s">
        <v>557</v>
      </c>
      <c r="D170" s="27" t="s">
        <v>558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10.0</v>
      </c>
      <c r="K170" s="33" t="n">
        <f>424.9</f>
        <v>424.9</v>
      </c>
      <c r="L170" s="34" t="s">
        <v>48</v>
      </c>
      <c r="M170" s="33" t="n">
        <f>425</f>
        <v>425.0</v>
      </c>
      <c r="N170" s="34" t="s">
        <v>48</v>
      </c>
      <c r="O170" s="33" t="n">
        <f>376.1</f>
        <v>376.1</v>
      </c>
      <c r="P170" s="34" t="s">
        <v>49</v>
      </c>
      <c r="Q170" s="33" t="n">
        <f>402</f>
        <v>402.0</v>
      </c>
      <c r="R170" s="34" t="s">
        <v>50</v>
      </c>
      <c r="S170" s="35" t="n">
        <f>401.36</f>
        <v>401.36</v>
      </c>
      <c r="T170" s="32" t="n">
        <f>23007320</f>
        <v>2.300732E7</v>
      </c>
      <c r="U170" s="32" t="n">
        <f>3570</f>
        <v>3570.0</v>
      </c>
      <c r="V170" s="32" t="n">
        <f>9238329082</f>
        <v>9.238329082E9</v>
      </c>
      <c r="W170" s="32" t="n">
        <f>1447130</f>
        <v>1447130.0</v>
      </c>
      <c r="X170" s="36" t="n">
        <f>21</f>
        <v>21.0</v>
      </c>
    </row>
    <row r="171">
      <c r="A171" s="27" t="s">
        <v>42</v>
      </c>
      <c r="B171" s="27" t="s">
        <v>559</v>
      </c>
      <c r="C171" s="27" t="s">
        <v>560</v>
      </c>
      <c r="D171" s="27" t="s">
        <v>561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1.0</v>
      </c>
      <c r="K171" s="33" t="n">
        <f>2049</f>
        <v>2049.0</v>
      </c>
      <c r="L171" s="34" t="s">
        <v>48</v>
      </c>
      <c r="M171" s="33" t="n">
        <f>2049</f>
        <v>2049.0</v>
      </c>
      <c r="N171" s="34" t="s">
        <v>48</v>
      </c>
      <c r="O171" s="33" t="n">
        <f>1620</f>
        <v>1620.0</v>
      </c>
      <c r="P171" s="34" t="s">
        <v>49</v>
      </c>
      <c r="Q171" s="33" t="n">
        <f>1973</f>
        <v>1973.0</v>
      </c>
      <c r="R171" s="34" t="s">
        <v>50</v>
      </c>
      <c r="S171" s="35" t="n">
        <f>1891.71</f>
        <v>1891.71</v>
      </c>
      <c r="T171" s="32" t="n">
        <f>45024</f>
        <v>45024.0</v>
      </c>
      <c r="U171" s="32" t="str">
        <f>"－"</f>
        <v>－</v>
      </c>
      <c r="V171" s="32" t="n">
        <f>85133103</f>
        <v>8.5133103E7</v>
      </c>
      <c r="W171" s="32" t="str">
        <f>"－"</f>
        <v>－</v>
      </c>
      <c r="X171" s="36" t="n">
        <f>21</f>
        <v>21.0</v>
      </c>
    </row>
    <row r="172">
      <c r="A172" s="27" t="s">
        <v>42</v>
      </c>
      <c r="B172" s="27" t="s">
        <v>562</v>
      </c>
      <c r="C172" s="27" t="s">
        <v>563</v>
      </c>
      <c r="D172" s="27" t="s">
        <v>564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1.0</v>
      </c>
      <c r="K172" s="33" t="n">
        <f>1084</f>
        <v>1084.0</v>
      </c>
      <c r="L172" s="34" t="s">
        <v>48</v>
      </c>
      <c r="M172" s="33" t="n">
        <f>1088</f>
        <v>1088.0</v>
      </c>
      <c r="N172" s="34" t="s">
        <v>48</v>
      </c>
      <c r="O172" s="33" t="n">
        <f>897</f>
        <v>897.0</v>
      </c>
      <c r="P172" s="34" t="s">
        <v>49</v>
      </c>
      <c r="Q172" s="33" t="n">
        <f>1038</f>
        <v>1038.0</v>
      </c>
      <c r="R172" s="34" t="s">
        <v>50</v>
      </c>
      <c r="S172" s="35" t="n">
        <f>1029.57</f>
        <v>1029.57</v>
      </c>
      <c r="T172" s="32" t="n">
        <f>3390844</f>
        <v>3390844.0</v>
      </c>
      <c r="U172" s="32" t="n">
        <f>876</f>
        <v>876.0</v>
      </c>
      <c r="V172" s="32" t="n">
        <f>3408035252</f>
        <v>3.408035252E9</v>
      </c>
      <c r="W172" s="32" t="n">
        <f>936546</f>
        <v>936546.0</v>
      </c>
      <c r="X172" s="36" t="n">
        <f>21</f>
        <v>21.0</v>
      </c>
    </row>
    <row r="173">
      <c r="A173" s="27" t="s">
        <v>42</v>
      </c>
      <c r="B173" s="27" t="s">
        <v>565</v>
      </c>
      <c r="C173" s="27" t="s">
        <v>566</v>
      </c>
      <c r="D173" s="27" t="s">
        <v>567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307</f>
        <v>307.0</v>
      </c>
      <c r="L173" s="34" t="s">
        <v>48</v>
      </c>
      <c r="M173" s="33" t="n">
        <f>322.7</f>
        <v>322.7</v>
      </c>
      <c r="N173" s="34" t="s">
        <v>49</v>
      </c>
      <c r="O173" s="33" t="n">
        <f>305.1</f>
        <v>305.1</v>
      </c>
      <c r="P173" s="34" t="s">
        <v>48</v>
      </c>
      <c r="Q173" s="33" t="n">
        <f>311.9</f>
        <v>311.9</v>
      </c>
      <c r="R173" s="34" t="s">
        <v>50</v>
      </c>
      <c r="S173" s="35" t="n">
        <f>314.5</f>
        <v>314.5</v>
      </c>
      <c r="T173" s="32" t="n">
        <f>15767140</f>
        <v>1.576714E7</v>
      </c>
      <c r="U173" s="32" t="n">
        <f>4600810</f>
        <v>4600810.0</v>
      </c>
      <c r="V173" s="32" t="n">
        <f>4927677820</f>
        <v>4.92767782E9</v>
      </c>
      <c r="W173" s="32" t="n">
        <f>1439719127</f>
        <v>1.439719127E9</v>
      </c>
      <c r="X173" s="36" t="n">
        <f>21</f>
        <v>21.0</v>
      </c>
    </row>
    <row r="174">
      <c r="A174" s="27" t="s">
        <v>42</v>
      </c>
      <c r="B174" s="27" t="s">
        <v>568</v>
      </c>
      <c r="C174" s="27" t="s">
        <v>569</v>
      </c>
      <c r="D174" s="27" t="s">
        <v>570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309.3</f>
        <v>309.3</v>
      </c>
      <c r="L174" s="34" t="s">
        <v>48</v>
      </c>
      <c r="M174" s="33" t="n">
        <f>315.9</f>
        <v>315.9</v>
      </c>
      <c r="N174" s="34" t="s">
        <v>67</v>
      </c>
      <c r="O174" s="33" t="n">
        <f>303.3</f>
        <v>303.3</v>
      </c>
      <c r="P174" s="34" t="s">
        <v>104</v>
      </c>
      <c r="Q174" s="33" t="n">
        <f>304.9</f>
        <v>304.9</v>
      </c>
      <c r="R174" s="34" t="s">
        <v>50</v>
      </c>
      <c r="S174" s="35" t="n">
        <f>309.62</f>
        <v>309.62</v>
      </c>
      <c r="T174" s="32" t="n">
        <f>6492990</f>
        <v>6492990.0</v>
      </c>
      <c r="U174" s="32" t="n">
        <f>800</f>
        <v>800.0</v>
      </c>
      <c r="V174" s="32" t="n">
        <f>2005396935</f>
        <v>2.005396935E9</v>
      </c>
      <c r="W174" s="32" t="n">
        <f>249520</f>
        <v>249520.0</v>
      </c>
      <c r="X174" s="36" t="n">
        <f>21</f>
        <v>21.0</v>
      </c>
    </row>
    <row r="175">
      <c r="A175" s="27" t="s">
        <v>42</v>
      </c>
      <c r="B175" s="27" t="s">
        <v>571</v>
      </c>
      <c r="C175" s="27" t="s">
        <v>572</v>
      </c>
      <c r="D175" s="27" t="s">
        <v>573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500</f>
        <v>500.0</v>
      </c>
      <c r="L175" s="34" t="s">
        <v>48</v>
      </c>
      <c r="M175" s="33" t="n">
        <f>512</f>
        <v>512.0</v>
      </c>
      <c r="N175" s="34" t="s">
        <v>231</v>
      </c>
      <c r="O175" s="33" t="n">
        <f>472.6</f>
        <v>472.6</v>
      </c>
      <c r="P175" s="34" t="s">
        <v>215</v>
      </c>
      <c r="Q175" s="33" t="n">
        <f>489</f>
        <v>489.0</v>
      </c>
      <c r="R175" s="34" t="s">
        <v>50</v>
      </c>
      <c r="S175" s="35" t="n">
        <f>483.66</f>
        <v>483.66</v>
      </c>
      <c r="T175" s="32" t="n">
        <f>7040</f>
        <v>7040.0</v>
      </c>
      <c r="U175" s="32" t="str">
        <f>"－"</f>
        <v>－</v>
      </c>
      <c r="V175" s="32" t="n">
        <f>3418437</f>
        <v>3418437.0</v>
      </c>
      <c r="W175" s="32" t="str">
        <f>"－"</f>
        <v>－</v>
      </c>
      <c r="X175" s="36" t="n">
        <f>17</f>
        <v>17.0</v>
      </c>
    </row>
    <row r="176">
      <c r="A176" s="27" t="s">
        <v>42</v>
      </c>
      <c r="B176" s="27" t="s">
        <v>574</v>
      </c>
      <c r="C176" s="27" t="s">
        <v>575</v>
      </c>
      <c r="D176" s="27" t="s">
        <v>576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10.0</v>
      </c>
      <c r="K176" s="33" t="n">
        <f>531</f>
        <v>531.0</v>
      </c>
      <c r="L176" s="34" t="s">
        <v>48</v>
      </c>
      <c r="M176" s="33" t="n">
        <f>539</f>
        <v>539.0</v>
      </c>
      <c r="N176" s="34" t="s">
        <v>49</v>
      </c>
      <c r="O176" s="33" t="n">
        <f>508.7</f>
        <v>508.7</v>
      </c>
      <c r="P176" s="34" t="s">
        <v>247</v>
      </c>
      <c r="Q176" s="33" t="n">
        <f>521.4</f>
        <v>521.4</v>
      </c>
      <c r="R176" s="34" t="s">
        <v>50</v>
      </c>
      <c r="S176" s="35" t="n">
        <f>526.58</f>
        <v>526.58</v>
      </c>
      <c r="T176" s="32" t="n">
        <f>48090</f>
        <v>48090.0</v>
      </c>
      <c r="U176" s="32" t="str">
        <f>"－"</f>
        <v>－</v>
      </c>
      <c r="V176" s="32" t="n">
        <f>25153931</f>
        <v>2.5153931E7</v>
      </c>
      <c r="W176" s="32" t="str">
        <f>"－"</f>
        <v>－</v>
      </c>
      <c r="X176" s="36" t="n">
        <f>21</f>
        <v>21.0</v>
      </c>
    </row>
    <row r="177">
      <c r="A177" s="27" t="s">
        <v>42</v>
      </c>
      <c r="B177" s="27" t="s">
        <v>577</v>
      </c>
      <c r="C177" s="27" t="s">
        <v>578</v>
      </c>
      <c r="D177" s="27" t="s">
        <v>579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10.0</v>
      </c>
      <c r="K177" s="33" t="n">
        <f>542.6</f>
        <v>542.6</v>
      </c>
      <c r="L177" s="34" t="s">
        <v>48</v>
      </c>
      <c r="M177" s="33" t="n">
        <f>694.8</f>
        <v>694.8</v>
      </c>
      <c r="N177" s="34" t="s">
        <v>198</v>
      </c>
      <c r="O177" s="33" t="n">
        <f>533.6</f>
        <v>533.6</v>
      </c>
      <c r="P177" s="34" t="s">
        <v>48</v>
      </c>
      <c r="Q177" s="33" t="n">
        <f>544.8</f>
        <v>544.8</v>
      </c>
      <c r="R177" s="34" t="s">
        <v>50</v>
      </c>
      <c r="S177" s="35" t="n">
        <f>565.5</f>
        <v>565.5</v>
      </c>
      <c r="T177" s="32" t="n">
        <f>76830</f>
        <v>76830.0</v>
      </c>
      <c r="U177" s="32" t="str">
        <f>"－"</f>
        <v>－</v>
      </c>
      <c r="V177" s="32" t="n">
        <f>43087212</f>
        <v>4.3087212E7</v>
      </c>
      <c r="W177" s="32" t="str">
        <f>"－"</f>
        <v>－</v>
      </c>
      <c r="X177" s="36" t="n">
        <f>21</f>
        <v>21.0</v>
      </c>
    </row>
    <row r="178">
      <c r="A178" s="27" t="s">
        <v>42</v>
      </c>
      <c r="B178" s="27" t="s">
        <v>580</v>
      </c>
      <c r="C178" s="27" t="s">
        <v>581</v>
      </c>
      <c r="D178" s="27" t="s">
        <v>582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1.0</v>
      </c>
      <c r="K178" s="33" t="n">
        <f>1035</f>
        <v>1035.0</v>
      </c>
      <c r="L178" s="34" t="s">
        <v>48</v>
      </c>
      <c r="M178" s="33" t="n">
        <f>1036</f>
        <v>1036.0</v>
      </c>
      <c r="N178" s="34" t="s">
        <v>48</v>
      </c>
      <c r="O178" s="33" t="n">
        <f>916</f>
        <v>916.0</v>
      </c>
      <c r="P178" s="34" t="s">
        <v>49</v>
      </c>
      <c r="Q178" s="33" t="n">
        <f>997</f>
        <v>997.0</v>
      </c>
      <c r="R178" s="34" t="s">
        <v>50</v>
      </c>
      <c r="S178" s="35" t="n">
        <f>987.71</f>
        <v>987.71</v>
      </c>
      <c r="T178" s="32" t="n">
        <f>910342</f>
        <v>910342.0</v>
      </c>
      <c r="U178" s="32" t="n">
        <f>76</f>
        <v>76.0</v>
      </c>
      <c r="V178" s="32" t="n">
        <f>892539771</f>
        <v>8.92539771E8</v>
      </c>
      <c r="W178" s="32" t="n">
        <f>72806</f>
        <v>72806.0</v>
      </c>
      <c r="X178" s="36" t="n">
        <f>21</f>
        <v>21.0</v>
      </c>
    </row>
    <row r="179">
      <c r="A179" s="27" t="s">
        <v>42</v>
      </c>
      <c r="B179" s="27" t="s">
        <v>583</v>
      </c>
      <c r="C179" s="27" t="s">
        <v>584</v>
      </c>
      <c r="D179" s="27" t="s">
        <v>585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1.0</v>
      </c>
      <c r="K179" s="33" t="n">
        <f>1866</f>
        <v>1866.0</v>
      </c>
      <c r="L179" s="34" t="s">
        <v>48</v>
      </c>
      <c r="M179" s="33" t="n">
        <f>1867</f>
        <v>1867.0</v>
      </c>
      <c r="N179" s="34" t="s">
        <v>48</v>
      </c>
      <c r="O179" s="33" t="n">
        <f>1301</f>
        <v>1301.0</v>
      </c>
      <c r="P179" s="34" t="s">
        <v>49</v>
      </c>
      <c r="Q179" s="33" t="n">
        <f>1714</f>
        <v>1714.0</v>
      </c>
      <c r="R179" s="34" t="s">
        <v>50</v>
      </c>
      <c r="S179" s="35" t="n">
        <f>1669.81</f>
        <v>1669.81</v>
      </c>
      <c r="T179" s="32" t="n">
        <f>6358560</f>
        <v>6358560.0</v>
      </c>
      <c r="U179" s="32" t="n">
        <f>356000</f>
        <v>356000.0</v>
      </c>
      <c r="V179" s="32" t="n">
        <f>10436739840</f>
        <v>1.043673984E10</v>
      </c>
      <c r="W179" s="32" t="n">
        <f>576790144</f>
        <v>5.76790144E8</v>
      </c>
      <c r="X179" s="36" t="n">
        <f>21</f>
        <v>21.0</v>
      </c>
    </row>
    <row r="180">
      <c r="A180" s="27" t="s">
        <v>42</v>
      </c>
      <c r="B180" s="27" t="s">
        <v>586</v>
      </c>
      <c r="C180" s="27" t="s">
        <v>587</v>
      </c>
      <c r="D180" s="27" t="s">
        <v>588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584</f>
        <v>584.0</v>
      </c>
      <c r="L180" s="34" t="s">
        <v>48</v>
      </c>
      <c r="M180" s="33" t="n">
        <f>584</f>
        <v>584.0</v>
      </c>
      <c r="N180" s="34" t="s">
        <v>48</v>
      </c>
      <c r="O180" s="33" t="n">
        <f>472</f>
        <v>472.0</v>
      </c>
      <c r="P180" s="34" t="s">
        <v>49</v>
      </c>
      <c r="Q180" s="33" t="n">
        <f>570.7</f>
        <v>570.7</v>
      </c>
      <c r="R180" s="34" t="s">
        <v>50</v>
      </c>
      <c r="S180" s="35" t="n">
        <f>547.8</f>
        <v>547.8</v>
      </c>
      <c r="T180" s="32" t="n">
        <f>923540</f>
        <v>923540.0</v>
      </c>
      <c r="U180" s="32" t="n">
        <f>100240</f>
        <v>100240.0</v>
      </c>
      <c r="V180" s="32" t="n">
        <f>497176393</f>
        <v>4.97176393E8</v>
      </c>
      <c r="W180" s="32" t="n">
        <f>54242468</f>
        <v>5.4242468E7</v>
      </c>
      <c r="X180" s="36" t="n">
        <f>21</f>
        <v>21.0</v>
      </c>
    </row>
    <row r="181">
      <c r="A181" s="27" t="s">
        <v>42</v>
      </c>
      <c r="B181" s="27" t="s">
        <v>589</v>
      </c>
      <c r="C181" s="27" t="s">
        <v>590</v>
      </c>
      <c r="D181" s="27" t="s">
        <v>591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209.8</f>
        <v>209.8</v>
      </c>
      <c r="L181" s="34" t="s">
        <v>48</v>
      </c>
      <c r="M181" s="33" t="n">
        <f>213.1</f>
        <v>213.1</v>
      </c>
      <c r="N181" s="34" t="s">
        <v>48</v>
      </c>
      <c r="O181" s="33" t="n">
        <f>199.5</f>
        <v>199.5</v>
      </c>
      <c r="P181" s="34" t="s">
        <v>49</v>
      </c>
      <c r="Q181" s="33" t="n">
        <f>203.8</f>
        <v>203.8</v>
      </c>
      <c r="R181" s="34" t="s">
        <v>50</v>
      </c>
      <c r="S181" s="35" t="n">
        <f>205.14</f>
        <v>205.14</v>
      </c>
      <c r="T181" s="32" t="n">
        <f>18678000</f>
        <v>1.8678E7</v>
      </c>
      <c r="U181" s="32" t="n">
        <f>15697180</f>
        <v>1.569718E7</v>
      </c>
      <c r="V181" s="32" t="n">
        <f>3895811846</f>
        <v>3.895811846E9</v>
      </c>
      <c r="W181" s="32" t="n">
        <f>3283638644</f>
        <v>3.283638644E9</v>
      </c>
      <c r="X181" s="36" t="n">
        <f>21</f>
        <v>21.0</v>
      </c>
    </row>
    <row r="182">
      <c r="A182" s="27" t="s">
        <v>42</v>
      </c>
      <c r="B182" s="27" t="s">
        <v>592</v>
      </c>
      <c r="C182" s="27" t="s">
        <v>593</v>
      </c>
      <c r="D182" s="27" t="s">
        <v>594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10.0</v>
      </c>
      <c r="K182" s="33" t="n">
        <f>232</f>
        <v>232.0</v>
      </c>
      <c r="L182" s="34" t="s">
        <v>48</v>
      </c>
      <c r="M182" s="33" t="n">
        <f>233</f>
        <v>233.0</v>
      </c>
      <c r="N182" s="34" t="s">
        <v>48</v>
      </c>
      <c r="O182" s="33" t="n">
        <f>203.2</f>
        <v>203.2</v>
      </c>
      <c r="P182" s="34" t="s">
        <v>198</v>
      </c>
      <c r="Q182" s="33" t="n">
        <f>227.6</f>
        <v>227.6</v>
      </c>
      <c r="R182" s="34" t="s">
        <v>50</v>
      </c>
      <c r="S182" s="35" t="n">
        <f>225.32</f>
        <v>225.32</v>
      </c>
      <c r="T182" s="32" t="n">
        <f>5134620</f>
        <v>5134620.0</v>
      </c>
      <c r="U182" s="32" t="n">
        <f>70</f>
        <v>70.0</v>
      </c>
      <c r="V182" s="32" t="n">
        <f>1143519063</f>
        <v>1.143519063E9</v>
      </c>
      <c r="W182" s="32" t="n">
        <f>14798</f>
        <v>14798.0</v>
      </c>
      <c r="X182" s="36" t="n">
        <f>21</f>
        <v>21.0</v>
      </c>
    </row>
    <row r="183">
      <c r="A183" s="27" t="s">
        <v>42</v>
      </c>
      <c r="B183" s="27" t="s">
        <v>595</v>
      </c>
      <c r="C183" s="27" t="s">
        <v>596</v>
      </c>
      <c r="D183" s="27" t="s">
        <v>597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10.0</v>
      </c>
      <c r="K183" s="33" t="n">
        <f>231.1</f>
        <v>231.1</v>
      </c>
      <c r="L183" s="34" t="s">
        <v>48</v>
      </c>
      <c r="M183" s="33" t="n">
        <f>233</f>
        <v>233.0</v>
      </c>
      <c r="N183" s="34" t="s">
        <v>48</v>
      </c>
      <c r="O183" s="33" t="n">
        <f>199.8</f>
        <v>199.8</v>
      </c>
      <c r="P183" s="34" t="s">
        <v>198</v>
      </c>
      <c r="Q183" s="33" t="n">
        <f>227.7</f>
        <v>227.7</v>
      </c>
      <c r="R183" s="34" t="s">
        <v>50</v>
      </c>
      <c r="S183" s="35" t="n">
        <f>224</f>
        <v>224.0</v>
      </c>
      <c r="T183" s="32" t="n">
        <f>6226250</f>
        <v>6226250.0</v>
      </c>
      <c r="U183" s="32" t="n">
        <f>130</f>
        <v>130.0</v>
      </c>
      <c r="V183" s="32" t="n">
        <f>1379789748</f>
        <v>1.379789748E9</v>
      </c>
      <c r="W183" s="32" t="n">
        <f>28260</f>
        <v>28260.0</v>
      </c>
      <c r="X183" s="36" t="n">
        <f>21</f>
        <v>21.0</v>
      </c>
    </row>
    <row r="184">
      <c r="A184" s="27" t="s">
        <v>42</v>
      </c>
      <c r="B184" s="27" t="s">
        <v>598</v>
      </c>
      <c r="C184" s="27" t="s">
        <v>599</v>
      </c>
      <c r="D184" s="27" t="s">
        <v>600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2061</f>
        <v>2061.0</v>
      </c>
      <c r="L184" s="34" t="s">
        <v>48</v>
      </c>
      <c r="M184" s="33" t="n">
        <f>2084</f>
        <v>2084.0</v>
      </c>
      <c r="N184" s="34" t="s">
        <v>67</v>
      </c>
      <c r="O184" s="33" t="n">
        <f>2010</f>
        <v>2010.0</v>
      </c>
      <c r="P184" s="34" t="s">
        <v>49</v>
      </c>
      <c r="Q184" s="33" t="n">
        <f>2019</f>
        <v>2019.0</v>
      </c>
      <c r="R184" s="34" t="s">
        <v>50</v>
      </c>
      <c r="S184" s="35" t="n">
        <f>2042.05</f>
        <v>2042.05</v>
      </c>
      <c r="T184" s="32" t="n">
        <f>470857</f>
        <v>470857.0</v>
      </c>
      <c r="U184" s="32" t="n">
        <f>169000</f>
        <v>169000.0</v>
      </c>
      <c r="V184" s="32" t="n">
        <f>962292701</f>
        <v>9.62292701E8</v>
      </c>
      <c r="W184" s="32" t="n">
        <f>347648300</f>
        <v>3.476483E8</v>
      </c>
      <c r="X184" s="36" t="n">
        <f>21</f>
        <v>21.0</v>
      </c>
    </row>
    <row r="185">
      <c r="A185" s="27" t="s">
        <v>42</v>
      </c>
      <c r="B185" s="27" t="s">
        <v>601</v>
      </c>
      <c r="C185" s="27" t="s">
        <v>602</v>
      </c>
      <c r="D185" s="27" t="s">
        <v>603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1971</f>
        <v>1971.0</v>
      </c>
      <c r="L185" s="34" t="s">
        <v>48</v>
      </c>
      <c r="M185" s="33" t="n">
        <f>2022</f>
        <v>2022.0</v>
      </c>
      <c r="N185" s="34" t="s">
        <v>49</v>
      </c>
      <c r="O185" s="33" t="n">
        <f>1970</f>
        <v>1970.0</v>
      </c>
      <c r="P185" s="34" t="s">
        <v>48</v>
      </c>
      <c r="Q185" s="33" t="n">
        <f>1982</f>
        <v>1982.0</v>
      </c>
      <c r="R185" s="34" t="s">
        <v>50</v>
      </c>
      <c r="S185" s="35" t="n">
        <f>1991.67</f>
        <v>1991.67</v>
      </c>
      <c r="T185" s="32" t="n">
        <f>1300891</f>
        <v>1300891.0</v>
      </c>
      <c r="U185" s="32" t="n">
        <f>1070004</f>
        <v>1070004.0</v>
      </c>
      <c r="V185" s="32" t="n">
        <f>2587155796</f>
        <v>2.587155796E9</v>
      </c>
      <c r="W185" s="32" t="n">
        <f>2127769656</f>
        <v>2.127769656E9</v>
      </c>
      <c r="X185" s="36" t="n">
        <f>21</f>
        <v>21.0</v>
      </c>
    </row>
    <row r="186">
      <c r="A186" s="27" t="s">
        <v>42</v>
      </c>
      <c r="B186" s="27" t="s">
        <v>604</v>
      </c>
      <c r="C186" s="27" t="s">
        <v>605</v>
      </c>
      <c r="D186" s="27" t="s">
        <v>606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1099</f>
        <v>1099.0</v>
      </c>
      <c r="L186" s="34" t="s">
        <v>48</v>
      </c>
      <c r="M186" s="33" t="n">
        <f>1099</f>
        <v>1099.0</v>
      </c>
      <c r="N186" s="34" t="s">
        <v>48</v>
      </c>
      <c r="O186" s="33" t="n">
        <f>900</f>
        <v>900.0</v>
      </c>
      <c r="P186" s="34" t="s">
        <v>49</v>
      </c>
      <c r="Q186" s="33" t="n">
        <f>1085</f>
        <v>1085.0</v>
      </c>
      <c r="R186" s="34" t="s">
        <v>50</v>
      </c>
      <c r="S186" s="35" t="n">
        <f>1036.29</f>
        <v>1036.29</v>
      </c>
      <c r="T186" s="32" t="n">
        <f>4529918</f>
        <v>4529918.0</v>
      </c>
      <c r="U186" s="32" t="n">
        <f>662147</f>
        <v>662147.0</v>
      </c>
      <c r="V186" s="32" t="n">
        <f>4546807095</f>
        <v>4.546807095E9</v>
      </c>
      <c r="W186" s="32" t="n">
        <f>651817794</f>
        <v>6.51817794E8</v>
      </c>
      <c r="X186" s="36" t="n">
        <f>21</f>
        <v>21.0</v>
      </c>
    </row>
    <row r="187">
      <c r="A187" s="27" t="s">
        <v>42</v>
      </c>
      <c r="B187" s="27" t="s">
        <v>607</v>
      </c>
      <c r="C187" s="27" t="s">
        <v>608</v>
      </c>
      <c r="D187" s="27" t="s">
        <v>609</v>
      </c>
      <c r="E187" s="28" t="s">
        <v>46</v>
      </c>
      <c r="F187" s="29" t="s">
        <v>46</v>
      </c>
      <c r="G187" s="30" t="s">
        <v>46</v>
      </c>
      <c r="H187" s="31"/>
      <c r="I187" s="31" t="s">
        <v>47</v>
      </c>
      <c r="J187" s="32" t="n">
        <v>1.0</v>
      </c>
      <c r="K187" s="33" t="n">
        <f>1096</f>
        <v>1096.0</v>
      </c>
      <c r="L187" s="34" t="s">
        <v>48</v>
      </c>
      <c r="M187" s="33" t="n">
        <f>1130</f>
        <v>1130.0</v>
      </c>
      <c r="N187" s="34" t="s">
        <v>247</v>
      </c>
      <c r="O187" s="33" t="n">
        <f>1002</f>
        <v>1002.0</v>
      </c>
      <c r="P187" s="34" t="s">
        <v>49</v>
      </c>
      <c r="Q187" s="33" t="n">
        <f>1102</f>
        <v>1102.0</v>
      </c>
      <c r="R187" s="34" t="s">
        <v>50</v>
      </c>
      <c r="S187" s="35" t="n">
        <f>1088.05</f>
        <v>1088.05</v>
      </c>
      <c r="T187" s="32" t="n">
        <f>290203</f>
        <v>290203.0</v>
      </c>
      <c r="U187" s="32" t="str">
        <f>"－"</f>
        <v>－</v>
      </c>
      <c r="V187" s="32" t="n">
        <f>314041895</f>
        <v>3.14041895E8</v>
      </c>
      <c r="W187" s="32" t="str">
        <f>"－"</f>
        <v>－</v>
      </c>
      <c r="X187" s="36" t="n">
        <f>21</f>
        <v>21.0</v>
      </c>
    </row>
    <row r="188">
      <c r="A188" s="27" t="s">
        <v>42</v>
      </c>
      <c r="B188" s="27" t="s">
        <v>610</v>
      </c>
      <c r="C188" s="27" t="s">
        <v>611</v>
      </c>
      <c r="D188" s="27" t="s">
        <v>612</v>
      </c>
      <c r="E188" s="28" t="s">
        <v>46</v>
      </c>
      <c r="F188" s="29" t="s">
        <v>46</v>
      </c>
      <c r="G188" s="30" t="s">
        <v>46</v>
      </c>
      <c r="H188" s="31"/>
      <c r="I188" s="31" t="s">
        <v>47</v>
      </c>
      <c r="J188" s="32" t="n">
        <v>1.0</v>
      </c>
      <c r="K188" s="33" t="n">
        <f>1020</f>
        <v>1020.0</v>
      </c>
      <c r="L188" s="34" t="s">
        <v>48</v>
      </c>
      <c r="M188" s="33" t="n">
        <f>1021</f>
        <v>1021.0</v>
      </c>
      <c r="N188" s="34" t="s">
        <v>48</v>
      </c>
      <c r="O188" s="33" t="n">
        <f>950</f>
        <v>950.0</v>
      </c>
      <c r="P188" s="34" t="s">
        <v>49</v>
      </c>
      <c r="Q188" s="33" t="n">
        <f>1013</f>
        <v>1013.0</v>
      </c>
      <c r="R188" s="34" t="s">
        <v>50</v>
      </c>
      <c r="S188" s="35" t="n">
        <f>1002.9</f>
        <v>1002.9</v>
      </c>
      <c r="T188" s="32" t="n">
        <f>122415</f>
        <v>122415.0</v>
      </c>
      <c r="U188" s="32" t="str">
        <f>"－"</f>
        <v>－</v>
      </c>
      <c r="V188" s="32" t="n">
        <f>121682577</f>
        <v>1.21682577E8</v>
      </c>
      <c r="W188" s="32" t="str">
        <f>"－"</f>
        <v>－</v>
      </c>
      <c r="X188" s="36" t="n">
        <f>21</f>
        <v>21.0</v>
      </c>
    </row>
    <row r="189">
      <c r="A189" s="27" t="s">
        <v>42</v>
      </c>
      <c r="B189" s="27" t="s">
        <v>613</v>
      </c>
      <c r="C189" s="27" t="s">
        <v>614</v>
      </c>
      <c r="D189" s="27" t="s">
        <v>615</v>
      </c>
      <c r="E189" s="28" t="s">
        <v>46</v>
      </c>
      <c r="F189" s="29" t="s">
        <v>46</v>
      </c>
      <c r="G189" s="30" t="s">
        <v>46</v>
      </c>
      <c r="H189" s="31"/>
      <c r="I189" s="31" t="s">
        <v>47</v>
      </c>
      <c r="J189" s="32" t="n">
        <v>10.0</v>
      </c>
      <c r="K189" s="33" t="n">
        <f>208.7</f>
        <v>208.7</v>
      </c>
      <c r="L189" s="34" t="s">
        <v>48</v>
      </c>
      <c r="M189" s="33" t="n">
        <f>208.8</f>
        <v>208.8</v>
      </c>
      <c r="N189" s="34" t="s">
        <v>48</v>
      </c>
      <c r="O189" s="33" t="n">
        <f>181.3</f>
        <v>181.3</v>
      </c>
      <c r="P189" s="34" t="s">
        <v>49</v>
      </c>
      <c r="Q189" s="33" t="n">
        <f>199.9</f>
        <v>199.9</v>
      </c>
      <c r="R189" s="34" t="s">
        <v>50</v>
      </c>
      <c r="S189" s="35" t="n">
        <f>196.79</f>
        <v>196.79</v>
      </c>
      <c r="T189" s="32" t="n">
        <f>9825450</f>
        <v>9825450.0</v>
      </c>
      <c r="U189" s="32" t="n">
        <f>340740</f>
        <v>340740.0</v>
      </c>
      <c r="V189" s="32" t="n">
        <f>1914784527</f>
        <v>1.914784527E9</v>
      </c>
      <c r="W189" s="32" t="n">
        <f>65899130</f>
        <v>6.589913E7</v>
      </c>
      <c r="X189" s="36" t="n">
        <f>21</f>
        <v>21.0</v>
      </c>
    </row>
    <row r="190">
      <c r="A190" s="27" t="s">
        <v>42</v>
      </c>
      <c r="B190" s="27" t="s">
        <v>616</v>
      </c>
      <c r="C190" s="27" t="s">
        <v>617</v>
      </c>
      <c r="D190" s="27" t="s">
        <v>618</v>
      </c>
      <c r="E190" s="28" t="s">
        <v>46</v>
      </c>
      <c r="F190" s="29" t="s">
        <v>46</v>
      </c>
      <c r="G190" s="30" t="s">
        <v>46</v>
      </c>
      <c r="H190" s="31"/>
      <c r="I190" s="31" t="s">
        <v>425</v>
      </c>
      <c r="J190" s="32" t="n">
        <v>1.0</v>
      </c>
      <c r="K190" s="33" t="n">
        <f>4215</f>
        <v>4215.0</v>
      </c>
      <c r="L190" s="34" t="s">
        <v>48</v>
      </c>
      <c r="M190" s="33" t="n">
        <f>4510</f>
        <v>4510.0</v>
      </c>
      <c r="N190" s="34" t="s">
        <v>50</v>
      </c>
      <c r="O190" s="33" t="n">
        <f>3650</f>
        <v>3650.0</v>
      </c>
      <c r="P190" s="34" t="s">
        <v>49</v>
      </c>
      <c r="Q190" s="33" t="n">
        <f>4510</f>
        <v>4510.0</v>
      </c>
      <c r="R190" s="34" t="s">
        <v>50</v>
      </c>
      <c r="S190" s="35" t="n">
        <f>4145.95</f>
        <v>4145.95</v>
      </c>
      <c r="T190" s="32" t="n">
        <f>39621</f>
        <v>39621.0</v>
      </c>
      <c r="U190" s="32" t="str">
        <f>"－"</f>
        <v>－</v>
      </c>
      <c r="V190" s="32" t="n">
        <f>162305215</f>
        <v>1.62305215E8</v>
      </c>
      <c r="W190" s="32" t="str">
        <f>"－"</f>
        <v>－</v>
      </c>
      <c r="X190" s="36" t="n">
        <f>21</f>
        <v>21.0</v>
      </c>
    </row>
    <row r="191">
      <c r="A191" s="27" t="s">
        <v>42</v>
      </c>
      <c r="B191" s="27" t="s">
        <v>619</v>
      </c>
      <c r="C191" s="27" t="s">
        <v>620</v>
      </c>
      <c r="D191" s="27" t="s">
        <v>621</v>
      </c>
      <c r="E191" s="28" t="s">
        <v>46</v>
      </c>
      <c r="F191" s="29" t="s">
        <v>46</v>
      </c>
      <c r="G191" s="30" t="s">
        <v>46</v>
      </c>
      <c r="H191" s="31"/>
      <c r="I191" s="31" t="s">
        <v>425</v>
      </c>
      <c r="J191" s="32" t="n">
        <v>1.0</v>
      </c>
      <c r="K191" s="33" t="n">
        <f>9328</f>
        <v>9328.0</v>
      </c>
      <c r="L191" s="34" t="s">
        <v>48</v>
      </c>
      <c r="M191" s="33" t="n">
        <f>9625</f>
        <v>9625.0</v>
      </c>
      <c r="N191" s="34" t="s">
        <v>231</v>
      </c>
      <c r="O191" s="33" t="n">
        <f>8529</f>
        <v>8529.0</v>
      </c>
      <c r="P191" s="34" t="s">
        <v>50</v>
      </c>
      <c r="Q191" s="33" t="n">
        <f>8574</f>
        <v>8574.0</v>
      </c>
      <c r="R191" s="34" t="s">
        <v>50</v>
      </c>
      <c r="S191" s="35" t="n">
        <f>9078.38</f>
        <v>9078.38</v>
      </c>
      <c r="T191" s="32" t="n">
        <f>7872</f>
        <v>7872.0</v>
      </c>
      <c r="U191" s="32" t="str">
        <f>"－"</f>
        <v>－</v>
      </c>
      <c r="V191" s="32" t="n">
        <f>72075652</f>
        <v>7.2075652E7</v>
      </c>
      <c r="W191" s="32" t="str">
        <f>"－"</f>
        <v>－</v>
      </c>
      <c r="X191" s="36" t="n">
        <f>21</f>
        <v>21.0</v>
      </c>
    </row>
    <row r="192">
      <c r="A192" s="27" t="s">
        <v>42</v>
      </c>
      <c r="B192" s="27" t="s">
        <v>622</v>
      </c>
      <c r="C192" s="27" t="s">
        <v>623</v>
      </c>
      <c r="D192" s="27" t="s">
        <v>624</v>
      </c>
      <c r="E192" s="28" t="s">
        <v>46</v>
      </c>
      <c r="F192" s="29" t="s">
        <v>46</v>
      </c>
      <c r="G192" s="30" t="s">
        <v>46</v>
      </c>
      <c r="H192" s="31"/>
      <c r="I192" s="31" t="s">
        <v>425</v>
      </c>
      <c r="J192" s="32" t="n">
        <v>1.0</v>
      </c>
      <c r="K192" s="33" t="n">
        <f>14505</f>
        <v>14505.0</v>
      </c>
      <c r="L192" s="34" t="s">
        <v>48</v>
      </c>
      <c r="M192" s="33" t="n">
        <f>14725</f>
        <v>14725.0</v>
      </c>
      <c r="N192" s="34" t="s">
        <v>48</v>
      </c>
      <c r="O192" s="33" t="n">
        <f>10530</f>
        <v>10530.0</v>
      </c>
      <c r="P192" s="34" t="s">
        <v>49</v>
      </c>
      <c r="Q192" s="33" t="n">
        <f>12355</f>
        <v>12355.0</v>
      </c>
      <c r="R192" s="34" t="s">
        <v>104</v>
      </c>
      <c r="S192" s="35" t="n">
        <f>12685.79</f>
        <v>12685.79</v>
      </c>
      <c r="T192" s="32" t="n">
        <f>11865</f>
        <v>11865.0</v>
      </c>
      <c r="U192" s="32" t="str">
        <f>"－"</f>
        <v>－</v>
      </c>
      <c r="V192" s="32" t="n">
        <f>142544925</f>
        <v>1.42544925E8</v>
      </c>
      <c r="W192" s="32" t="str">
        <f>"－"</f>
        <v>－</v>
      </c>
      <c r="X192" s="36" t="n">
        <f>19</f>
        <v>19.0</v>
      </c>
    </row>
    <row r="193">
      <c r="A193" s="27" t="s">
        <v>42</v>
      </c>
      <c r="B193" s="27" t="s">
        <v>625</v>
      </c>
      <c r="C193" s="27" t="s">
        <v>626</v>
      </c>
      <c r="D193" s="27" t="s">
        <v>627</v>
      </c>
      <c r="E193" s="28" t="s">
        <v>46</v>
      </c>
      <c r="F193" s="29" t="s">
        <v>46</v>
      </c>
      <c r="G193" s="30" t="s">
        <v>46</v>
      </c>
      <c r="H193" s="31"/>
      <c r="I193" s="31" t="s">
        <v>425</v>
      </c>
      <c r="J193" s="32" t="n">
        <v>1.0</v>
      </c>
      <c r="K193" s="33" t="n">
        <f>7151</f>
        <v>7151.0</v>
      </c>
      <c r="L193" s="34" t="s">
        <v>48</v>
      </c>
      <c r="M193" s="33" t="n">
        <f>7900</f>
        <v>7900.0</v>
      </c>
      <c r="N193" s="34" t="s">
        <v>49</v>
      </c>
      <c r="O193" s="33" t="n">
        <f>7090</f>
        <v>7090.0</v>
      </c>
      <c r="P193" s="34" t="s">
        <v>48</v>
      </c>
      <c r="Q193" s="33" t="n">
        <f>7392</f>
        <v>7392.0</v>
      </c>
      <c r="R193" s="34" t="s">
        <v>50</v>
      </c>
      <c r="S193" s="35" t="n">
        <f>7407.9</f>
        <v>7407.9</v>
      </c>
      <c r="T193" s="32" t="n">
        <f>5490</f>
        <v>5490.0</v>
      </c>
      <c r="U193" s="32" t="n">
        <f>68</f>
        <v>68.0</v>
      </c>
      <c r="V193" s="32" t="n">
        <f>41228983</f>
        <v>4.1228983E7</v>
      </c>
      <c r="W193" s="32" t="n">
        <f>523600</f>
        <v>523600.0</v>
      </c>
      <c r="X193" s="36" t="n">
        <f>21</f>
        <v>21.0</v>
      </c>
    </row>
    <row r="194">
      <c r="A194" s="27" t="s">
        <v>42</v>
      </c>
      <c r="B194" s="27" t="s">
        <v>628</v>
      </c>
      <c r="C194" s="27" t="s">
        <v>629</v>
      </c>
      <c r="D194" s="27" t="s">
        <v>630</v>
      </c>
      <c r="E194" s="28" t="s">
        <v>46</v>
      </c>
      <c r="F194" s="29" t="s">
        <v>46</v>
      </c>
      <c r="G194" s="30" t="s">
        <v>46</v>
      </c>
      <c r="H194" s="31"/>
      <c r="I194" s="31" t="s">
        <v>425</v>
      </c>
      <c r="J194" s="32" t="n">
        <v>1.0</v>
      </c>
      <c r="K194" s="33" t="n">
        <f>57570</f>
        <v>57570.0</v>
      </c>
      <c r="L194" s="34" t="s">
        <v>48</v>
      </c>
      <c r="M194" s="33" t="n">
        <f>58250</f>
        <v>58250.0</v>
      </c>
      <c r="N194" s="34" t="s">
        <v>88</v>
      </c>
      <c r="O194" s="33" t="n">
        <f>47750</f>
        <v>47750.0</v>
      </c>
      <c r="P194" s="34" t="s">
        <v>49</v>
      </c>
      <c r="Q194" s="33" t="n">
        <f>56120</f>
        <v>56120.0</v>
      </c>
      <c r="R194" s="34" t="s">
        <v>50</v>
      </c>
      <c r="S194" s="35" t="n">
        <f>55138.57</f>
        <v>55138.57</v>
      </c>
      <c r="T194" s="32" t="n">
        <f>62320</f>
        <v>62320.0</v>
      </c>
      <c r="U194" s="32" t="n">
        <f>65</f>
        <v>65.0</v>
      </c>
      <c r="V194" s="32" t="n">
        <f>3388433370</f>
        <v>3.38843337E9</v>
      </c>
      <c r="W194" s="32" t="n">
        <f>3697260</f>
        <v>3697260.0</v>
      </c>
      <c r="X194" s="36" t="n">
        <f>21</f>
        <v>21.0</v>
      </c>
    </row>
    <row r="195">
      <c r="A195" s="27" t="s">
        <v>42</v>
      </c>
      <c r="B195" s="27" t="s">
        <v>631</v>
      </c>
      <c r="C195" s="27" t="s">
        <v>632</v>
      </c>
      <c r="D195" s="27" t="s">
        <v>633</v>
      </c>
      <c r="E195" s="28" t="s">
        <v>46</v>
      </c>
      <c r="F195" s="29" t="s">
        <v>46</v>
      </c>
      <c r="G195" s="30" t="s">
        <v>46</v>
      </c>
      <c r="H195" s="31"/>
      <c r="I195" s="31" t="s">
        <v>425</v>
      </c>
      <c r="J195" s="32" t="n">
        <v>1.0</v>
      </c>
      <c r="K195" s="33" t="n">
        <f>2777</f>
        <v>2777.0</v>
      </c>
      <c r="L195" s="34" t="s">
        <v>48</v>
      </c>
      <c r="M195" s="33" t="n">
        <f>2957</f>
        <v>2957.0</v>
      </c>
      <c r="N195" s="34" t="s">
        <v>60</v>
      </c>
      <c r="O195" s="33" t="n">
        <f>2728</f>
        <v>2728.0</v>
      </c>
      <c r="P195" s="34" t="s">
        <v>88</v>
      </c>
      <c r="Q195" s="33" t="n">
        <f>2765</f>
        <v>2765.0</v>
      </c>
      <c r="R195" s="34" t="s">
        <v>50</v>
      </c>
      <c r="S195" s="35" t="n">
        <f>2801.43</f>
        <v>2801.43</v>
      </c>
      <c r="T195" s="32" t="n">
        <f>34186</f>
        <v>34186.0</v>
      </c>
      <c r="U195" s="32" t="str">
        <f>"－"</f>
        <v>－</v>
      </c>
      <c r="V195" s="32" t="n">
        <f>97553178</f>
        <v>9.7553178E7</v>
      </c>
      <c r="W195" s="32" t="str">
        <f>"－"</f>
        <v>－</v>
      </c>
      <c r="X195" s="36" t="n">
        <f>21</f>
        <v>21.0</v>
      </c>
    </row>
    <row r="196">
      <c r="A196" s="27" t="s">
        <v>42</v>
      </c>
      <c r="B196" s="27" t="s">
        <v>634</v>
      </c>
      <c r="C196" s="27" t="s">
        <v>635</v>
      </c>
      <c r="D196" s="27" t="s">
        <v>636</v>
      </c>
      <c r="E196" s="28" t="s">
        <v>46</v>
      </c>
      <c r="F196" s="29" t="s">
        <v>46</v>
      </c>
      <c r="G196" s="30" t="s">
        <v>46</v>
      </c>
      <c r="H196" s="31"/>
      <c r="I196" s="31" t="s">
        <v>425</v>
      </c>
      <c r="J196" s="32" t="n">
        <v>1.0</v>
      </c>
      <c r="K196" s="33" t="n">
        <f>2098</f>
        <v>2098.0</v>
      </c>
      <c r="L196" s="34" t="s">
        <v>48</v>
      </c>
      <c r="M196" s="33" t="n">
        <f>2107</f>
        <v>2107.0</v>
      </c>
      <c r="N196" s="34" t="s">
        <v>48</v>
      </c>
      <c r="O196" s="33" t="n">
        <f>1623</f>
        <v>1623.0</v>
      </c>
      <c r="P196" s="34" t="s">
        <v>49</v>
      </c>
      <c r="Q196" s="33" t="n">
        <f>1808</f>
        <v>1808.0</v>
      </c>
      <c r="R196" s="34" t="s">
        <v>50</v>
      </c>
      <c r="S196" s="35" t="n">
        <f>1833.19</f>
        <v>1833.19</v>
      </c>
      <c r="T196" s="32" t="n">
        <f>12145272</f>
        <v>1.2145272E7</v>
      </c>
      <c r="U196" s="32" t="n">
        <f>611074</f>
        <v>611074.0</v>
      </c>
      <c r="V196" s="32" t="n">
        <f>22205149731</f>
        <v>2.2205149731E10</v>
      </c>
      <c r="W196" s="32" t="n">
        <f>1105823413</f>
        <v>1.105823413E9</v>
      </c>
      <c r="X196" s="36" t="n">
        <f>21</f>
        <v>21.0</v>
      </c>
    </row>
    <row r="197">
      <c r="A197" s="27" t="s">
        <v>42</v>
      </c>
      <c r="B197" s="27" t="s">
        <v>637</v>
      </c>
      <c r="C197" s="27" t="s">
        <v>638</v>
      </c>
      <c r="D197" s="27" t="s">
        <v>639</v>
      </c>
      <c r="E197" s="28" t="s">
        <v>46</v>
      </c>
      <c r="F197" s="29" t="s">
        <v>46</v>
      </c>
      <c r="G197" s="30" t="s">
        <v>46</v>
      </c>
      <c r="H197" s="31"/>
      <c r="I197" s="31" t="s">
        <v>425</v>
      </c>
      <c r="J197" s="32" t="n">
        <v>1.0</v>
      </c>
      <c r="K197" s="33" t="n">
        <f>949</f>
        <v>949.0</v>
      </c>
      <c r="L197" s="34" t="s">
        <v>48</v>
      </c>
      <c r="M197" s="33" t="n">
        <f>1048</f>
        <v>1048.0</v>
      </c>
      <c r="N197" s="34" t="s">
        <v>49</v>
      </c>
      <c r="O197" s="33" t="n">
        <f>948</f>
        <v>948.0</v>
      </c>
      <c r="P197" s="34" t="s">
        <v>48</v>
      </c>
      <c r="Q197" s="33" t="n">
        <f>996</f>
        <v>996.0</v>
      </c>
      <c r="R197" s="34" t="s">
        <v>50</v>
      </c>
      <c r="S197" s="35" t="n">
        <f>993.19</f>
        <v>993.19</v>
      </c>
      <c r="T197" s="32" t="n">
        <f>2098839</f>
        <v>2098839.0</v>
      </c>
      <c r="U197" s="32" t="n">
        <f>218</f>
        <v>218.0</v>
      </c>
      <c r="V197" s="32" t="n">
        <f>2105064396</f>
        <v>2.105064396E9</v>
      </c>
      <c r="W197" s="32" t="n">
        <f>208190</f>
        <v>208190.0</v>
      </c>
      <c r="X197" s="36" t="n">
        <f>21</f>
        <v>21.0</v>
      </c>
    </row>
    <row r="198">
      <c r="A198" s="27" t="s">
        <v>42</v>
      </c>
      <c r="B198" s="27" t="s">
        <v>640</v>
      </c>
      <c r="C198" s="27" t="s">
        <v>641</v>
      </c>
      <c r="D198" s="27" t="s">
        <v>642</v>
      </c>
      <c r="E198" s="28" t="s">
        <v>46</v>
      </c>
      <c r="F198" s="29" t="s">
        <v>46</v>
      </c>
      <c r="G198" s="30" t="s">
        <v>46</v>
      </c>
      <c r="H198" s="31"/>
      <c r="I198" s="31" t="s">
        <v>425</v>
      </c>
      <c r="J198" s="32" t="n">
        <v>1.0</v>
      </c>
      <c r="K198" s="33" t="n">
        <f>29930</f>
        <v>29930.0</v>
      </c>
      <c r="L198" s="34" t="s">
        <v>48</v>
      </c>
      <c r="M198" s="33" t="n">
        <f>30230</f>
        <v>30230.0</v>
      </c>
      <c r="N198" s="34" t="s">
        <v>50</v>
      </c>
      <c r="O198" s="33" t="n">
        <f>27005</f>
        <v>27005.0</v>
      </c>
      <c r="P198" s="34" t="s">
        <v>198</v>
      </c>
      <c r="Q198" s="33" t="n">
        <f>30180</f>
        <v>30180.0</v>
      </c>
      <c r="R198" s="34" t="s">
        <v>50</v>
      </c>
      <c r="S198" s="35" t="n">
        <f>28970.48</f>
        <v>28970.48</v>
      </c>
      <c r="T198" s="32" t="n">
        <f>31389</f>
        <v>31389.0</v>
      </c>
      <c r="U198" s="32" t="str">
        <f>"－"</f>
        <v>－</v>
      </c>
      <c r="V198" s="32" t="n">
        <f>906281385</f>
        <v>9.06281385E8</v>
      </c>
      <c r="W198" s="32" t="str">
        <f>"－"</f>
        <v>－</v>
      </c>
      <c r="X198" s="36" t="n">
        <f>21</f>
        <v>21.0</v>
      </c>
    </row>
    <row r="199">
      <c r="A199" s="27" t="s">
        <v>42</v>
      </c>
      <c r="B199" s="27" t="s">
        <v>643</v>
      </c>
      <c r="C199" s="27" t="s">
        <v>644</v>
      </c>
      <c r="D199" s="27" t="s">
        <v>645</v>
      </c>
      <c r="E199" s="28" t="s">
        <v>46</v>
      </c>
      <c r="F199" s="29" t="s">
        <v>46</v>
      </c>
      <c r="G199" s="30" t="s">
        <v>46</v>
      </c>
      <c r="H199" s="31"/>
      <c r="I199" s="31" t="s">
        <v>425</v>
      </c>
      <c r="J199" s="32" t="n">
        <v>1.0</v>
      </c>
      <c r="K199" s="33" t="n">
        <f>2479</f>
        <v>2479.0</v>
      </c>
      <c r="L199" s="34" t="s">
        <v>48</v>
      </c>
      <c r="M199" s="33" t="n">
        <f>2650</f>
        <v>2650.0</v>
      </c>
      <c r="N199" s="34" t="s">
        <v>49</v>
      </c>
      <c r="O199" s="33" t="n">
        <f>2441</f>
        <v>2441.0</v>
      </c>
      <c r="P199" s="34" t="s">
        <v>50</v>
      </c>
      <c r="Q199" s="33" t="n">
        <f>2441</f>
        <v>2441.0</v>
      </c>
      <c r="R199" s="34" t="s">
        <v>50</v>
      </c>
      <c r="S199" s="35" t="n">
        <f>2508.14</f>
        <v>2508.14</v>
      </c>
      <c r="T199" s="32" t="n">
        <f>612963</f>
        <v>612963.0</v>
      </c>
      <c r="U199" s="32" t="n">
        <f>475</f>
        <v>475.0</v>
      </c>
      <c r="V199" s="32" t="n">
        <f>1557716210</f>
        <v>1.55771621E9</v>
      </c>
      <c r="W199" s="32" t="n">
        <f>1206875</f>
        <v>1206875.0</v>
      </c>
      <c r="X199" s="36" t="n">
        <f>21</f>
        <v>21.0</v>
      </c>
    </row>
    <row r="200">
      <c r="A200" s="27" t="s">
        <v>42</v>
      </c>
      <c r="B200" s="27" t="s">
        <v>646</v>
      </c>
      <c r="C200" s="27" t="s">
        <v>647</v>
      </c>
      <c r="D200" s="27" t="s">
        <v>648</v>
      </c>
      <c r="E200" s="28" t="s">
        <v>46</v>
      </c>
      <c r="F200" s="29" t="s">
        <v>46</v>
      </c>
      <c r="G200" s="30" t="s">
        <v>46</v>
      </c>
      <c r="H200" s="31"/>
      <c r="I200" s="31" t="s">
        <v>425</v>
      </c>
      <c r="J200" s="32" t="n">
        <v>1.0</v>
      </c>
      <c r="K200" s="33" t="n">
        <f>6836</f>
        <v>6836.0</v>
      </c>
      <c r="L200" s="34" t="s">
        <v>48</v>
      </c>
      <c r="M200" s="33" t="n">
        <f>7211</f>
        <v>7211.0</v>
      </c>
      <c r="N200" s="34" t="s">
        <v>316</v>
      </c>
      <c r="O200" s="33" t="n">
        <f>5100</f>
        <v>5100.0</v>
      </c>
      <c r="P200" s="34" t="s">
        <v>49</v>
      </c>
      <c r="Q200" s="33" t="n">
        <f>7063</f>
        <v>7063.0</v>
      </c>
      <c r="R200" s="34" t="s">
        <v>50</v>
      </c>
      <c r="S200" s="35" t="n">
        <f>6421.14</f>
        <v>6421.14</v>
      </c>
      <c r="T200" s="32" t="n">
        <f>93664</f>
        <v>93664.0</v>
      </c>
      <c r="U200" s="32" t="str">
        <f>"－"</f>
        <v>－</v>
      </c>
      <c r="V200" s="32" t="n">
        <f>606828534</f>
        <v>6.06828534E8</v>
      </c>
      <c r="W200" s="32" t="str">
        <f>"－"</f>
        <v>－</v>
      </c>
      <c r="X200" s="36" t="n">
        <f>21</f>
        <v>21.0</v>
      </c>
    </row>
    <row r="201">
      <c r="A201" s="27" t="s">
        <v>42</v>
      </c>
      <c r="B201" s="27" t="s">
        <v>649</v>
      </c>
      <c r="C201" s="27" t="s">
        <v>650</v>
      </c>
      <c r="D201" s="27" t="s">
        <v>651</v>
      </c>
      <c r="E201" s="28" t="s">
        <v>46</v>
      </c>
      <c r="F201" s="29" t="s">
        <v>46</v>
      </c>
      <c r="G201" s="30" t="s">
        <v>46</v>
      </c>
      <c r="H201" s="31"/>
      <c r="I201" s="31" t="s">
        <v>425</v>
      </c>
      <c r="J201" s="32" t="n">
        <v>1.0</v>
      </c>
      <c r="K201" s="33" t="n">
        <f>18955</f>
        <v>18955.0</v>
      </c>
      <c r="L201" s="34" t="s">
        <v>48</v>
      </c>
      <c r="M201" s="33" t="n">
        <f>19480</f>
        <v>19480.0</v>
      </c>
      <c r="N201" s="34" t="s">
        <v>50</v>
      </c>
      <c r="O201" s="33" t="n">
        <f>17335</f>
        <v>17335.0</v>
      </c>
      <c r="P201" s="34" t="s">
        <v>214</v>
      </c>
      <c r="Q201" s="33" t="n">
        <f>19480</f>
        <v>19480.0</v>
      </c>
      <c r="R201" s="34" t="s">
        <v>50</v>
      </c>
      <c r="S201" s="35" t="n">
        <f>18502.14</f>
        <v>18502.14</v>
      </c>
      <c r="T201" s="32" t="n">
        <f>525</f>
        <v>525.0</v>
      </c>
      <c r="U201" s="32" t="str">
        <f>"－"</f>
        <v>－</v>
      </c>
      <c r="V201" s="32" t="n">
        <f>9824225</f>
        <v>9824225.0</v>
      </c>
      <c r="W201" s="32" t="str">
        <f>"－"</f>
        <v>－</v>
      </c>
      <c r="X201" s="36" t="n">
        <f>14</f>
        <v>14.0</v>
      </c>
    </row>
    <row r="202">
      <c r="A202" s="27" t="s">
        <v>42</v>
      </c>
      <c r="B202" s="27" t="s">
        <v>652</v>
      </c>
      <c r="C202" s="27" t="s">
        <v>653</v>
      </c>
      <c r="D202" s="27" t="s">
        <v>654</v>
      </c>
      <c r="E202" s="28" t="s">
        <v>46</v>
      </c>
      <c r="F202" s="29" t="s">
        <v>46</v>
      </c>
      <c r="G202" s="30" t="s">
        <v>46</v>
      </c>
      <c r="H202" s="31"/>
      <c r="I202" s="31" t="s">
        <v>425</v>
      </c>
      <c r="J202" s="32" t="n">
        <v>1.0</v>
      </c>
      <c r="K202" s="33" t="n">
        <f>29305</f>
        <v>29305.0</v>
      </c>
      <c r="L202" s="34" t="s">
        <v>48</v>
      </c>
      <c r="M202" s="33" t="n">
        <f>29305</f>
        <v>29305.0</v>
      </c>
      <c r="N202" s="34" t="s">
        <v>48</v>
      </c>
      <c r="O202" s="33" t="n">
        <f>26495</f>
        <v>26495.0</v>
      </c>
      <c r="P202" s="34" t="s">
        <v>49</v>
      </c>
      <c r="Q202" s="33" t="n">
        <f>28610</f>
        <v>28610.0</v>
      </c>
      <c r="R202" s="34" t="s">
        <v>50</v>
      </c>
      <c r="S202" s="35" t="n">
        <f>28200.95</f>
        <v>28200.95</v>
      </c>
      <c r="T202" s="32" t="n">
        <f>39543</f>
        <v>39543.0</v>
      </c>
      <c r="U202" s="32" t="str">
        <f>"－"</f>
        <v>－</v>
      </c>
      <c r="V202" s="32" t="n">
        <f>1088260455</f>
        <v>1.088260455E9</v>
      </c>
      <c r="W202" s="32" t="str">
        <f>"－"</f>
        <v>－</v>
      </c>
      <c r="X202" s="36" t="n">
        <f>21</f>
        <v>21.0</v>
      </c>
    </row>
    <row r="203">
      <c r="A203" s="27" t="s">
        <v>42</v>
      </c>
      <c r="B203" s="27" t="s">
        <v>655</v>
      </c>
      <c r="C203" s="27" t="s">
        <v>656</v>
      </c>
      <c r="D203" s="27" t="s">
        <v>657</v>
      </c>
      <c r="E203" s="28" t="s">
        <v>46</v>
      </c>
      <c r="F203" s="29" t="s">
        <v>46</v>
      </c>
      <c r="G203" s="30" t="s">
        <v>46</v>
      </c>
      <c r="H203" s="31"/>
      <c r="I203" s="31" t="s">
        <v>425</v>
      </c>
      <c r="J203" s="32" t="n">
        <v>1.0</v>
      </c>
      <c r="K203" s="33" t="n">
        <f>16145</f>
        <v>16145.0</v>
      </c>
      <c r="L203" s="34" t="s">
        <v>231</v>
      </c>
      <c r="M203" s="33" t="n">
        <f>16995</f>
        <v>16995.0</v>
      </c>
      <c r="N203" s="34" t="s">
        <v>153</v>
      </c>
      <c r="O203" s="33" t="n">
        <f>15585</f>
        <v>15585.0</v>
      </c>
      <c r="P203" s="34" t="s">
        <v>214</v>
      </c>
      <c r="Q203" s="33" t="n">
        <f>16910</f>
        <v>16910.0</v>
      </c>
      <c r="R203" s="34" t="s">
        <v>104</v>
      </c>
      <c r="S203" s="35" t="n">
        <f>16365.77</f>
        <v>16365.77</v>
      </c>
      <c r="T203" s="32" t="n">
        <f>202</f>
        <v>202.0</v>
      </c>
      <c r="U203" s="32" t="str">
        <f>"－"</f>
        <v>－</v>
      </c>
      <c r="V203" s="32" t="n">
        <f>3334075</f>
        <v>3334075.0</v>
      </c>
      <c r="W203" s="32" t="str">
        <f>"－"</f>
        <v>－</v>
      </c>
      <c r="X203" s="36" t="n">
        <f>13</f>
        <v>13.0</v>
      </c>
    </row>
    <row r="204">
      <c r="A204" s="27" t="s">
        <v>42</v>
      </c>
      <c r="B204" s="27" t="s">
        <v>658</v>
      </c>
      <c r="C204" s="27" t="s">
        <v>659</v>
      </c>
      <c r="D204" s="27" t="s">
        <v>660</v>
      </c>
      <c r="E204" s="28" t="s">
        <v>46</v>
      </c>
      <c r="F204" s="29" t="s">
        <v>46</v>
      </c>
      <c r="G204" s="30" t="s">
        <v>46</v>
      </c>
      <c r="H204" s="31"/>
      <c r="I204" s="31" t="s">
        <v>425</v>
      </c>
      <c r="J204" s="32" t="n">
        <v>1.0</v>
      </c>
      <c r="K204" s="33" t="n">
        <f>36150</f>
        <v>36150.0</v>
      </c>
      <c r="L204" s="34" t="s">
        <v>48</v>
      </c>
      <c r="M204" s="33" t="n">
        <f>36150</f>
        <v>36150.0</v>
      </c>
      <c r="N204" s="34" t="s">
        <v>48</v>
      </c>
      <c r="O204" s="33" t="n">
        <f>30000</f>
        <v>30000.0</v>
      </c>
      <c r="P204" s="34" t="s">
        <v>49</v>
      </c>
      <c r="Q204" s="33" t="n">
        <f>33750</f>
        <v>33750.0</v>
      </c>
      <c r="R204" s="34" t="s">
        <v>50</v>
      </c>
      <c r="S204" s="35" t="n">
        <f>33151.43</f>
        <v>33151.43</v>
      </c>
      <c r="T204" s="32" t="n">
        <f>92668</f>
        <v>92668.0</v>
      </c>
      <c r="U204" s="32" t="n">
        <f>18</f>
        <v>18.0</v>
      </c>
      <c r="V204" s="32" t="n">
        <f>3030536390</f>
        <v>3.03053639E9</v>
      </c>
      <c r="W204" s="32" t="n">
        <f>606290</f>
        <v>606290.0</v>
      </c>
      <c r="X204" s="36" t="n">
        <f>21</f>
        <v>21.0</v>
      </c>
    </row>
    <row r="205">
      <c r="A205" s="27" t="s">
        <v>42</v>
      </c>
      <c r="B205" s="27" t="s">
        <v>661</v>
      </c>
      <c r="C205" s="27" t="s">
        <v>662</v>
      </c>
      <c r="D205" s="27" t="s">
        <v>663</v>
      </c>
      <c r="E205" s="28" t="s">
        <v>46</v>
      </c>
      <c r="F205" s="29" t="s">
        <v>46</v>
      </c>
      <c r="G205" s="30" t="s">
        <v>46</v>
      </c>
      <c r="H205" s="31"/>
      <c r="I205" s="31" t="s">
        <v>425</v>
      </c>
      <c r="J205" s="32" t="n">
        <v>1.0</v>
      </c>
      <c r="K205" s="33" t="n">
        <f>3475</f>
        <v>3475.0</v>
      </c>
      <c r="L205" s="34" t="s">
        <v>48</v>
      </c>
      <c r="M205" s="33" t="n">
        <f>3540</f>
        <v>3540.0</v>
      </c>
      <c r="N205" s="34" t="s">
        <v>214</v>
      </c>
      <c r="O205" s="33" t="n">
        <f>3260</f>
        <v>3260.0</v>
      </c>
      <c r="P205" s="34" t="s">
        <v>104</v>
      </c>
      <c r="Q205" s="33" t="n">
        <f>3310</f>
        <v>3310.0</v>
      </c>
      <c r="R205" s="34" t="s">
        <v>50</v>
      </c>
      <c r="S205" s="35" t="n">
        <f>3401.43</f>
        <v>3401.43</v>
      </c>
      <c r="T205" s="32" t="n">
        <f>6596</f>
        <v>6596.0</v>
      </c>
      <c r="U205" s="32" t="str">
        <f>"－"</f>
        <v>－</v>
      </c>
      <c r="V205" s="32" t="n">
        <f>22584290</f>
        <v>2.258429E7</v>
      </c>
      <c r="W205" s="32" t="str">
        <f>"－"</f>
        <v>－</v>
      </c>
      <c r="X205" s="36" t="n">
        <f>21</f>
        <v>21.0</v>
      </c>
    </row>
    <row r="206">
      <c r="A206" s="27" t="s">
        <v>42</v>
      </c>
      <c r="B206" s="27" t="s">
        <v>664</v>
      </c>
      <c r="C206" s="27" t="s">
        <v>665</v>
      </c>
      <c r="D206" s="27" t="s">
        <v>666</v>
      </c>
      <c r="E206" s="28" t="s">
        <v>46</v>
      </c>
      <c r="F206" s="29" t="s">
        <v>46</v>
      </c>
      <c r="G206" s="30" t="s">
        <v>46</v>
      </c>
      <c r="H206" s="31"/>
      <c r="I206" s="31" t="s">
        <v>425</v>
      </c>
      <c r="J206" s="32" t="n">
        <v>1.0</v>
      </c>
      <c r="K206" s="33" t="n">
        <f>30840</f>
        <v>30840.0</v>
      </c>
      <c r="L206" s="34" t="s">
        <v>48</v>
      </c>
      <c r="M206" s="33" t="n">
        <f>30840</f>
        <v>30840.0</v>
      </c>
      <c r="N206" s="34" t="s">
        <v>48</v>
      </c>
      <c r="O206" s="33" t="n">
        <f>23210</f>
        <v>23210.0</v>
      </c>
      <c r="P206" s="34" t="s">
        <v>49</v>
      </c>
      <c r="Q206" s="33" t="n">
        <f>28205</f>
        <v>28205.0</v>
      </c>
      <c r="R206" s="34" t="s">
        <v>104</v>
      </c>
      <c r="S206" s="35" t="n">
        <f>27652.11</f>
        <v>27652.11</v>
      </c>
      <c r="T206" s="32" t="n">
        <f>1057</f>
        <v>1057.0</v>
      </c>
      <c r="U206" s="32" t="str">
        <f>"－"</f>
        <v>－</v>
      </c>
      <c r="V206" s="32" t="n">
        <f>29380105</f>
        <v>2.9380105E7</v>
      </c>
      <c r="W206" s="32" t="str">
        <f>"－"</f>
        <v>－</v>
      </c>
      <c r="X206" s="36" t="n">
        <f>19</f>
        <v>19.0</v>
      </c>
    </row>
    <row r="207">
      <c r="A207" s="27" t="s">
        <v>42</v>
      </c>
      <c r="B207" s="27" t="s">
        <v>667</v>
      </c>
      <c r="C207" s="27" t="s">
        <v>668</v>
      </c>
      <c r="D207" s="27" t="s">
        <v>669</v>
      </c>
      <c r="E207" s="28" t="s">
        <v>46</v>
      </c>
      <c r="F207" s="29" t="s">
        <v>46</v>
      </c>
      <c r="G207" s="30" t="s">
        <v>46</v>
      </c>
      <c r="H207" s="31"/>
      <c r="I207" s="31" t="s">
        <v>425</v>
      </c>
      <c r="J207" s="32" t="n">
        <v>1.0</v>
      </c>
      <c r="K207" s="33" t="n">
        <f>16485</f>
        <v>16485.0</v>
      </c>
      <c r="L207" s="34" t="s">
        <v>49</v>
      </c>
      <c r="M207" s="33" t="n">
        <f>19015</f>
        <v>19015.0</v>
      </c>
      <c r="N207" s="34" t="s">
        <v>316</v>
      </c>
      <c r="O207" s="33" t="n">
        <f>15350</f>
        <v>15350.0</v>
      </c>
      <c r="P207" s="34" t="s">
        <v>49</v>
      </c>
      <c r="Q207" s="33" t="n">
        <f>18825</f>
        <v>18825.0</v>
      </c>
      <c r="R207" s="34" t="s">
        <v>153</v>
      </c>
      <c r="S207" s="35" t="n">
        <f>17747</f>
        <v>17747.0</v>
      </c>
      <c r="T207" s="32" t="n">
        <f>317</f>
        <v>317.0</v>
      </c>
      <c r="U207" s="32" t="str">
        <f>"－"</f>
        <v>－</v>
      </c>
      <c r="V207" s="32" t="n">
        <f>5881675</f>
        <v>5881675.0</v>
      </c>
      <c r="W207" s="32" t="str">
        <f>"－"</f>
        <v>－</v>
      </c>
      <c r="X207" s="36" t="n">
        <f>10</f>
        <v>10.0</v>
      </c>
    </row>
    <row r="208">
      <c r="A208" s="27" t="s">
        <v>42</v>
      </c>
      <c r="B208" s="27" t="s">
        <v>670</v>
      </c>
      <c r="C208" s="27" t="s">
        <v>671</v>
      </c>
      <c r="D208" s="27" t="s">
        <v>672</v>
      </c>
      <c r="E208" s="28" t="s">
        <v>46</v>
      </c>
      <c r="F208" s="29" t="s">
        <v>46</v>
      </c>
      <c r="G208" s="30" t="s">
        <v>46</v>
      </c>
      <c r="H208" s="31"/>
      <c r="I208" s="31" t="s">
        <v>425</v>
      </c>
      <c r="J208" s="32" t="n">
        <v>1.0</v>
      </c>
      <c r="K208" s="33" t="n">
        <f>34560</f>
        <v>34560.0</v>
      </c>
      <c r="L208" s="34" t="s">
        <v>48</v>
      </c>
      <c r="M208" s="33" t="n">
        <f>34560</f>
        <v>34560.0</v>
      </c>
      <c r="N208" s="34" t="s">
        <v>48</v>
      </c>
      <c r="O208" s="33" t="n">
        <f>28565</f>
        <v>28565.0</v>
      </c>
      <c r="P208" s="34" t="s">
        <v>49</v>
      </c>
      <c r="Q208" s="33" t="n">
        <f>32080</f>
        <v>32080.0</v>
      </c>
      <c r="R208" s="34" t="s">
        <v>104</v>
      </c>
      <c r="S208" s="35" t="n">
        <f>31668.06</f>
        <v>31668.06</v>
      </c>
      <c r="T208" s="32" t="n">
        <f>674</f>
        <v>674.0</v>
      </c>
      <c r="U208" s="32" t="str">
        <f>"－"</f>
        <v>－</v>
      </c>
      <c r="V208" s="32" t="n">
        <f>21094350</f>
        <v>2.109435E7</v>
      </c>
      <c r="W208" s="32" t="str">
        <f>"－"</f>
        <v>－</v>
      </c>
      <c r="X208" s="36" t="n">
        <f>18</f>
        <v>18.0</v>
      </c>
    </row>
    <row r="209">
      <c r="A209" s="27" t="s">
        <v>42</v>
      </c>
      <c r="B209" s="27" t="s">
        <v>673</v>
      </c>
      <c r="C209" s="27" t="s">
        <v>674</v>
      </c>
      <c r="D209" s="27" t="s">
        <v>675</v>
      </c>
      <c r="E209" s="28" t="s">
        <v>46</v>
      </c>
      <c r="F209" s="29" t="s">
        <v>46</v>
      </c>
      <c r="G209" s="30" t="s">
        <v>46</v>
      </c>
      <c r="H209" s="31"/>
      <c r="I209" s="31" t="s">
        <v>425</v>
      </c>
      <c r="J209" s="32" t="n">
        <v>1.0</v>
      </c>
      <c r="K209" s="33" t="n">
        <f>18760</f>
        <v>18760.0</v>
      </c>
      <c r="L209" s="34" t="s">
        <v>48</v>
      </c>
      <c r="M209" s="33" t="n">
        <f>18900</f>
        <v>18900.0</v>
      </c>
      <c r="N209" s="34" t="s">
        <v>316</v>
      </c>
      <c r="O209" s="33" t="n">
        <f>17510</f>
        <v>17510.0</v>
      </c>
      <c r="P209" s="34" t="s">
        <v>214</v>
      </c>
      <c r="Q209" s="33" t="n">
        <f>18900</f>
        <v>18900.0</v>
      </c>
      <c r="R209" s="34" t="s">
        <v>316</v>
      </c>
      <c r="S209" s="35" t="n">
        <f>18336.67</f>
        <v>18336.67</v>
      </c>
      <c r="T209" s="32" t="n">
        <f>25</f>
        <v>25.0</v>
      </c>
      <c r="U209" s="32" t="str">
        <f>"－"</f>
        <v>－</v>
      </c>
      <c r="V209" s="32" t="n">
        <f>463360</f>
        <v>463360.0</v>
      </c>
      <c r="W209" s="32" t="str">
        <f>"－"</f>
        <v>－</v>
      </c>
      <c r="X209" s="36" t="n">
        <f>6</f>
        <v>6.0</v>
      </c>
    </row>
    <row r="210">
      <c r="A210" s="27" t="s">
        <v>42</v>
      </c>
      <c r="B210" s="27" t="s">
        <v>676</v>
      </c>
      <c r="C210" s="27" t="s">
        <v>677</v>
      </c>
      <c r="D210" s="27" t="s">
        <v>678</v>
      </c>
      <c r="E210" s="28" t="s">
        <v>46</v>
      </c>
      <c r="F210" s="29" t="s">
        <v>46</v>
      </c>
      <c r="G210" s="30" t="s">
        <v>46</v>
      </c>
      <c r="H210" s="31"/>
      <c r="I210" s="31" t="s">
        <v>425</v>
      </c>
      <c r="J210" s="32" t="n">
        <v>1.0</v>
      </c>
      <c r="K210" s="33" t="n">
        <f>19385</f>
        <v>19385.0</v>
      </c>
      <c r="L210" s="34" t="s">
        <v>48</v>
      </c>
      <c r="M210" s="33" t="n">
        <f>19385</f>
        <v>19385.0</v>
      </c>
      <c r="N210" s="34" t="s">
        <v>48</v>
      </c>
      <c r="O210" s="33" t="n">
        <f>15905</f>
        <v>15905.0</v>
      </c>
      <c r="P210" s="34" t="s">
        <v>49</v>
      </c>
      <c r="Q210" s="33" t="n">
        <f>19050</f>
        <v>19050.0</v>
      </c>
      <c r="R210" s="34" t="s">
        <v>50</v>
      </c>
      <c r="S210" s="35" t="n">
        <f>18131.76</f>
        <v>18131.76</v>
      </c>
      <c r="T210" s="32" t="n">
        <f>1139</f>
        <v>1139.0</v>
      </c>
      <c r="U210" s="32" t="str">
        <f>"－"</f>
        <v>－</v>
      </c>
      <c r="V210" s="32" t="n">
        <f>20321675</f>
        <v>2.0321675E7</v>
      </c>
      <c r="W210" s="32" t="str">
        <f>"－"</f>
        <v>－</v>
      </c>
      <c r="X210" s="36" t="n">
        <f>17</f>
        <v>17.0</v>
      </c>
    </row>
    <row r="211">
      <c r="A211" s="27" t="s">
        <v>42</v>
      </c>
      <c r="B211" s="27" t="s">
        <v>679</v>
      </c>
      <c r="C211" s="27" t="s">
        <v>680</v>
      </c>
      <c r="D211" s="27" t="s">
        <v>681</v>
      </c>
      <c r="E211" s="28" t="s">
        <v>46</v>
      </c>
      <c r="F211" s="29" t="s">
        <v>46</v>
      </c>
      <c r="G211" s="30" t="s">
        <v>46</v>
      </c>
      <c r="H211" s="31"/>
      <c r="I211" s="31" t="s">
        <v>425</v>
      </c>
      <c r="J211" s="32" t="n">
        <v>1.0</v>
      </c>
      <c r="K211" s="33" t="n">
        <f>23295</f>
        <v>23295.0</v>
      </c>
      <c r="L211" s="34" t="s">
        <v>48</v>
      </c>
      <c r="M211" s="33" t="n">
        <f>23295</f>
        <v>23295.0</v>
      </c>
      <c r="N211" s="34" t="s">
        <v>48</v>
      </c>
      <c r="O211" s="33" t="n">
        <f>21995</f>
        <v>21995.0</v>
      </c>
      <c r="P211" s="34" t="s">
        <v>682</v>
      </c>
      <c r="Q211" s="33" t="n">
        <f>22340</f>
        <v>22340.0</v>
      </c>
      <c r="R211" s="34" t="s">
        <v>316</v>
      </c>
      <c r="S211" s="35" t="n">
        <f>22591.25</f>
        <v>22591.25</v>
      </c>
      <c r="T211" s="32" t="n">
        <f>32</f>
        <v>32.0</v>
      </c>
      <c r="U211" s="32" t="str">
        <f>"－"</f>
        <v>－</v>
      </c>
      <c r="V211" s="32" t="n">
        <f>716585</f>
        <v>716585.0</v>
      </c>
      <c r="W211" s="32" t="str">
        <f>"－"</f>
        <v>－</v>
      </c>
      <c r="X211" s="36" t="n">
        <f>4</f>
        <v>4.0</v>
      </c>
    </row>
    <row r="212">
      <c r="A212" s="27" t="s">
        <v>42</v>
      </c>
      <c r="B212" s="27" t="s">
        <v>683</v>
      </c>
      <c r="C212" s="27" t="s">
        <v>684</v>
      </c>
      <c r="D212" s="27" t="s">
        <v>685</v>
      </c>
      <c r="E212" s="28" t="s">
        <v>46</v>
      </c>
      <c r="F212" s="29" t="s">
        <v>46</v>
      </c>
      <c r="G212" s="30" t="s">
        <v>46</v>
      </c>
      <c r="H212" s="31"/>
      <c r="I212" s="31" t="s">
        <v>425</v>
      </c>
      <c r="J212" s="32" t="n">
        <v>1.0</v>
      </c>
      <c r="K212" s="33" t="n">
        <f>17630</f>
        <v>17630.0</v>
      </c>
      <c r="L212" s="34" t="s">
        <v>49</v>
      </c>
      <c r="M212" s="33" t="n">
        <f>17630</f>
        <v>17630.0</v>
      </c>
      <c r="N212" s="34" t="s">
        <v>49</v>
      </c>
      <c r="O212" s="33" t="n">
        <f>17055</f>
        <v>17055.0</v>
      </c>
      <c r="P212" s="34" t="s">
        <v>60</v>
      </c>
      <c r="Q212" s="33" t="n">
        <f>17055</f>
        <v>17055.0</v>
      </c>
      <c r="R212" s="34" t="s">
        <v>60</v>
      </c>
      <c r="S212" s="35" t="n">
        <f>17342.5</f>
        <v>17342.5</v>
      </c>
      <c r="T212" s="32" t="n">
        <f>301</f>
        <v>301.0</v>
      </c>
      <c r="U212" s="32" t="str">
        <f>"－"</f>
        <v>－</v>
      </c>
      <c r="V212" s="32" t="n">
        <f>5160380</f>
        <v>5160380.0</v>
      </c>
      <c r="W212" s="32" t="str">
        <f>"－"</f>
        <v>－</v>
      </c>
      <c r="X212" s="36" t="n">
        <f>2</f>
        <v>2.0</v>
      </c>
    </row>
    <row r="213">
      <c r="A213" s="27" t="s">
        <v>42</v>
      </c>
      <c r="B213" s="27" t="s">
        <v>686</v>
      </c>
      <c r="C213" s="27" t="s">
        <v>687</v>
      </c>
      <c r="D213" s="27" t="s">
        <v>688</v>
      </c>
      <c r="E213" s="28" t="s">
        <v>46</v>
      </c>
      <c r="F213" s="29" t="s">
        <v>46</v>
      </c>
      <c r="G213" s="30" t="s">
        <v>46</v>
      </c>
      <c r="H213" s="31"/>
      <c r="I213" s="31" t="s">
        <v>425</v>
      </c>
      <c r="J213" s="32" t="n">
        <v>1.0</v>
      </c>
      <c r="K213" s="33" t="n">
        <f>11635</f>
        <v>11635.0</v>
      </c>
      <c r="L213" s="34" t="s">
        <v>48</v>
      </c>
      <c r="M213" s="33" t="n">
        <f>12125</f>
        <v>12125.0</v>
      </c>
      <c r="N213" s="34" t="s">
        <v>50</v>
      </c>
      <c r="O213" s="33" t="n">
        <f>10445</f>
        <v>10445.0</v>
      </c>
      <c r="P213" s="34" t="s">
        <v>214</v>
      </c>
      <c r="Q213" s="33" t="n">
        <f>12125</f>
        <v>12125.0</v>
      </c>
      <c r="R213" s="34" t="s">
        <v>50</v>
      </c>
      <c r="S213" s="35" t="n">
        <f>11410.36</f>
        <v>11410.36</v>
      </c>
      <c r="T213" s="32" t="n">
        <f>131</f>
        <v>131.0</v>
      </c>
      <c r="U213" s="32" t="str">
        <f>"－"</f>
        <v>－</v>
      </c>
      <c r="V213" s="32" t="n">
        <f>1491410</f>
        <v>1491410.0</v>
      </c>
      <c r="W213" s="32" t="str">
        <f>"－"</f>
        <v>－</v>
      </c>
      <c r="X213" s="36" t="n">
        <f>14</f>
        <v>14.0</v>
      </c>
    </row>
    <row r="214">
      <c r="A214" s="27" t="s">
        <v>42</v>
      </c>
      <c r="B214" s="27" t="s">
        <v>689</v>
      </c>
      <c r="C214" s="27" t="s">
        <v>690</v>
      </c>
      <c r="D214" s="27" t="s">
        <v>691</v>
      </c>
      <c r="E214" s="28" t="s">
        <v>46</v>
      </c>
      <c r="F214" s="29" t="s">
        <v>46</v>
      </c>
      <c r="G214" s="30" t="s">
        <v>46</v>
      </c>
      <c r="H214" s="31"/>
      <c r="I214" s="31" t="s">
        <v>425</v>
      </c>
      <c r="J214" s="32" t="n">
        <v>1.0</v>
      </c>
      <c r="K214" s="33" t="n">
        <f>13710</f>
        <v>13710.0</v>
      </c>
      <c r="L214" s="34" t="s">
        <v>48</v>
      </c>
      <c r="M214" s="33" t="n">
        <f>14575</f>
        <v>14575.0</v>
      </c>
      <c r="N214" s="34" t="s">
        <v>50</v>
      </c>
      <c r="O214" s="33" t="n">
        <f>12110</f>
        <v>12110.0</v>
      </c>
      <c r="P214" s="34" t="s">
        <v>49</v>
      </c>
      <c r="Q214" s="33" t="n">
        <f>14475</f>
        <v>14475.0</v>
      </c>
      <c r="R214" s="34" t="s">
        <v>50</v>
      </c>
      <c r="S214" s="35" t="n">
        <f>13700</f>
        <v>13700.0</v>
      </c>
      <c r="T214" s="32" t="n">
        <f>7376</f>
        <v>7376.0</v>
      </c>
      <c r="U214" s="32" t="str">
        <f>"－"</f>
        <v>－</v>
      </c>
      <c r="V214" s="32" t="n">
        <f>103190640</f>
        <v>1.0319064E8</v>
      </c>
      <c r="W214" s="32" t="str">
        <f>"－"</f>
        <v>－</v>
      </c>
      <c r="X214" s="36" t="n">
        <f>18</f>
        <v>18.0</v>
      </c>
    </row>
    <row r="215">
      <c r="A215" s="27" t="s">
        <v>42</v>
      </c>
      <c r="B215" s="27" t="s">
        <v>692</v>
      </c>
      <c r="C215" s="27" t="s">
        <v>693</v>
      </c>
      <c r="D215" s="27" t="s">
        <v>694</v>
      </c>
      <c r="E215" s="28" t="s">
        <v>46</v>
      </c>
      <c r="F215" s="29" t="s">
        <v>46</v>
      </c>
      <c r="G215" s="30" t="s">
        <v>46</v>
      </c>
      <c r="H215" s="31"/>
      <c r="I215" s="31" t="s">
        <v>425</v>
      </c>
      <c r="J215" s="32" t="n">
        <v>1.0</v>
      </c>
      <c r="K215" s="33" t="n">
        <f>12500</f>
        <v>12500.0</v>
      </c>
      <c r="L215" s="34" t="s">
        <v>48</v>
      </c>
      <c r="M215" s="33" t="n">
        <f>12825</f>
        <v>12825.0</v>
      </c>
      <c r="N215" s="34" t="s">
        <v>50</v>
      </c>
      <c r="O215" s="33" t="n">
        <f>11205</f>
        <v>11205.0</v>
      </c>
      <c r="P215" s="34" t="s">
        <v>49</v>
      </c>
      <c r="Q215" s="33" t="n">
        <f>12825</f>
        <v>12825.0</v>
      </c>
      <c r="R215" s="34" t="s">
        <v>50</v>
      </c>
      <c r="S215" s="35" t="n">
        <f>12268.82</f>
        <v>12268.82</v>
      </c>
      <c r="T215" s="32" t="n">
        <f>2149</f>
        <v>2149.0</v>
      </c>
      <c r="U215" s="32" t="str">
        <f>"－"</f>
        <v>－</v>
      </c>
      <c r="V215" s="32" t="n">
        <f>25486985</f>
        <v>2.5486985E7</v>
      </c>
      <c r="W215" s="32" t="str">
        <f>"－"</f>
        <v>－</v>
      </c>
      <c r="X215" s="36" t="n">
        <f>17</f>
        <v>17.0</v>
      </c>
    </row>
    <row r="216">
      <c r="A216" s="27" t="s">
        <v>42</v>
      </c>
      <c r="B216" s="27" t="s">
        <v>695</v>
      </c>
      <c r="C216" s="27" t="s">
        <v>696</v>
      </c>
      <c r="D216" s="27" t="s">
        <v>697</v>
      </c>
      <c r="E216" s="28" t="s">
        <v>46</v>
      </c>
      <c r="F216" s="29" t="s">
        <v>46</v>
      </c>
      <c r="G216" s="30" t="s">
        <v>46</v>
      </c>
      <c r="H216" s="31"/>
      <c r="I216" s="31" t="s">
        <v>425</v>
      </c>
      <c r="J216" s="32" t="n">
        <v>1.0</v>
      </c>
      <c r="K216" s="33" t="n">
        <f>11895</f>
        <v>11895.0</v>
      </c>
      <c r="L216" s="34" t="s">
        <v>247</v>
      </c>
      <c r="M216" s="33" t="n">
        <f>12130</f>
        <v>12130.0</v>
      </c>
      <c r="N216" s="34" t="s">
        <v>698</v>
      </c>
      <c r="O216" s="33" t="n">
        <f>11895</f>
        <v>11895.0</v>
      </c>
      <c r="P216" s="34" t="s">
        <v>247</v>
      </c>
      <c r="Q216" s="33" t="n">
        <f>12130</f>
        <v>12130.0</v>
      </c>
      <c r="R216" s="34" t="s">
        <v>698</v>
      </c>
      <c r="S216" s="35" t="n">
        <f>12020</f>
        <v>12020.0</v>
      </c>
      <c r="T216" s="32" t="n">
        <f>156</f>
        <v>156.0</v>
      </c>
      <c r="U216" s="32" t="str">
        <f>"－"</f>
        <v>－</v>
      </c>
      <c r="V216" s="32" t="n">
        <f>1879710</f>
        <v>1879710.0</v>
      </c>
      <c r="W216" s="32" t="str">
        <f>"－"</f>
        <v>－</v>
      </c>
      <c r="X216" s="36" t="n">
        <f>2</f>
        <v>2.0</v>
      </c>
    </row>
    <row r="217">
      <c r="A217" s="27" t="s">
        <v>42</v>
      </c>
      <c r="B217" s="27" t="s">
        <v>699</v>
      </c>
      <c r="C217" s="27" t="s">
        <v>700</v>
      </c>
      <c r="D217" s="27" t="s">
        <v>701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1228</f>
        <v>1228.0</v>
      </c>
      <c r="L217" s="34" t="s">
        <v>48</v>
      </c>
      <c r="M217" s="33" t="n">
        <f>1228</f>
        <v>1228.0</v>
      </c>
      <c r="N217" s="34" t="s">
        <v>48</v>
      </c>
      <c r="O217" s="33" t="n">
        <f>953</f>
        <v>953.0</v>
      </c>
      <c r="P217" s="34" t="s">
        <v>49</v>
      </c>
      <c r="Q217" s="33" t="n">
        <f>1162</f>
        <v>1162.0</v>
      </c>
      <c r="R217" s="34" t="s">
        <v>50</v>
      </c>
      <c r="S217" s="35" t="n">
        <f>1125.86</f>
        <v>1125.86</v>
      </c>
      <c r="T217" s="32" t="n">
        <f>3644959</f>
        <v>3644959.0</v>
      </c>
      <c r="U217" s="32" t="n">
        <f>59162</f>
        <v>59162.0</v>
      </c>
      <c r="V217" s="32" t="n">
        <f>4015310497</f>
        <v>4.015310497E9</v>
      </c>
      <c r="W217" s="32" t="n">
        <f>68694857</f>
        <v>6.8694857E7</v>
      </c>
      <c r="X217" s="36" t="n">
        <f>21</f>
        <v>21.0</v>
      </c>
    </row>
    <row r="218">
      <c r="A218" s="27" t="s">
        <v>42</v>
      </c>
      <c r="B218" s="27" t="s">
        <v>702</v>
      </c>
      <c r="C218" s="27" t="s">
        <v>703</v>
      </c>
      <c r="D218" s="27" t="s">
        <v>704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1249</f>
        <v>1249.0</v>
      </c>
      <c r="L218" s="34" t="s">
        <v>48</v>
      </c>
      <c r="M218" s="33" t="n">
        <f>1249</f>
        <v>1249.0</v>
      </c>
      <c r="N218" s="34" t="s">
        <v>48</v>
      </c>
      <c r="O218" s="33" t="n">
        <f>969</f>
        <v>969.0</v>
      </c>
      <c r="P218" s="34" t="s">
        <v>49</v>
      </c>
      <c r="Q218" s="33" t="n">
        <f>1169</f>
        <v>1169.0</v>
      </c>
      <c r="R218" s="34" t="s">
        <v>50</v>
      </c>
      <c r="S218" s="35" t="n">
        <f>1135.67</f>
        <v>1135.67</v>
      </c>
      <c r="T218" s="32" t="n">
        <f>112250</f>
        <v>112250.0</v>
      </c>
      <c r="U218" s="32" t="str">
        <f>"－"</f>
        <v>－</v>
      </c>
      <c r="V218" s="32" t="n">
        <f>126699965</f>
        <v>1.26699965E8</v>
      </c>
      <c r="W218" s="32" t="str">
        <f>"－"</f>
        <v>－</v>
      </c>
      <c r="X218" s="36" t="n">
        <f>21</f>
        <v>21.0</v>
      </c>
    </row>
    <row r="219">
      <c r="A219" s="27" t="s">
        <v>42</v>
      </c>
      <c r="B219" s="27" t="s">
        <v>705</v>
      </c>
      <c r="C219" s="27" t="s">
        <v>706</v>
      </c>
      <c r="D219" s="27" t="s">
        <v>707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1038</f>
        <v>1038.0</v>
      </c>
      <c r="L219" s="34" t="s">
        <v>48</v>
      </c>
      <c r="M219" s="33" t="n">
        <f>1042</f>
        <v>1042.0</v>
      </c>
      <c r="N219" s="34" t="s">
        <v>153</v>
      </c>
      <c r="O219" s="33" t="n">
        <f>856</f>
        <v>856.0</v>
      </c>
      <c r="P219" s="34" t="s">
        <v>49</v>
      </c>
      <c r="Q219" s="33" t="n">
        <f>1040</f>
        <v>1040.0</v>
      </c>
      <c r="R219" s="34" t="s">
        <v>50</v>
      </c>
      <c r="S219" s="35" t="n">
        <f>993.14</f>
        <v>993.14</v>
      </c>
      <c r="T219" s="32" t="n">
        <f>24409</f>
        <v>24409.0</v>
      </c>
      <c r="U219" s="32" t="str">
        <f>"－"</f>
        <v>－</v>
      </c>
      <c r="V219" s="32" t="n">
        <f>23880891</f>
        <v>2.3880891E7</v>
      </c>
      <c r="W219" s="32" t="str">
        <f>"－"</f>
        <v>－</v>
      </c>
      <c r="X219" s="36" t="n">
        <f>21</f>
        <v>21.0</v>
      </c>
    </row>
    <row r="220">
      <c r="A220" s="27" t="s">
        <v>42</v>
      </c>
      <c r="B220" s="27" t="s">
        <v>708</v>
      </c>
      <c r="C220" s="27" t="s">
        <v>709</v>
      </c>
      <c r="D220" s="27" t="s">
        <v>710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1.0</v>
      </c>
      <c r="K220" s="33" t="n">
        <f>2284</f>
        <v>2284.0</v>
      </c>
      <c r="L220" s="34" t="s">
        <v>48</v>
      </c>
      <c r="M220" s="33" t="n">
        <f>2284</f>
        <v>2284.0</v>
      </c>
      <c r="N220" s="34" t="s">
        <v>48</v>
      </c>
      <c r="O220" s="33" t="n">
        <f>1700</f>
        <v>1700.0</v>
      </c>
      <c r="P220" s="34" t="s">
        <v>49</v>
      </c>
      <c r="Q220" s="33" t="n">
        <f>2245</f>
        <v>2245.0</v>
      </c>
      <c r="R220" s="34" t="s">
        <v>50</v>
      </c>
      <c r="S220" s="35" t="n">
        <f>2142.57</f>
        <v>2142.57</v>
      </c>
      <c r="T220" s="32" t="n">
        <f>405526</f>
        <v>405526.0</v>
      </c>
      <c r="U220" s="32" t="n">
        <f>58</f>
        <v>58.0</v>
      </c>
      <c r="V220" s="32" t="n">
        <f>848035684</f>
        <v>8.48035684E8</v>
      </c>
      <c r="W220" s="32" t="n">
        <f>122762</f>
        <v>122762.0</v>
      </c>
      <c r="X220" s="36" t="n">
        <f>21</f>
        <v>21.0</v>
      </c>
    </row>
    <row r="221">
      <c r="A221" s="27" t="s">
        <v>42</v>
      </c>
      <c r="B221" s="27" t="s">
        <v>711</v>
      </c>
      <c r="C221" s="27" t="s">
        <v>712</v>
      </c>
      <c r="D221" s="27" t="s">
        <v>713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1.0</v>
      </c>
      <c r="K221" s="33" t="n">
        <f>2341</f>
        <v>2341.0</v>
      </c>
      <c r="L221" s="34" t="s">
        <v>48</v>
      </c>
      <c r="M221" s="33" t="n">
        <f>2341</f>
        <v>2341.0</v>
      </c>
      <c r="N221" s="34" t="s">
        <v>48</v>
      </c>
      <c r="O221" s="33" t="n">
        <f>1848</f>
        <v>1848.0</v>
      </c>
      <c r="P221" s="34" t="s">
        <v>49</v>
      </c>
      <c r="Q221" s="33" t="n">
        <f>2283</f>
        <v>2283.0</v>
      </c>
      <c r="R221" s="34" t="s">
        <v>50</v>
      </c>
      <c r="S221" s="35" t="n">
        <f>2194.9</f>
        <v>2194.9</v>
      </c>
      <c r="T221" s="32" t="n">
        <f>1144148</f>
        <v>1144148.0</v>
      </c>
      <c r="U221" s="32" t="n">
        <f>50502</f>
        <v>50502.0</v>
      </c>
      <c r="V221" s="32" t="n">
        <f>2450634443</f>
        <v>2.450634443E9</v>
      </c>
      <c r="W221" s="32" t="n">
        <f>111402794</f>
        <v>1.11402794E8</v>
      </c>
      <c r="X221" s="36" t="n">
        <f>21</f>
        <v>21.0</v>
      </c>
    </row>
    <row r="222">
      <c r="A222" s="27" t="s">
        <v>42</v>
      </c>
      <c r="B222" s="27" t="s">
        <v>714</v>
      </c>
      <c r="C222" s="27" t="s">
        <v>715</v>
      </c>
      <c r="D222" s="27" t="s">
        <v>716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567</f>
        <v>567.0</v>
      </c>
      <c r="L222" s="34" t="s">
        <v>48</v>
      </c>
      <c r="M222" s="33" t="n">
        <f>567</f>
        <v>567.0</v>
      </c>
      <c r="N222" s="34" t="s">
        <v>48</v>
      </c>
      <c r="O222" s="33" t="n">
        <f>465.4</f>
        <v>465.4</v>
      </c>
      <c r="P222" s="34" t="s">
        <v>49</v>
      </c>
      <c r="Q222" s="33" t="n">
        <f>566.8</f>
        <v>566.8</v>
      </c>
      <c r="R222" s="34" t="s">
        <v>50</v>
      </c>
      <c r="S222" s="35" t="n">
        <f>544.19</f>
        <v>544.19</v>
      </c>
      <c r="T222" s="32" t="n">
        <f>2614810</f>
        <v>2614810.0</v>
      </c>
      <c r="U222" s="32" t="n">
        <f>147190</f>
        <v>147190.0</v>
      </c>
      <c r="V222" s="32" t="n">
        <f>1386307464</f>
        <v>1.386307464E9</v>
      </c>
      <c r="W222" s="32" t="n">
        <f>80614026</f>
        <v>8.0614026E7</v>
      </c>
      <c r="X222" s="36" t="n">
        <f>21</f>
        <v>21.0</v>
      </c>
    </row>
    <row r="223">
      <c r="A223" s="27" t="s">
        <v>42</v>
      </c>
      <c r="B223" s="27" t="s">
        <v>717</v>
      </c>
      <c r="C223" s="27" t="s">
        <v>718</v>
      </c>
      <c r="D223" s="27" t="s">
        <v>719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2404.5</f>
        <v>2404.5</v>
      </c>
      <c r="L223" s="34" t="s">
        <v>48</v>
      </c>
      <c r="M223" s="33" t="n">
        <f>2454.5</f>
        <v>2454.5</v>
      </c>
      <c r="N223" s="34" t="s">
        <v>231</v>
      </c>
      <c r="O223" s="33" t="n">
        <f>2262</f>
        <v>2262.0</v>
      </c>
      <c r="P223" s="34" t="s">
        <v>198</v>
      </c>
      <c r="Q223" s="33" t="n">
        <f>2423</f>
        <v>2423.0</v>
      </c>
      <c r="R223" s="34" t="s">
        <v>153</v>
      </c>
      <c r="S223" s="35" t="n">
        <f>2396.75</f>
        <v>2396.75</v>
      </c>
      <c r="T223" s="32" t="n">
        <f>99960</f>
        <v>99960.0</v>
      </c>
      <c r="U223" s="32" t="n">
        <f>87500</f>
        <v>87500.0</v>
      </c>
      <c r="V223" s="32" t="n">
        <f>229501061</f>
        <v>2.29501061E8</v>
      </c>
      <c r="W223" s="32" t="n">
        <f>199433211</f>
        <v>1.99433211E8</v>
      </c>
      <c r="X223" s="36" t="n">
        <f>12</f>
        <v>12.0</v>
      </c>
    </row>
    <row r="224">
      <c r="A224" s="27" t="s">
        <v>42</v>
      </c>
      <c r="B224" s="27" t="s">
        <v>720</v>
      </c>
      <c r="C224" s="27" t="s">
        <v>721</v>
      </c>
      <c r="D224" s="27" t="s">
        <v>722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2301</f>
        <v>2301.0</v>
      </c>
      <c r="L224" s="34" t="s">
        <v>49</v>
      </c>
      <c r="M224" s="33" t="n">
        <f>2506</f>
        <v>2506.0</v>
      </c>
      <c r="N224" s="34" t="s">
        <v>67</v>
      </c>
      <c r="O224" s="33" t="n">
        <f>2290.5</f>
        <v>2290.5</v>
      </c>
      <c r="P224" s="34" t="s">
        <v>49</v>
      </c>
      <c r="Q224" s="33" t="n">
        <f>2466.5</f>
        <v>2466.5</v>
      </c>
      <c r="R224" s="34" t="s">
        <v>153</v>
      </c>
      <c r="S224" s="35" t="n">
        <f>2422.69</f>
        <v>2422.69</v>
      </c>
      <c r="T224" s="32" t="n">
        <f>44550</f>
        <v>44550.0</v>
      </c>
      <c r="U224" s="32" t="str">
        <f>"－"</f>
        <v>－</v>
      </c>
      <c r="V224" s="32" t="n">
        <f>103394435</f>
        <v>1.03394435E8</v>
      </c>
      <c r="W224" s="32" t="str">
        <f>"－"</f>
        <v>－</v>
      </c>
      <c r="X224" s="36" t="n">
        <f>8</f>
        <v>8.0</v>
      </c>
    </row>
    <row r="225">
      <c r="A225" s="27" t="s">
        <v>42</v>
      </c>
      <c r="B225" s="27" t="s">
        <v>723</v>
      </c>
      <c r="C225" s="27" t="s">
        <v>724</v>
      </c>
      <c r="D225" s="27" t="s">
        <v>725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2171</f>
        <v>2171.0</v>
      </c>
      <c r="L225" s="34" t="s">
        <v>248</v>
      </c>
      <c r="M225" s="33" t="n">
        <f>2171</f>
        <v>2171.0</v>
      </c>
      <c r="N225" s="34" t="s">
        <v>248</v>
      </c>
      <c r="O225" s="33" t="n">
        <f>2171</f>
        <v>2171.0</v>
      </c>
      <c r="P225" s="34" t="s">
        <v>248</v>
      </c>
      <c r="Q225" s="33" t="n">
        <f>2171</f>
        <v>2171.0</v>
      </c>
      <c r="R225" s="34" t="s">
        <v>248</v>
      </c>
      <c r="S225" s="35" t="n">
        <f>2171</f>
        <v>2171.0</v>
      </c>
      <c r="T225" s="32" t="n">
        <f>10</f>
        <v>10.0</v>
      </c>
      <c r="U225" s="32" t="str">
        <f>"－"</f>
        <v>－</v>
      </c>
      <c r="V225" s="32" t="n">
        <f>21710</f>
        <v>21710.0</v>
      </c>
      <c r="W225" s="32" t="str">
        <f>"－"</f>
        <v>－</v>
      </c>
      <c r="X225" s="36" t="n">
        <f>1</f>
        <v>1.0</v>
      </c>
    </row>
    <row r="226">
      <c r="A226" s="27" t="s">
        <v>42</v>
      </c>
      <c r="B226" s="27" t="s">
        <v>726</v>
      </c>
      <c r="C226" s="27" t="s">
        <v>727</v>
      </c>
      <c r="D226" s="27" t="s">
        <v>728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str">
        <f>"－"</f>
        <v>－</v>
      </c>
      <c r="L226" s="34"/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5" t="str">
        <f>"－"</f>
        <v>－</v>
      </c>
      <c r="T226" s="32" t="str">
        <f>"－"</f>
        <v>－</v>
      </c>
      <c r="U226" s="32" t="str">
        <f>"－"</f>
        <v>－</v>
      </c>
      <c r="V226" s="32" t="str">
        <f>"－"</f>
        <v>－</v>
      </c>
      <c r="W226" s="32" t="str">
        <f>"－"</f>
        <v>－</v>
      </c>
      <c r="X226" s="36" t="str">
        <f>"－"</f>
        <v>－</v>
      </c>
    </row>
    <row r="227">
      <c r="A227" s="27" t="s">
        <v>42</v>
      </c>
      <c r="B227" s="27" t="s">
        <v>729</v>
      </c>
      <c r="C227" s="27" t="s">
        <v>730</v>
      </c>
      <c r="D227" s="27" t="s">
        <v>731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str">
        <f>"－"</f>
        <v>－</v>
      </c>
      <c r="L227" s="34"/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5" t="str">
        <f>"－"</f>
        <v>－</v>
      </c>
      <c r="T227" s="32" t="n">
        <f>826000</f>
        <v>826000.0</v>
      </c>
      <c r="U227" s="32" t="n">
        <f>826000</f>
        <v>826000.0</v>
      </c>
      <c r="V227" s="32" t="n">
        <f>4202729300</f>
        <v>4.2027293E9</v>
      </c>
      <c r="W227" s="32" t="n">
        <f>4202729300</f>
        <v>4.2027293E9</v>
      </c>
      <c r="X227" s="36" t="str">
        <f>"－"</f>
        <v>－</v>
      </c>
    </row>
    <row r="228">
      <c r="A228" s="27" t="s">
        <v>42</v>
      </c>
      <c r="B228" s="27" t="s">
        <v>732</v>
      </c>
      <c r="C228" s="27" t="s">
        <v>733</v>
      </c>
      <c r="D228" s="27" t="s">
        <v>734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5137</f>
        <v>5137.0</v>
      </c>
      <c r="L228" s="34" t="s">
        <v>60</v>
      </c>
      <c r="M228" s="33" t="n">
        <f>5137</f>
        <v>5137.0</v>
      </c>
      <c r="N228" s="34" t="s">
        <v>60</v>
      </c>
      <c r="O228" s="33" t="n">
        <f>5077</f>
        <v>5077.0</v>
      </c>
      <c r="P228" s="34" t="s">
        <v>248</v>
      </c>
      <c r="Q228" s="33" t="n">
        <f>5077</f>
        <v>5077.0</v>
      </c>
      <c r="R228" s="34" t="s">
        <v>248</v>
      </c>
      <c r="S228" s="35" t="n">
        <f>5107</f>
        <v>5107.0</v>
      </c>
      <c r="T228" s="32" t="n">
        <f>785040</f>
        <v>785040.0</v>
      </c>
      <c r="U228" s="32" t="n">
        <f>785000</f>
        <v>785000.0</v>
      </c>
      <c r="V228" s="32" t="n">
        <f>3979204280</f>
        <v>3.97920428E9</v>
      </c>
      <c r="W228" s="32" t="n">
        <f>3979000000</f>
        <v>3.979E9</v>
      </c>
      <c r="X228" s="36" t="n">
        <f>2</f>
        <v>2.0</v>
      </c>
    </row>
    <row r="229">
      <c r="A229" s="27" t="s">
        <v>42</v>
      </c>
      <c r="B229" s="27" t="s">
        <v>735</v>
      </c>
      <c r="C229" s="27" t="s">
        <v>736</v>
      </c>
      <c r="D229" s="27" t="s">
        <v>737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10.0</v>
      </c>
      <c r="K229" s="33" t="str">
        <f>"－"</f>
        <v>－</v>
      </c>
      <c r="L229" s="34"/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5" t="str">
        <f>"－"</f>
        <v>－</v>
      </c>
      <c r="T229" s="32" t="str">
        <f>"－"</f>
        <v>－</v>
      </c>
      <c r="U229" s="32" t="str">
        <f>"－"</f>
        <v>－</v>
      </c>
      <c r="V229" s="32" t="str">
        <f>"－"</f>
        <v>－</v>
      </c>
      <c r="W229" s="32" t="str">
        <f>"－"</f>
        <v>－</v>
      </c>
      <c r="X229" s="36" t="str">
        <f>"－"</f>
        <v>－</v>
      </c>
    </row>
    <row r="230">
      <c r="A230" s="27" t="s">
        <v>42</v>
      </c>
      <c r="B230" s="27" t="s">
        <v>738</v>
      </c>
      <c r="C230" s="27" t="s">
        <v>739</v>
      </c>
      <c r="D230" s="27" t="s">
        <v>740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10.0</v>
      </c>
      <c r="K230" s="33" t="n">
        <f>5072</f>
        <v>5072.0</v>
      </c>
      <c r="L230" s="34" t="s">
        <v>48</v>
      </c>
      <c r="M230" s="33" t="n">
        <f>5072</f>
        <v>5072.0</v>
      </c>
      <c r="N230" s="34" t="s">
        <v>48</v>
      </c>
      <c r="O230" s="33" t="n">
        <f>4792</f>
        <v>4792.0</v>
      </c>
      <c r="P230" s="34" t="s">
        <v>49</v>
      </c>
      <c r="Q230" s="33" t="n">
        <f>4847</f>
        <v>4847.0</v>
      </c>
      <c r="R230" s="34" t="s">
        <v>50</v>
      </c>
      <c r="S230" s="35" t="n">
        <f>4892.62</f>
        <v>4892.62</v>
      </c>
      <c r="T230" s="32" t="n">
        <f>315770</f>
        <v>315770.0</v>
      </c>
      <c r="U230" s="32" t="n">
        <f>296800</f>
        <v>296800.0</v>
      </c>
      <c r="V230" s="32" t="n">
        <f>1578879503</f>
        <v>1.578879503E9</v>
      </c>
      <c r="W230" s="32" t="n">
        <f>1486289603</f>
        <v>1.486289603E9</v>
      </c>
      <c r="X230" s="36" t="n">
        <f>21</f>
        <v>21.0</v>
      </c>
    </row>
    <row r="231">
      <c r="A231" s="27" t="s">
        <v>42</v>
      </c>
      <c r="B231" s="27" t="s">
        <v>741</v>
      </c>
      <c r="C231" s="27" t="s">
        <v>742</v>
      </c>
      <c r="D231" s="27" t="s">
        <v>743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981</f>
        <v>981.0</v>
      </c>
      <c r="L231" s="34" t="s">
        <v>48</v>
      </c>
      <c r="M231" s="33" t="n">
        <f>1080</f>
        <v>1080.0</v>
      </c>
      <c r="N231" s="34" t="s">
        <v>49</v>
      </c>
      <c r="O231" s="33" t="n">
        <f>934</f>
        <v>934.0</v>
      </c>
      <c r="P231" s="34" t="s">
        <v>104</v>
      </c>
      <c r="Q231" s="33" t="n">
        <f>950</f>
        <v>950.0</v>
      </c>
      <c r="R231" s="34" t="s">
        <v>50</v>
      </c>
      <c r="S231" s="35" t="n">
        <f>974.76</f>
        <v>974.76</v>
      </c>
      <c r="T231" s="32" t="n">
        <f>39348</f>
        <v>39348.0</v>
      </c>
      <c r="U231" s="32" t="str">
        <f>"－"</f>
        <v>－</v>
      </c>
      <c r="V231" s="32" t="n">
        <f>38839492</f>
        <v>3.8839492E7</v>
      </c>
      <c r="W231" s="32" t="str">
        <f>"－"</f>
        <v>－</v>
      </c>
      <c r="X231" s="36" t="n">
        <f>21</f>
        <v>21.0</v>
      </c>
    </row>
    <row r="232">
      <c r="A232" s="27" t="s">
        <v>42</v>
      </c>
      <c r="B232" s="27" t="s">
        <v>744</v>
      </c>
      <c r="C232" s="27" t="s">
        <v>745</v>
      </c>
      <c r="D232" s="27" t="s">
        <v>746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1150</f>
        <v>1150.0</v>
      </c>
      <c r="L232" s="34" t="s">
        <v>48</v>
      </c>
      <c r="M232" s="33" t="n">
        <f>1165</f>
        <v>1165.0</v>
      </c>
      <c r="N232" s="34" t="s">
        <v>50</v>
      </c>
      <c r="O232" s="33" t="n">
        <f>1045</f>
        <v>1045.0</v>
      </c>
      <c r="P232" s="34" t="s">
        <v>247</v>
      </c>
      <c r="Q232" s="33" t="n">
        <f>1162</f>
        <v>1162.0</v>
      </c>
      <c r="R232" s="34" t="s">
        <v>50</v>
      </c>
      <c r="S232" s="35" t="n">
        <f>1135.57</f>
        <v>1135.57</v>
      </c>
      <c r="T232" s="32" t="n">
        <f>164575</f>
        <v>164575.0</v>
      </c>
      <c r="U232" s="32" t="str">
        <f>"－"</f>
        <v>－</v>
      </c>
      <c r="V232" s="32" t="n">
        <f>187991942</f>
        <v>1.87991942E8</v>
      </c>
      <c r="W232" s="32" t="str">
        <f>"－"</f>
        <v>－</v>
      </c>
      <c r="X232" s="36" t="n">
        <f>21</f>
        <v>21.0</v>
      </c>
    </row>
    <row r="233">
      <c r="A233" s="27" t="s">
        <v>42</v>
      </c>
      <c r="B233" s="27" t="s">
        <v>747</v>
      </c>
      <c r="C233" s="27" t="s">
        <v>748</v>
      </c>
      <c r="D233" s="27" t="s">
        <v>749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933</f>
        <v>933.0</v>
      </c>
      <c r="L233" s="34" t="s">
        <v>48</v>
      </c>
      <c r="M233" s="33" t="n">
        <f>988</f>
        <v>988.0</v>
      </c>
      <c r="N233" s="34" t="s">
        <v>104</v>
      </c>
      <c r="O233" s="33" t="n">
        <f>826</f>
        <v>826.0</v>
      </c>
      <c r="P233" s="34" t="s">
        <v>49</v>
      </c>
      <c r="Q233" s="33" t="n">
        <f>967</f>
        <v>967.0</v>
      </c>
      <c r="R233" s="34" t="s">
        <v>50</v>
      </c>
      <c r="S233" s="35" t="n">
        <f>946.05</f>
        <v>946.05</v>
      </c>
      <c r="T233" s="32" t="n">
        <f>55325</f>
        <v>55325.0</v>
      </c>
      <c r="U233" s="32" t="str">
        <f>"－"</f>
        <v>－</v>
      </c>
      <c r="V233" s="32" t="n">
        <f>52644779</f>
        <v>5.2644779E7</v>
      </c>
      <c r="W233" s="32" t="str">
        <f>"－"</f>
        <v>－</v>
      </c>
      <c r="X233" s="36" t="n">
        <f>21</f>
        <v>21.0</v>
      </c>
    </row>
    <row r="234">
      <c r="A234" s="27" t="s">
        <v>42</v>
      </c>
      <c r="B234" s="27" t="s">
        <v>750</v>
      </c>
      <c r="C234" s="27" t="s">
        <v>751</v>
      </c>
      <c r="D234" s="27" t="s">
        <v>752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975</f>
        <v>975.0</v>
      </c>
      <c r="L234" s="34" t="s">
        <v>48</v>
      </c>
      <c r="M234" s="33" t="n">
        <f>1021</f>
        <v>1021.0</v>
      </c>
      <c r="N234" s="34" t="s">
        <v>104</v>
      </c>
      <c r="O234" s="33" t="n">
        <f>938</f>
        <v>938.0</v>
      </c>
      <c r="P234" s="34" t="s">
        <v>49</v>
      </c>
      <c r="Q234" s="33" t="n">
        <f>1008</f>
        <v>1008.0</v>
      </c>
      <c r="R234" s="34" t="s">
        <v>50</v>
      </c>
      <c r="S234" s="35" t="n">
        <f>992.86</f>
        <v>992.86</v>
      </c>
      <c r="T234" s="32" t="n">
        <f>179587</f>
        <v>179587.0</v>
      </c>
      <c r="U234" s="32" t="n">
        <f>93000</f>
        <v>93000.0</v>
      </c>
      <c r="V234" s="32" t="n">
        <f>180859361</f>
        <v>1.80859361E8</v>
      </c>
      <c r="W234" s="32" t="n">
        <f>94701900</f>
        <v>9.47019E7</v>
      </c>
      <c r="X234" s="36" t="n">
        <f>21</f>
        <v>21.0</v>
      </c>
    </row>
    <row r="235">
      <c r="A235" s="27" t="s">
        <v>42</v>
      </c>
      <c r="B235" s="27" t="s">
        <v>753</v>
      </c>
      <c r="C235" s="27" t="s">
        <v>754</v>
      </c>
      <c r="D235" s="27" t="s">
        <v>755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1.0</v>
      </c>
      <c r="K235" s="33" t="n">
        <f>1010</f>
        <v>1010.0</v>
      </c>
      <c r="L235" s="34" t="s">
        <v>48</v>
      </c>
      <c r="M235" s="33" t="n">
        <f>1026</f>
        <v>1026.0</v>
      </c>
      <c r="N235" s="34" t="s">
        <v>231</v>
      </c>
      <c r="O235" s="33" t="n">
        <f>950</f>
        <v>950.0</v>
      </c>
      <c r="P235" s="34" t="s">
        <v>49</v>
      </c>
      <c r="Q235" s="33" t="n">
        <f>992</f>
        <v>992.0</v>
      </c>
      <c r="R235" s="34" t="s">
        <v>50</v>
      </c>
      <c r="S235" s="35" t="n">
        <f>983.52</f>
        <v>983.52</v>
      </c>
      <c r="T235" s="32" t="n">
        <f>38590</f>
        <v>38590.0</v>
      </c>
      <c r="U235" s="32" t="n">
        <f>3</f>
        <v>3.0</v>
      </c>
      <c r="V235" s="32" t="n">
        <f>37911849</f>
        <v>3.7911849E7</v>
      </c>
      <c r="W235" s="32" t="n">
        <f>2952</f>
        <v>2952.0</v>
      </c>
      <c r="X235" s="36" t="n">
        <f>21</f>
        <v>21.0</v>
      </c>
    </row>
    <row r="236">
      <c r="A236" s="27" t="s">
        <v>42</v>
      </c>
      <c r="B236" s="27" t="s">
        <v>756</v>
      </c>
      <c r="C236" s="27" t="s">
        <v>757</v>
      </c>
      <c r="D236" s="27" t="s">
        <v>758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1509</f>
        <v>1509.0</v>
      </c>
      <c r="L236" s="34" t="s">
        <v>48</v>
      </c>
      <c r="M236" s="33" t="n">
        <f>1547</f>
        <v>1547.0</v>
      </c>
      <c r="N236" s="34" t="s">
        <v>153</v>
      </c>
      <c r="O236" s="33" t="n">
        <f>1440</f>
        <v>1440.0</v>
      </c>
      <c r="P236" s="34" t="s">
        <v>49</v>
      </c>
      <c r="Q236" s="33" t="n">
        <f>1525</f>
        <v>1525.0</v>
      </c>
      <c r="R236" s="34" t="s">
        <v>50</v>
      </c>
      <c r="S236" s="35" t="n">
        <f>1504.81</f>
        <v>1504.81</v>
      </c>
      <c r="T236" s="32" t="n">
        <f>202753</f>
        <v>202753.0</v>
      </c>
      <c r="U236" s="32" t="n">
        <f>29940</f>
        <v>29940.0</v>
      </c>
      <c r="V236" s="32" t="n">
        <f>302681807</f>
        <v>3.02681807E8</v>
      </c>
      <c r="W236" s="32" t="n">
        <f>44349455</f>
        <v>4.4349455E7</v>
      </c>
      <c r="X236" s="36" t="n">
        <f>21</f>
        <v>21.0</v>
      </c>
    </row>
    <row r="237">
      <c r="A237" s="27" t="s">
        <v>42</v>
      </c>
      <c r="B237" s="27" t="s">
        <v>759</v>
      </c>
      <c r="C237" s="27" t="s">
        <v>760</v>
      </c>
      <c r="D237" s="27" t="s">
        <v>761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10.0</v>
      </c>
      <c r="K237" s="33" t="n">
        <f>173.8</f>
        <v>173.8</v>
      </c>
      <c r="L237" s="34" t="s">
        <v>48</v>
      </c>
      <c r="M237" s="33" t="n">
        <f>173.9</f>
        <v>173.9</v>
      </c>
      <c r="N237" s="34" t="s">
        <v>48</v>
      </c>
      <c r="O237" s="33" t="n">
        <f>120</f>
        <v>120.0</v>
      </c>
      <c r="P237" s="34" t="s">
        <v>49</v>
      </c>
      <c r="Q237" s="33" t="n">
        <f>157.4</f>
        <v>157.4</v>
      </c>
      <c r="R237" s="34" t="s">
        <v>50</v>
      </c>
      <c r="S237" s="35" t="n">
        <f>153.59</f>
        <v>153.59</v>
      </c>
      <c r="T237" s="32" t="n">
        <f>10733760</f>
        <v>1.073376E7</v>
      </c>
      <c r="U237" s="32" t="n">
        <f>1010190</f>
        <v>1010190.0</v>
      </c>
      <c r="V237" s="32" t="n">
        <f>1611238552</f>
        <v>1.611238552E9</v>
      </c>
      <c r="W237" s="32" t="n">
        <f>145685394</f>
        <v>1.45685394E8</v>
      </c>
      <c r="X237" s="36" t="n">
        <f>21</f>
        <v>21.0</v>
      </c>
    </row>
    <row r="238">
      <c r="A238" s="27" t="s">
        <v>42</v>
      </c>
      <c r="B238" s="27" t="s">
        <v>762</v>
      </c>
      <c r="C238" s="27" t="s">
        <v>763</v>
      </c>
      <c r="D238" s="27" t="s">
        <v>764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10.0</v>
      </c>
      <c r="K238" s="33" t="n">
        <f>485</f>
        <v>485.0</v>
      </c>
      <c r="L238" s="34" t="s">
        <v>48</v>
      </c>
      <c r="M238" s="33" t="n">
        <f>488.6</f>
        <v>488.6</v>
      </c>
      <c r="N238" s="34" t="s">
        <v>48</v>
      </c>
      <c r="O238" s="33" t="n">
        <f>361.8</f>
        <v>361.8</v>
      </c>
      <c r="P238" s="34" t="s">
        <v>49</v>
      </c>
      <c r="Q238" s="33" t="n">
        <f>447.1</f>
        <v>447.1</v>
      </c>
      <c r="R238" s="34" t="s">
        <v>50</v>
      </c>
      <c r="S238" s="35" t="n">
        <f>437.41</f>
        <v>437.41</v>
      </c>
      <c r="T238" s="32" t="n">
        <f>889170</f>
        <v>889170.0</v>
      </c>
      <c r="U238" s="32" t="n">
        <f>860</f>
        <v>860.0</v>
      </c>
      <c r="V238" s="32" t="n">
        <f>383918957</f>
        <v>3.83918957E8</v>
      </c>
      <c r="W238" s="32" t="n">
        <f>356258</f>
        <v>356258.0</v>
      </c>
      <c r="X238" s="36" t="n">
        <f>21</f>
        <v>21.0</v>
      </c>
    </row>
    <row r="239">
      <c r="A239" s="27" t="s">
        <v>42</v>
      </c>
      <c r="B239" s="27" t="s">
        <v>765</v>
      </c>
      <c r="C239" s="27" t="s">
        <v>766</v>
      </c>
      <c r="D239" s="27" t="s">
        <v>767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10.0</v>
      </c>
      <c r="K239" s="33" t="n">
        <f>2725</f>
        <v>2725.0</v>
      </c>
      <c r="L239" s="34" t="s">
        <v>48</v>
      </c>
      <c r="M239" s="33" t="n">
        <f>2725</f>
        <v>2725.0</v>
      </c>
      <c r="N239" s="34" t="s">
        <v>48</v>
      </c>
      <c r="O239" s="33" t="n">
        <f>2449</f>
        <v>2449.0</v>
      </c>
      <c r="P239" s="34" t="s">
        <v>60</v>
      </c>
      <c r="Q239" s="33" t="n">
        <f>2610.5</f>
        <v>2610.5</v>
      </c>
      <c r="R239" s="34" t="s">
        <v>50</v>
      </c>
      <c r="S239" s="35" t="n">
        <f>2570.35</f>
        <v>2570.35</v>
      </c>
      <c r="T239" s="32" t="n">
        <f>87560</f>
        <v>87560.0</v>
      </c>
      <c r="U239" s="32" t="str">
        <f>"－"</f>
        <v>－</v>
      </c>
      <c r="V239" s="32" t="n">
        <f>225540435</f>
        <v>2.25540435E8</v>
      </c>
      <c r="W239" s="32" t="str">
        <f>"－"</f>
        <v>－</v>
      </c>
      <c r="X239" s="36" t="n">
        <f>20</f>
        <v>20.0</v>
      </c>
    </row>
    <row r="240">
      <c r="A240" s="27" t="s">
        <v>42</v>
      </c>
      <c r="B240" s="27" t="s">
        <v>768</v>
      </c>
      <c r="C240" s="27" t="s">
        <v>769</v>
      </c>
      <c r="D240" s="27" t="s">
        <v>770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1236</f>
        <v>1236.0</v>
      </c>
      <c r="L240" s="34" t="s">
        <v>48</v>
      </c>
      <c r="M240" s="33" t="n">
        <f>1239</f>
        <v>1239.0</v>
      </c>
      <c r="N240" s="34" t="s">
        <v>48</v>
      </c>
      <c r="O240" s="33" t="n">
        <f>1154</f>
        <v>1154.0</v>
      </c>
      <c r="P240" s="34" t="s">
        <v>49</v>
      </c>
      <c r="Q240" s="33" t="n">
        <f>1224</f>
        <v>1224.0</v>
      </c>
      <c r="R240" s="34" t="s">
        <v>50</v>
      </c>
      <c r="S240" s="35" t="n">
        <f>1204.57</f>
        <v>1204.57</v>
      </c>
      <c r="T240" s="32" t="n">
        <f>1863726</f>
        <v>1863726.0</v>
      </c>
      <c r="U240" s="32" t="n">
        <f>1214333</f>
        <v>1214333.0</v>
      </c>
      <c r="V240" s="32" t="n">
        <f>2267082968</f>
        <v>2.267082968E9</v>
      </c>
      <c r="W240" s="32" t="n">
        <f>1489104544</f>
        <v>1.489104544E9</v>
      </c>
      <c r="X240" s="36" t="n">
        <f>21</f>
        <v>21.0</v>
      </c>
    </row>
    <row r="241">
      <c r="A241" s="27" t="s">
        <v>42</v>
      </c>
      <c r="B241" s="27" t="s">
        <v>771</v>
      </c>
      <c r="C241" s="27" t="s">
        <v>772</v>
      </c>
      <c r="D241" s="27" t="s">
        <v>773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81080</f>
        <v>81080.0</v>
      </c>
      <c r="L241" s="34" t="s">
        <v>48</v>
      </c>
      <c r="M241" s="33" t="n">
        <f>82280</f>
        <v>82280.0</v>
      </c>
      <c r="N241" s="34" t="s">
        <v>261</v>
      </c>
      <c r="O241" s="33" t="n">
        <f>69700</f>
        <v>69700.0</v>
      </c>
      <c r="P241" s="34" t="s">
        <v>198</v>
      </c>
      <c r="Q241" s="33" t="n">
        <f>81170</f>
        <v>81170.0</v>
      </c>
      <c r="R241" s="34" t="s">
        <v>50</v>
      </c>
      <c r="S241" s="35" t="n">
        <f>78056.19</f>
        <v>78056.19</v>
      </c>
      <c r="T241" s="32" t="n">
        <f>70107</f>
        <v>70107.0</v>
      </c>
      <c r="U241" s="32" t="str">
        <f>"－"</f>
        <v>－</v>
      </c>
      <c r="V241" s="32" t="n">
        <f>5237755920</f>
        <v>5.23775592E9</v>
      </c>
      <c r="W241" s="32" t="str">
        <f>"－"</f>
        <v>－</v>
      </c>
      <c r="X241" s="36" t="n">
        <f>21</f>
        <v>21.0</v>
      </c>
    </row>
    <row r="242">
      <c r="A242" s="27" t="s">
        <v>42</v>
      </c>
      <c r="B242" s="27" t="s">
        <v>774</v>
      </c>
      <c r="C242" s="27" t="s">
        <v>775</v>
      </c>
      <c r="D242" s="27" t="s">
        <v>776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7211</f>
        <v>7211.0</v>
      </c>
      <c r="L242" s="34" t="s">
        <v>48</v>
      </c>
      <c r="M242" s="33" t="n">
        <f>7755</f>
        <v>7755.0</v>
      </c>
      <c r="N242" s="34" t="s">
        <v>198</v>
      </c>
      <c r="O242" s="33" t="n">
        <f>7091</f>
        <v>7091.0</v>
      </c>
      <c r="P242" s="34" t="s">
        <v>261</v>
      </c>
      <c r="Q242" s="33" t="n">
        <f>7139</f>
        <v>7139.0</v>
      </c>
      <c r="R242" s="34" t="s">
        <v>50</v>
      </c>
      <c r="S242" s="35" t="n">
        <f>7308.81</f>
        <v>7308.81</v>
      </c>
      <c r="T242" s="32" t="n">
        <f>236399</f>
        <v>236399.0</v>
      </c>
      <c r="U242" s="32" t="n">
        <f>56702</f>
        <v>56702.0</v>
      </c>
      <c r="V242" s="32" t="n">
        <f>1764029417</f>
        <v>1.764029417E9</v>
      </c>
      <c r="W242" s="32" t="n">
        <f>428015080</f>
        <v>4.2801508E8</v>
      </c>
      <c r="X242" s="36" t="n">
        <f>21</f>
        <v>21.0</v>
      </c>
    </row>
    <row r="243">
      <c r="A243" s="27" t="s">
        <v>42</v>
      </c>
      <c r="B243" s="27" t="s">
        <v>777</v>
      </c>
      <c r="C243" s="27" t="s">
        <v>778</v>
      </c>
      <c r="D243" s="27" t="s">
        <v>779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10.0</v>
      </c>
      <c r="K243" s="33" t="n">
        <f>17365</f>
        <v>17365.0</v>
      </c>
      <c r="L243" s="34" t="s">
        <v>48</v>
      </c>
      <c r="M243" s="33" t="n">
        <f>17775</f>
        <v>17775.0</v>
      </c>
      <c r="N243" s="34" t="s">
        <v>215</v>
      </c>
      <c r="O243" s="33" t="n">
        <f>14805</f>
        <v>14805.0</v>
      </c>
      <c r="P243" s="34" t="s">
        <v>214</v>
      </c>
      <c r="Q243" s="33" t="n">
        <f>17535</f>
        <v>17535.0</v>
      </c>
      <c r="R243" s="34" t="s">
        <v>50</v>
      </c>
      <c r="S243" s="35" t="n">
        <f>16862.62</f>
        <v>16862.62</v>
      </c>
      <c r="T243" s="32" t="n">
        <f>58260</f>
        <v>58260.0</v>
      </c>
      <c r="U243" s="32" t="str">
        <f>"－"</f>
        <v>－</v>
      </c>
      <c r="V243" s="32" t="n">
        <f>947215500</f>
        <v>9.472155E8</v>
      </c>
      <c r="W243" s="32" t="str">
        <f>"－"</f>
        <v>－</v>
      </c>
      <c r="X243" s="36" t="n">
        <f>21</f>
        <v>21.0</v>
      </c>
    </row>
    <row r="244">
      <c r="A244" s="27" t="s">
        <v>42</v>
      </c>
      <c r="B244" s="27" t="s">
        <v>780</v>
      </c>
      <c r="C244" s="27" t="s">
        <v>781</v>
      </c>
      <c r="D244" s="27" t="s">
        <v>782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1.0</v>
      </c>
      <c r="K244" s="33" t="n">
        <f>955</f>
        <v>955.0</v>
      </c>
      <c r="L244" s="34" t="s">
        <v>48</v>
      </c>
      <c r="M244" s="33" t="n">
        <f>955</f>
        <v>955.0</v>
      </c>
      <c r="N244" s="34" t="s">
        <v>48</v>
      </c>
      <c r="O244" s="33" t="n">
        <f>790</f>
        <v>790.0</v>
      </c>
      <c r="P244" s="34" t="s">
        <v>49</v>
      </c>
      <c r="Q244" s="33" t="n">
        <f>917</f>
        <v>917.0</v>
      </c>
      <c r="R244" s="34" t="s">
        <v>50</v>
      </c>
      <c r="S244" s="35" t="n">
        <f>903.9</f>
        <v>903.9</v>
      </c>
      <c r="T244" s="32" t="n">
        <f>139490</f>
        <v>139490.0</v>
      </c>
      <c r="U244" s="32" t="n">
        <f>20</f>
        <v>20.0</v>
      </c>
      <c r="V244" s="32" t="n">
        <f>125002697</f>
        <v>1.25002697E8</v>
      </c>
      <c r="W244" s="32" t="n">
        <f>16960</f>
        <v>16960.0</v>
      </c>
      <c r="X244" s="36" t="n">
        <f>21</f>
        <v>21.0</v>
      </c>
    </row>
    <row r="245">
      <c r="A245" s="27" t="s">
        <v>42</v>
      </c>
      <c r="B245" s="27" t="s">
        <v>783</v>
      </c>
      <c r="C245" s="27" t="s">
        <v>784</v>
      </c>
      <c r="D245" s="27" t="s">
        <v>785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7254</f>
        <v>7254.0</v>
      </c>
      <c r="L245" s="34" t="s">
        <v>48</v>
      </c>
      <c r="M245" s="33" t="n">
        <f>7760</f>
        <v>7760.0</v>
      </c>
      <c r="N245" s="34" t="s">
        <v>198</v>
      </c>
      <c r="O245" s="33" t="n">
        <f>7141</f>
        <v>7141.0</v>
      </c>
      <c r="P245" s="34" t="s">
        <v>261</v>
      </c>
      <c r="Q245" s="33" t="n">
        <f>7186</f>
        <v>7186.0</v>
      </c>
      <c r="R245" s="34" t="s">
        <v>50</v>
      </c>
      <c r="S245" s="35" t="n">
        <f>7352.33</f>
        <v>7352.33</v>
      </c>
      <c r="T245" s="32" t="n">
        <f>48540</f>
        <v>48540.0</v>
      </c>
      <c r="U245" s="32" t="n">
        <f>10</f>
        <v>10.0</v>
      </c>
      <c r="V245" s="32" t="n">
        <f>367144780</f>
        <v>3.6714478E8</v>
      </c>
      <c r="W245" s="32" t="n">
        <f>76030</f>
        <v>76030.0</v>
      </c>
      <c r="X245" s="36" t="n">
        <f>21</f>
        <v>21.0</v>
      </c>
    </row>
    <row r="246">
      <c r="A246" s="27" t="s">
        <v>42</v>
      </c>
      <c r="B246" s="27" t="s">
        <v>786</v>
      </c>
      <c r="C246" s="27" t="s">
        <v>787</v>
      </c>
      <c r="D246" s="27" t="s">
        <v>788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10.0</v>
      </c>
      <c r="K246" s="33" t="n">
        <f>704</f>
        <v>704.0</v>
      </c>
      <c r="L246" s="34" t="s">
        <v>48</v>
      </c>
      <c r="M246" s="33" t="n">
        <f>704</f>
        <v>704.0</v>
      </c>
      <c r="N246" s="34" t="s">
        <v>48</v>
      </c>
      <c r="O246" s="33" t="n">
        <f>609.5</f>
        <v>609.5</v>
      </c>
      <c r="P246" s="34" t="s">
        <v>60</v>
      </c>
      <c r="Q246" s="33" t="n">
        <f>669.1</f>
        <v>669.1</v>
      </c>
      <c r="R246" s="34" t="s">
        <v>50</v>
      </c>
      <c r="S246" s="35" t="n">
        <f>657.74</f>
        <v>657.74</v>
      </c>
      <c r="T246" s="32" t="n">
        <f>383330</f>
        <v>383330.0</v>
      </c>
      <c r="U246" s="32" t="n">
        <f>400</f>
        <v>400.0</v>
      </c>
      <c r="V246" s="32" t="n">
        <f>248758602</f>
        <v>2.48758602E8</v>
      </c>
      <c r="W246" s="32" t="n">
        <f>241043</f>
        <v>241043.0</v>
      </c>
      <c r="X246" s="36" t="n">
        <f>21</f>
        <v>21.0</v>
      </c>
    </row>
    <row r="247">
      <c r="A247" s="27" t="s">
        <v>42</v>
      </c>
      <c r="B247" s="27" t="s">
        <v>789</v>
      </c>
      <c r="C247" s="27" t="s">
        <v>790</v>
      </c>
      <c r="D247" s="27" t="s">
        <v>791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10.0</v>
      </c>
      <c r="K247" s="33" t="n">
        <f>572.2</f>
        <v>572.2</v>
      </c>
      <c r="L247" s="34" t="s">
        <v>48</v>
      </c>
      <c r="M247" s="33" t="n">
        <f>579.4</f>
        <v>579.4</v>
      </c>
      <c r="N247" s="34" t="s">
        <v>261</v>
      </c>
      <c r="O247" s="33" t="n">
        <f>540</f>
        <v>540.0</v>
      </c>
      <c r="P247" s="34" t="s">
        <v>198</v>
      </c>
      <c r="Q247" s="33" t="n">
        <f>576.2</f>
        <v>576.2</v>
      </c>
      <c r="R247" s="34" t="s">
        <v>50</v>
      </c>
      <c r="S247" s="35" t="n">
        <f>563.28</f>
        <v>563.28</v>
      </c>
      <c r="T247" s="32" t="n">
        <f>496670</f>
        <v>496670.0</v>
      </c>
      <c r="U247" s="32" t="n">
        <f>20</f>
        <v>20.0</v>
      </c>
      <c r="V247" s="32" t="n">
        <f>280077638</f>
        <v>2.80077638E8</v>
      </c>
      <c r="W247" s="32" t="n">
        <f>11112</f>
        <v>11112.0</v>
      </c>
      <c r="X247" s="36" t="n">
        <f>21</f>
        <v>21.0</v>
      </c>
    </row>
    <row r="248">
      <c r="A248" s="27" t="s">
        <v>42</v>
      </c>
      <c r="B248" s="27" t="s">
        <v>792</v>
      </c>
      <c r="C248" s="27" t="s">
        <v>793</v>
      </c>
      <c r="D248" s="27" t="s">
        <v>794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1.0</v>
      </c>
      <c r="K248" s="33" t="n">
        <f>1900</f>
        <v>1900.0</v>
      </c>
      <c r="L248" s="34" t="s">
        <v>48</v>
      </c>
      <c r="M248" s="33" t="n">
        <f>1904</f>
        <v>1904.0</v>
      </c>
      <c r="N248" s="34" t="s">
        <v>48</v>
      </c>
      <c r="O248" s="33" t="n">
        <f>1407</f>
        <v>1407.0</v>
      </c>
      <c r="P248" s="34" t="s">
        <v>49</v>
      </c>
      <c r="Q248" s="33" t="n">
        <f>1759</f>
        <v>1759.0</v>
      </c>
      <c r="R248" s="34" t="s">
        <v>50</v>
      </c>
      <c r="S248" s="35" t="n">
        <f>1737.86</f>
        <v>1737.86</v>
      </c>
      <c r="T248" s="32" t="n">
        <f>16348204</f>
        <v>1.6348204E7</v>
      </c>
      <c r="U248" s="32" t="n">
        <f>89813</f>
        <v>89813.0</v>
      </c>
      <c r="V248" s="32" t="n">
        <f>27672477324</f>
        <v>2.7672477324E10</v>
      </c>
      <c r="W248" s="32" t="n">
        <f>155334259</f>
        <v>1.55334259E8</v>
      </c>
      <c r="X248" s="36" t="n">
        <f>21</f>
        <v>21.0</v>
      </c>
    </row>
    <row r="249">
      <c r="A249" s="27" t="s">
        <v>42</v>
      </c>
      <c r="B249" s="27" t="s">
        <v>795</v>
      </c>
      <c r="C249" s="27" t="s">
        <v>796</v>
      </c>
      <c r="D249" s="27" t="s">
        <v>797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1.0</v>
      </c>
      <c r="K249" s="33" t="n">
        <f>2102</f>
        <v>2102.0</v>
      </c>
      <c r="L249" s="34" t="s">
        <v>48</v>
      </c>
      <c r="M249" s="33" t="n">
        <f>2120</f>
        <v>2120.0</v>
      </c>
      <c r="N249" s="34" t="s">
        <v>67</v>
      </c>
      <c r="O249" s="33" t="n">
        <f>1707</f>
        <v>1707.0</v>
      </c>
      <c r="P249" s="34" t="s">
        <v>49</v>
      </c>
      <c r="Q249" s="33" t="n">
        <f>1978</f>
        <v>1978.0</v>
      </c>
      <c r="R249" s="34" t="s">
        <v>50</v>
      </c>
      <c r="S249" s="35" t="n">
        <f>1996.57</f>
        <v>1996.57</v>
      </c>
      <c r="T249" s="32" t="n">
        <f>16242776</f>
        <v>1.6242776E7</v>
      </c>
      <c r="U249" s="32" t="n">
        <f>5997</f>
        <v>5997.0</v>
      </c>
      <c r="V249" s="32" t="n">
        <f>31829333096</f>
        <v>3.1829333096E10</v>
      </c>
      <c r="W249" s="32" t="n">
        <f>11882246</f>
        <v>1.1882246E7</v>
      </c>
      <c r="X249" s="36" t="n">
        <f>21</f>
        <v>21.0</v>
      </c>
    </row>
    <row r="250">
      <c r="A250" s="27" t="s">
        <v>42</v>
      </c>
      <c r="B250" s="27" t="s">
        <v>798</v>
      </c>
      <c r="C250" s="27" t="s">
        <v>799</v>
      </c>
      <c r="D250" s="27" t="s">
        <v>800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10.0</v>
      </c>
      <c r="K250" s="33" t="n">
        <f>759</f>
        <v>759.0</v>
      </c>
      <c r="L250" s="34" t="s">
        <v>48</v>
      </c>
      <c r="M250" s="33" t="n">
        <f>908.6</f>
        <v>908.6</v>
      </c>
      <c r="N250" s="34" t="s">
        <v>214</v>
      </c>
      <c r="O250" s="33" t="n">
        <f>759</f>
        <v>759.0</v>
      </c>
      <c r="P250" s="34" t="s">
        <v>48</v>
      </c>
      <c r="Q250" s="33" t="n">
        <f>780.2</f>
        <v>780.2</v>
      </c>
      <c r="R250" s="34" t="s">
        <v>50</v>
      </c>
      <c r="S250" s="35" t="n">
        <f>782.64</f>
        <v>782.64</v>
      </c>
      <c r="T250" s="32" t="n">
        <f>222850</f>
        <v>222850.0</v>
      </c>
      <c r="U250" s="32" t="n">
        <f>10</f>
        <v>10.0</v>
      </c>
      <c r="V250" s="32" t="n">
        <f>174428578</f>
        <v>1.74428578E8</v>
      </c>
      <c r="W250" s="32" t="n">
        <f>7812</f>
        <v>7812.0</v>
      </c>
      <c r="X250" s="36" t="n">
        <f>15</f>
        <v>15.0</v>
      </c>
    </row>
    <row r="251">
      <c r="A251" s="27" t="s">
        <v>42</v>
      </c>
      <c r="B251" s="27" t="s">
        <v>801</v>
      </c>
      <c r="C251" s="27" t="s">
        <v>802</v>
      </c>
      <c r="D251" s="27" t="s">
        <v>803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10.0</v>
      </c>
      <c r="K251" s="33" t="n">
        <f>756.3</f>
        <v>756.3</v>
      </c>
      <c r="L251" s="34" t="s">
        <v>48</v>
      </c>
      <c r="M251" s="33" t="n">
        <f>887.1</f>
        <v>887.1</v>
      </c>
      <c r="N251" s="34" t="s">
        <v>214</v>
      </c>
      <c r="O251" s="33" t="n">
        <f>756.3</f>
        <v>756.3</v>
      </c>
      <c r="P251" s="34" t="s">
        <v>48</v>
      </c>
      <c r="Q251" s="33" t="n">
        <f>775</f>
        <v>775.0</v>
      </c>
      <c r="R251" s="34" t="s">
        <v>50</v>
      </c>
      <c r="S251" s="35" t="n">
        <f>776.87</f>
        <v>776.87</v>
      </c>
      <c r="T251" s="32" t="n">
        <f>252050</f>
        <v>252050.0</v>
      </c>
      <c r="U251" s="32" t="str">
        <f>"－"</f>
        <v>－</v>
      </c>
      <c r="V251" s="32" t="n">
        <f>195747280</f>
        <v>1.9574728E8</v>
      </c>
      <c r="W251" s="32" t="str">
        <f>"－"</f>
        <v>－</v>
      </c>
      <c r="X251" s="36" t="n">
        <f>13</f>
        <v>13.0</v>
      </c>
    </row>
    <row r="252">
      <c r="A252" s="27" t="s">
        <v>42</v>
      </c>
      <c r="B252" s="27" t="s">
        <v>804</v>
      </c>
      <c r="C252" s="27" t="s">
        <v>805</v>
      </c>
      <c r="D252" s="27" t="s">
        <v>806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15730</f>
        <v>15730.0</v>
      </c>
      <c r="L252" s="34" t="s">
        <v>48</v>
      </c>
      <c r="M252" s="33" t="n">
        <f>15730</f>
        <v>15730.0</v>
      </c>
      <c r="N252" s="34" t="s">
        <v>48</v>
      </c>
      <c r="O252" s="33" t="n">
        <f>13885</f>
        <v>13885.0</v>
      </c>
      <c r="P252" s="34" t="s">
        <v>49</v>
      </c>
      <c r="Q252" s="33" t="n">
        <f>15295</f>
        <v>15295.0</v>
      </c>
      <c r="R252" s="34" t="s">
        <v>50</v>
      </c>
      <c r="S252" s="35" t="n">
        <f>15070</f>
        <v>15070.0</v>
      </c>
      <c r="T252" s="32" t="n">
        <f>519058</f>
        <v>519058.0</v>
      </c>
      <c r="U252" s="32" t="n">
        <f>7</f>
        <v>7.0</v>
      </c>
      <c r="V252" s="32" t="n">
        <f>7569973920</f>
        <v>7.56997392E9</v>
      </c>
      <c r="W252" s="32" t="n">
        <f>104310</f>
        <v>104310.0</v>
      </c>
      <c r="X252" s="36" t="n">
        <f>21</f>
        <v>21.0</v>
      </c>
    </row>
    <row r="253">
      <c r="A253" s="27" t="s">
        <v>42</v>
      </c>
      <c r="B253" s="27" t="s">
        <v>807</v>
      </c>
      <c r="C253" s="27" t="s">
        <v>808</v>
      </c>
      <c r="D253" s="27" t="s">
        <v>809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1.0</v>
      </c>
      <c r="K253" s="33" t="n">
        <f>43460</f>
        <v>43460.0</v>
      </c>
      <c r="L253" s="34" t="s">
        <v>48</v>
      </c>
      <c r="M253" s="33" t="n">
        <f>44350</f>
        <v>44350.0</v>
      </c>
      <c r="N253" s="34" t="s">
        <v>261</v>
      </c>
      <c r="O253" s="33" t="n">
        <f>40540</f>
        <v>40540.0</v>
      </c>
      <c r="P253" s="34" t="s">
        <v>214</v>
      </c>
      <c r="Q253" s="33" t="n">
        <f>43750</f>
        <v>43750.0</v>
      </c>
      <c r="R253" s="34" t="s">
        <v>50</v>
      </c>
      <c r="S253" s="35" t="n">
        <f>42869.05</f>
        <v>42869.05</v>
      </c>
      <c r="T253" s="32" t="n">
        <f>87650</f>
        <v>87650.0</v>
      </c>
      <c r="U253" s="32" t="n">
        <f>10</f>
        <v>10.0</v>
      </c>
      <c r="V253" s="32" t="n">
        <f>3733272330</f>
        <v>3.73327233E9</v>
      </c>
      <c r="W253" s="32" t="n">
        <f>434000</f>
        <v>434000.0</v>
      </c>
      <c r="X253" s="36" t="n">
        <f>21</f>
        <v>21.0</v>
      </c>
    </row>
    <row r="254">
      <c r="A254" s="27" t="s">
        <v>42</v>
      </c>
      <c r="B254" s="27" t="s">
        <v>810</v>
      </c>
      <c r="C254" s="27" t="s">
        <v>811</v>
      </c>
      <c r="D254" s="27" t="s">
        <v>812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1.0</v>
      </c>
      <c r="K254" s="33" t="n">
        <f>18990</f>
        <v>18990.0</v>
      </c>
      <c r="L254" s="34" t="s">
        <v>48</v>
      </c>
      <c r="M254" s="33" t="n">
        <f>22725</f>
        <v>22725.0</v>
      </c>
      <c r="N254" s="34" t="s">
        <v>49</v>
      </c>
      <c r="O254" s="33" t="n">
        <f>18310</f>
        <v>18310.0</v>
      </c>
      <c r="P254" s="34" t="s">
        <v>261</v>
      </c>
      <c r="Q254" s="33" t="n">
        <f>18530</f>
        <v>18530.0</v>
      </c>
      <c r="R254" s="34" t="s">
        <v>50</v>
      </c>
      <c r="S254" s="35" t="n">
        <f>19463.33</f>
        <v>19463.33</v>
      </c>
      <c r="T254" s="32" t="n">
        <f>121950</f>
        <v>121950.0</v>
      </c>
      <c r="U254" s="32" t="str">
        <f>"－"</f>
        <v>－</v>
      </c>
      <c r="V254" s="32" t="n">
        <f>2432661595</f>
        <v>2.432661595E9</v>
      </c>
      <c r="W254" s="32" t="str">
        <f>"－"</f>
        <v>－</v>
      </c>
      <c r="X254" s="36" t="n">
        <f>21</f>
        <v>21.0</v>
      </c>
    </row>
    <row r="255">
      <c r="A255" s="27" t="s">
        <v>42</v>
      </c>
      <c r="B255" s="27" t="s">
        <v>813</v>
      </c>
      <c r="C255" s="27" t="s">
        <v>814</v>
      </c>
      <c r="D255" s="27" t="s">
        <v>815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1.0</v>
      </c>
      <c r="K255" s="33" t="n">
        <f>969</f>
        <v>969.0</v>
      </c>
      <c r="L255" s="34" t="s">
        <v>48</v>
      </c>
      <c r="M255" s="33" t="n">
        <f>969</f>
        <v>969.0</v>
      </c>
      <c r="N255" s="34" t="s">
        <v>48</v>
      </c>
      <c r="O255" s="33" t="n">
        <f>765</f>
        <v>765.0</v>
      </c>
      <c r="P255" s="34" t="s">
        <v>49</v>
      </c>
      <c r="Q255" s="33" t="n">
        <f>849</f>
        <v>849.0</v>
      </c>
      <c r="R255" s="34" t="s">
        <v>50</v>
      </c>
      <c r="S255" s="35" t="n">
        <f>849.48</f>
        <v>849.48</v>
      </c>
      <c r="T255" s="32" t="n">
        <f>118737</f>
        <v>118737.0</v>
      </c>
      <c r="U255" s="32" t="str">
        <f>"－"</f>
        <v>－</v>
      </c>
      <c r="V255" s="32" t="n">
        <f>101188630</f>
        <v>1.0118863E8</v>
      </c>
      <c r="W255" s="32" t="str">
        <f>"－"</f>
        <v>－</v>
      </c>
      <c r="X255" s="36" t="n">
        <f>21</f>
        <v>21.0</v>
      </c>
    </row>
    <row r="256">
      <c r="A256" s="27" t="s">
        <v>42</v>
      </c>
      <c r="B256" s="27" t="s">
        <v>816</v>
      </c>
      <c r="C256" s="27" t="s">
        <v>817</v>
      </c>
      <c r="D256" s="27" t="s">
        <v>818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252.4</f>
        <v>252.4</v>
      </c>
      <c r="L256" s="34" t="s">
        <v>48</v>
      </c>
      <c r="M256" s="33" t="n">
        <f>283.2</f>
        <v>283.2</v>
      </c>
      <c r="N256" s="34" t="s">
        <v>49</v>
      </c>
      <c r="O256" s="33" t="n">
        <f>202</f>
        <v>202.0</v>
      </c>
      <c r="P256" s="34" t="s">
        <v>247</v>
      </c>
      <c r="Q256" s="33" t="n">
        <f>233.9</f>
        <v>233.9</v>
      </c>
      <c r="R256" s="34" t="s">
        <v>50</v>
      </c>
      <c r="S256" s="35" t="n">
        <f>230.55</f>
        <v>230.55</v>
      </c>
      <c r="T256" s="32" t="n">
        <f>112460</f>
        <v>112460.0</v>
      </c>
      <c r="U256" s="32" t="str">
        <f>"－"</f>
        <v>－</v>
      </c>
      <c r="V256" s="32" t="n">
        <f>25963519</f>
        <v>2.5963519E7</v>
      </c>
      <c r="W256" s="32" t="str">
        <f>"－"</f>
        <v>－</v>
      </c>
      <c r="X256" s="36" t="n">
        <f>21</f>
        <v>21.0</v>
      </c>
    </row>
    <row r="257">
      <c r="A257" s="27" t="s">
        <v>42</v>
      </c>
      <c r="B257" s="27" t="s">
        <v>819</v>
      </c>
      <c r="C257" s="27" t="s">
        <v>820</v>
      </c>
      <c r="D257" s="27" t="s">
        <v>821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10.0</v>
      </c>
      <c r="K257" s="33" t="n">
        <f>778.8</f>
        <v>778.8</v>
      </c>
      <c r="L257" s="34" t="s">
        <v>48</v>
      </c>
      <c r="M257" s="33" t="n">
        <f>778.8</f>
        <v>778.8</v>
      </c>
      <c r="N257" s="34" t="s">
        <v>48</v>
      </c>
      <c r="O257" s="33" t="n">
        <f>732</f>
        <v>732.0</v>
      </c>
      <c r="P257" s="34" t="s">
        <v>214</v>
      </c>
      <c r="Q257" s="33" t="n">
        <f>752.4</f>
        <v>752.4</v>
      </c>
      <c r="R257" s="34" t="s">
        <v>50</v>
      </c>
      <c r="S257" s="35" t="n">
        <f>751.51</f>
        <v>751.51</v>
      </c>
      <c r="T257" s="32" t="n">
        <f>5439580</f>
        <v>5439580.0</v>
      </c>
      <c r="U257" s="32" t="n">
        <f>5067880</f>
        <v>5067880.0</v>
      </c>
      <c r="V257" s="32" t="n">
        <f>4137041163</f>
        <v>4.137041163E9</v>
      </c>
      <c r="W257" s="32" t="n">
        <f>3858771950</f>
        <v>3.85877195E9</v>
      </c>
      <c r="X257" s="36" t="n">
        <f>21</f>
        <v>21.0</v>
      </c>
    </row>
    <row r="258">
      <c r="A258" s="27" t="s">
        <v>42</v>
      </c>
      <c r="B258" s="27" t="s">
        <v>822</v>
      </c>
      <c r="C258" s="27" t="s">
        <v>823</v>
      </c>
      <c r="D258" s="27" t="s">
        <v>824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1.0</v>
      </c>
      <c r="K258" s="33" t="n">
        <f>1175</f>
        <v>1175.0</v>
      </c>
      <c r="L258" s="34" t="s">
        <v>48</v>
      </c>
      <c r="M258" s="33" t="n">
        <f>1177</f>
        <v>1177.0</v>
      </c>
      <c r="N258" s="34" t="s">
        <v>48</v>
      </c>
      <c r="O258" s="33" t="n">
        <f>1037</f>
        <v>1037.0</v>
      </c>
      <c r="P258" s="34" t="s">
        <v>49</v>
      </c>
      <c r="Q258" s="33" t="n">
        <f>1140</f>
        <v>1140.0</v>
      </c>
      <c r="R258" s="34" t="s">
        <v>50</v>
      </c>
      <c r="S258" s="35" t="n">
        <f>1110.71</f>
        <v>1110.71</v>
      </c>
      <c r="T258" s="32" t="n">
        <f>298789</f>
        <v>298789.0</v>
      </c>
      <c r="U258" s="32" t="str">
        <f>"－"</f>
        <v>－</v>
      </c>
      <c r="V258" s="32" t="n">
        <f>332639343</f>
        <v>3.32639343E8</v>
      </c>
      <c r="W258" s="32" t="str">
        <f>"－"</f>
        <v>－</v>
      </c>
      <c r="X258" s="36" t="n">
        <f>21</f>
        <v>21.0</v>
      </c>
    </row>
    <row r="259">
      <c r="A259" s="27" t="s">
        <v>42</v>
      </c>
      <c r="B259" s="27" t="s">
        <v>825</v>
      </c>
      <c r="C259" s="27" t="s">
        <v>826</v>
      </c>
      <c r="D259" s="27" t="s">
        <v>827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1.0</v>
      </c>
      <c r="K259" s="33" t="n">
        <f>1171</f>
        <v>1171.0</v>
      </c>
      <c r="L259" s="34" t="s">
        <v>48</v>
      </c>
      <c r="M259" s="33" t="n">
        <f>1174</f>
        <v>1174.0</v>
      </c>
      <c r="N259" s="34" t="s">
        <v>67</v>
      </c>
      <c r="O259" s="33" t="n">
        <f>1076</f>
        <v>1076.0</v>
      </c>
      <c r="P259" s="34" t="s">
        <v>49</v>
      </c>
      <c r="Q259" s="33" t="n">
        <f>1143</f>
        <v>1143.0</v>
      </c>
      <c r="R259" s="34" t="s">
        <v>50</v>
      </c>
      <c r="S259" s="35" t="n">
        <f>1125.9</f>
        <v>1125.9</v>
      </c>
      <c r="T259" s="32" t="n">
        <f>240482</f>
        <v>240482.0</v>
      </c>
      <c r="U259" s="32" t="n">
        <f>1</f>
        <v>1.0</v>
      </c>
      <c r="V259" s="32" t="n">
        <f>271010848</f>
        <v>2.71010848E8</v>
      </c>
      <c r="W259" s="32" t="n">
        <f>1129</f>
        <v>1129.0</v>
      </c>
      <c r="X259" s="36" t="n">
        <f>21</f>
        <v>21.0</v>
      </c>
    </row>
    <row r="260">
      <c r="A260" s="27" t="s">
        <v>42</v>
      </c>
      <c r="B260" s="27" t="s">
        <v>828</v>
      </c>
      <c r="C260" s="27" t="s">
        <v>829</v>
      </c>
      <c r="D260" s="27" t="s">
        <v>830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1.0</v>
      </c>
      <c r="K260" s="33" t="n">
        <f>722</f>
        <v>722.0</v>
      </c>
      <c r="L260" s="34" t="s">
        <v>48</v>
      </c>
      <c r="M260" s="33" t="n">
        <f>722</f>
        <v>722.0</v>
      </c>
      <c r="N260" s="34" t="s">
        <v>48</v>
      </c>
      <c r="O260" s="33" t="n">
        <f>635</f>
        <v>635.0</v>
      </c>
      <c r="P260" s="34" t="s">
        <v>104</v>
      </c>
      <c r="Q260" s="33" t="n">
        <f>682</f>
        <v>682.0</v>
      </c>
      <c r="R260" s="34" t="s">
        <v>50</v>
      </c>
      <c r="S260" s="35" t="n">
        <f>662</f>
        <v>662.0</v>
      </c>
      <c r="T260" s="32" t="n">
        <f>356166</f>
        <v>356166.0</v>
      </c>
      <c r="U260" s="32" t="str">
        <f>"－"</f>
        <v>－</v>
      </c>
      <c r="V260" s="32" t="n">
        <f>236319105</f>
        <v>2.36319105E8</v>
      </c>
      <c r="W260" s="32" t="str">
        <f>"－"</f>
        <v>－</v>
      </c>
      <c r="X260" s="36" t="n">
        <f>21</f>
        <v>21.0</v>
      </c>
    </row>
    <row r="261">
      <c r="A261" s="27" t="s">
        <v>42</v>
      </c>
      <c r="B261" s="27" t="s">
        <v>831</v>
      </c>
      <c r="C261" s="27" t="s">
        <v>832</v>
      </c>
      <c r="D261" s="27" t="s">
        <v>833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215</f>
        <v>215.0</v>
      </c>
      <c r="L261" s="34" t="s">
        <v>48</v>
      </c>
      <c r="M261" s="33" t="n">
        <f>219.5</f>
        <v>219.5</v>
      </c>
      <c r="N261" s="34" t="s">
        <v>67</v>
      </c>
      <c r="O261" s="33" t="n">
        <f>211.7</f>
        <v>211.7</v>
      </c>
      <c r="P261" s="34" t="s">
        <v>698</v>
      </c>
      <c r="Q261" s="33" t="n">
        <f>214.3</f>
        <v>214.3</v>
      </c>
      <c r="R261" s="34" t="s">
        <v>50</v>
      </c>
      <c r="S261" s="35" t="n">
        <f>215.68</f>
        <v>215.68</v>
      </c>
      <c r="T261" s="32" t="n">
        <f>11807900</f>
        <v>1.18079E7</v>
      </c>
      <c r="U261" s="32" t="str">
        <f>"－"</f>
        <v>－</v>
      </c>
      <c r="V261" s="32" t="n">
        <f>2547272886</f>
        <v>2.547272886E9</v>
      </c>
      <c r="W261" s="32" t="str">
        <f>"－"</f>
        <v>－</v>
      </c>
      <c r="X261" s="36" t="n">
        <f>21</f>
        <v>21.0</v>
      </c>
    </row>
    <row r="262">
      <c r="A262" s="27" t="s">
        <v>42</v>
      </c>
      <c r="B262" s="27" t="s">
        <v>834</v>
      </c>
      <c r="C262" s="27" t="s">
        <v>835</v>
      </c>
      <c r="D262" s="27" t="s">
        <v>836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209.8</f>
        <v>209.8</v>
      </c>
      <c r="L262" s="34" t="s">
        <v>48</v>
      </c>
      <c r="M262" s="33" t="n">
        <f>211.5</f>
        <v>211.5</v>
      </c>
      <c r="N262" s="34" t="s">
        <v>67</v>
      </c>
      <c r="O262" s="33" t="n">
        <f>201.4</f>
        <v>201.4</v>
      </c>
      <c r="P262" s="34" t="s">
        <v>49</v>
      </c>
      <c r="Q262" s="33" t="n">
        <f>206.5</f>
        <v>206.5</v>
      </c>
      <c r="R262" s="34" t="s">
        <v>50</v>
      </c>
      <c r="S262" s="35" t="n">
        <f>207.88</f>
        <v>207.88</v>
      </c>
      <c r="T262" s="32" t="n">
        <f>1350110</f>
        <v>1350110.0</v>
      </c>
      <c r="U262" s="32" t="n">
        <f>8130</f>
        <v>8130.0</v>
      </c>
      <c r="V262" s="32" t="n">
        <f>280211213</f>
        <v>2.80211213E8</v>
      </c>
      <c r="W262" s="32" t="n">
        <f>1684750</f>
        <v>1684750.0</v>
      </c>
      <c r="X262" s="36" t="n">
        <f>21</f>
        <v>21.0</v>
      </c>
    </row>
    <row r="263">
      <c r="A263" s="27" t="s">
        <v>42</v>
      </c>
      <c r="B263" s="27" t="s">
        <v>837</v>
      </c>
      <c r="C263" s="27" t="s">
        <v>838</v>
      </c>
      <c r="D263" s="27" t="s">
        <v>839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210.8</f>
        <v>210.8</v>
      </c>
      <c r="L263" s="34" t="s">
        <v>48</v>
      </c>
      <c r="M263" s="33" t="n">
        <f>214.8</f>
        <v>214.8</v>
      </c>
      <c r="N263" s="34" t="s">
        <v>198</v>
      </c>
      <c r="O263" s="33" t="n">
        <f>190</f>
        <v>190.0</v>
      </c>
      <c r="P263" s="34" t="s">
        <v>49</v>
      </c>
      <c r="Q263" s="33" t="n">
        <f>207.6</f>
        <v>207.6</v>
      </c>
      <c r="R263" s="34" t="s">
        <v>50</v>
      </c>
      <c r="S263" s="35" t="n">
        <f>208.28</f>
        <v>208.28</v>
      </c>
      <c r="T263" s="32" t="n">
        <f>830060</f>
        <v>830060.0</v>
      </c>
      <c r="U263" s="32" t="n">
        <f>900</f>
        <v>900.0</v>
      </c>
      <c r="V263" s="32" t="n">
        <f>171888859</f>
        <v>1.71888859E8</v>
      </c>
      <c r="W263" s="32" t="n">
        <f>189313</f>
        <v>189313.0</v>
      </c>
      <c r="X263" s="36" t="n">
        <f>21</f>
        <v>21.0</v>
      </c>
    </row>
    <row r="264">
      <c r="A264" s="27" t="s">
        <v>42</v>
      </c>
      <c r="B264" s="27" t="s">
        <v>840</v>
      </c>
      <c r="C264" s="27" t="s">
        <v>841</v>
      </c>
      <c r="D264" s="27" t="s">
        <v>842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220</f>
        <v>220.0</v>
      </c>
      <c r="L264" s="34" t="s">
        <v>48</v>
      </c>
      <c r="M264" s="33" t="n">
        <f>220</f>
        <v>220.0</v>
      </c>
      <c r="N264" s="34" t="s">
        <v>48</v>
      </c>
      <c r="O264" s="33" t="n">
        <f>195</f>
        <v>195.0</v>
      </c>
      <c r="P264" s="34" t="s">
        <v>49</v>
      </c>
      <c r="Q264" s="33" t="n">
        <f>207.3</f>
        <v>207.3</v>
      </c>
      <c r="R264" s="34" t="s">
        <v>50</v>
      </c>
      <c r="S264" s="35" t="n">
        <f>207.2</f>
        <v>207.2</v>
      </c>
      <c r="T264" s="32" t="n">
        <f>2452840</f>
        <v>2452840.0</v>
      </c>
      <c r="U264" s="32" t="n">
        <f>1720</f>
        <v>1720.0</v>
      </c>
      <c r="V264" s="32" t="n">
        <f>507789535</f>
        <v>5.07789535E8</v>
      </c>
      <c r="W264" s="32" t="n">
        <f>327582</f>
        <v>327582.0</v>
      </c>
      <c r="X264" s="36" t="n">
        <f>21</f>
        <v>21.0</v>
      </c>
    </row>
    <row r="265">
      <c r="A265" s="27" t="s">
        <v>42</v>
      </c>
      <c r="B265" s="27" t="s">
        <v>843</v>
      </c>
      <c r="C265" s="27" t="s">
        <v>844</v>
      </c>
      <c r="D265" s="27" t="s">
        <v>845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199</f>
        <v>199.0</v>
      </c>
      <c r="L265" s="34" t="s">
        <v>48</v>
      </c>
      <c r="M265" s="33" t="n">
        <f>209</f>
        <v>209.0</v>
      </c>
      <c r="N265" s="34" t="s">
        <v>846</v>
      </c>
      <c r="O265" s="33" t="n">
        <f>199</f>
        <v>199.0</v>
      </c>
      <c r="P265" s="34" t="s">
        <v>48</v>
      </c>
      <c r="Q265" s="33" t="n">
        <f>199.3</f>
        <v>199.3</v>
      </c>
      <c r="R265" s="34" t="s">
        <v>50</v>
      </c>
      <c r="S265" s="35" t="n">
        <f>199.86</f>
        <v>199.86</v>
      </c>
      <c r="T265" s="32" t="n">
        <f>1515130</f>
        <v>1515130.0</v>
      </c>
      <c r="U265" s="32" t="n">
        <f>1481860</f>
        <v>1481860.0</v>
      </c>
      <c r="V265" s="32" t="n">
        <f>302578669</f>
        <v>3.02578669E8</v>
      </c>
      <c r="W265" s="32" t="n">
        <f>295924898</f>
        <v>2.95924898E8</v>
      </c>
      <c r="X265" s="36" t="n">
        <f>20</f>
        <v>20.0</v>
      </c>
    </row>
    <row r="266">
      <c r="A266" s="27" t="s">
        <v>42</v>
      </c>
      <c r="B266" s="27" t="s">
        <v>847</v>
      </c>
      <c r="C266" s="27" t="s">
        <v>848</v>
      </c>
      <c r="D266" s="27" t="s">
        <v>849</v>
      </c>
      <c r="E266" s="28" t="s">
        <v>850</v>
      </c>
      <c r="F266" s="29" t="s">
        <v>851</v>
      </c>
      <c r="G266" s="30" t="s">
        <v>852</v>
      </c>
      <c r="H266" s="31"/>
      <c r="I266" s="31" t="s">
        <v>47</v>
      </c>
      <c r="J266" s="32" t="n">
        <v>1.0</v>
      </c>
      <c r="K266" s="33" t="n">
        <f>2030</f>
        <v>2030.0</v>
      </c>
      <c r="L266" s="34" t="s">
        <v>84</v>
      </c>
      <c r="M266" s="33" t="n">
        <f>2063</f>
        <v>2063.0</v>
      </c>
      <c r="N266" s="34" t="s">
        <v>50</v>
      </c>
      <c r="O266" s="33" t="n">
        <f>2009</f>
        <v>2009.0</v>
      </c>
      <c r="P266" s="34" t="s">
        <v>846</v>
      </c>
      <c r="Q266" s="33" t="n">
        <f>2062</f>
        <v>2062.0</v>
      </c>
      <c r="R266" s="34" t="s">
        <v>50</v>
      </c>
      <c r="S266" s="35" t="n">
        <f>2041</f>
        <v>2041.0</v>
      </c>
      <c r="T266" s="32" t="n">
        <f>506818</f>
        <v>506818.0</v>
      </c>
      <c r="U266" s="32" t="n">
        <f>9</f>
        <v>9.0</v>
      </c>
      <c r="V266" s="32" t="n">
        <f>1028813582</f>
        <v>1.028813582E9</v>
      </c>
      <c r="W266" s="32" t="n">
        <f>18135</f>
        <v>18135.0</v>
      </c>
      <c r="X266" s="36" t="n">
        <f>9</f>
        <v>9.0</v>
      </c>
    </row>
    <row r="267">
      <c r="A267" s="27" t="s">
        <v>42</v>
      </c>
      <c r="B267" s="27" t="s">
        <v>853</v>
      </c>
      <c r="C267" s="27" t="s">
        <v>854</v>
      </c>
      <c r="D267" s="27" t="s">
        <v>855</v>
      </c>
      <c r="E267" s="28" t="s">
        <v>850</v>
      </c>
      <c r="F267" s="29" t="s">
        <v>851</v>
      </c>
      <c r="G267" s="30" t="s">
        <v>856</v>
      </c>
      <c r="H267" s="31"/>
      <c r="I267" s="31" t="s">
        <v>47</v>
      </c>
      <c r="J267" s="32" t="n">
        <v>1.0</v>
      </c>
      <c r="K267" s="33" t="n">
        <f>1015</f>
        <v>1015.0</v>
      </c>
      <c r="L267" s="34" t="s">
        <v>215</v>
      </c>
      <c r="M267" s="33" t="n">
        <f>1040</f>
        <v>1040.0</v>
      </c>
      <c r="N267" s="34" t="s">
        <v>50</v>
      </c>
      <c r="O267" s="33" t="n">
        <f>1007</f>
        <v>1007.0</v>
      </c>
      <c r="P267" s="34" t="s">
        <v>261</v>
      </c>
      <c r="Q267" s="33" t="n">
        <f>1040</f>
        <v>1040.0</v>
      </c>
      <c r="R267" s="34" t="s">
        <v>50</v>
      </c>
      <c r="S267" s="35" t="n">
        <f>1024</f>
        <v>1024.0</v>
      </c>
      <c r="T267" s="32" t="n">
        <f>54340</f>
        <v>54340.0</v>
      </c>
      <c r="U267" s="32" t="n">
        <f>20000</f>
        <v>20000.0</v>
      </c>
      <c r="V267" s="32" t="n">
        <f>55458765</f>
        <v>5.5458765E7</v>
      </c>
      <c r="W267" s="32" t="n">
        <f>20264128</f>
        <v>2.0264128E7</v>
      </c>
      <c r="X267" s="36" t="n">
        <f>7</f>
        <v>7.0</v>
      </c>
    </row>
    <row r="268">
      <c r="A268" s="27" t="s">
        <v>42</v>
      </c>
      <c r="B268" s="27" t="s">
        <v>857</v>
      </c>
      <c r="C268" s="27" t="s">
        <v>858</v>
      </c>
      <c r="D268" s="27" t="s">
        <v>859</v>
      </c>
      <c r="E268" s="28" t="s">
        <v>850</v>
      </c>
      <c r="F268" s="29" t="s">
        <v>851</v>
      </c>
      <c r="G268" s="30" t="s">
        <v>856</v>
      </c>
      <c r="H268" s="31"/>
      <c r="I268" s="31" t="s">
        <v>47</v>
      </c>
      <c r="J268" s="32" t="n">
        <v>1.0</v>
      </c>
      <c r="K268" s="33" t="n">
        <f>1012</f>
        <v>1012.0</v>
      </c>
      <c r="L268" s="34" t="s">
        <v>215</v>
      </c>
      <c r="M268" s="33" t="n">
        <f>1023</f>
        <v>1023.0</v>
      </c>
      <c r="N268" s="34" t="s">
        <v>50</v>
      </c>
      <c r="O268" s="33" t="n">
        <f>1003</f>
        <v>1003.0</v>
      </c>
      <c r="P268" s="34" t="s">
        <v>261</v>
      </c>
      <c r="Q268" s="33" t="n">
        <f>1021</f>
        <v>1021.0</v>
      </c>
      <c r="R268" s="34" t="s">
        <v>50</v>
      </c>
      <c r="S268" s="35" t="n">
        <f>1016.29</f>
        <v>1016.29</v>
      </c>
      <c r="T268" s="32" t="n">
        <f>648680</f>
        <v>648680.0</v>
      </c>
      <c r="U268" s="32" t="n">
        <f>325000</f>
        <v>325000.0</v>
      </c>
      <c r="V268" s="32" t="n">
        <f>655701664</f>
        <v>6.55701664E8</v>
      </c>
      <c r="W268" s="32" t="n">
        <f>328160577</f>
        <v>3.28160577E8</v>
      </c>
      <c r="X268" s="36" t="n">
        <f>7</f>
        <v>7.0</v>
      </c>
    </row>
    <row r="269">
      <c r="A269" s="27" t="s">
        <v>42</v>
      </c>
      <c r="B269" s="27" t="s">
        <v>860</v>
      </c>
      <c r="C269" s="27" t="s">
        <v>861</v>
      </c>
      <c r="D269" s="27" t="s">
        <v>862</v>
      </c>
      <c r="E269" s="28" t="s">
        <v>850</v>
      </c>
      <c r="F269" s="29" t="s">
        <v>851</v>
      </c>
      <c r="G269" s="30" t="s">
        <v>863</v>
      </c>
      <c r="H269" s="31"/>
      <c r="I269" s="31" t="s">
        <v>47</v>
      </c>
      <c r="J269" s="32" t="n">
        <v>10.0</v>
      </c>
      <c r="K269" s="33" t="n">
        <f>500.6</f>
        <v>500.6</v>
      </c>
      <c r="L269" s="34" t="s">
        <v>153</v>
      </c>
      <c r="M269" s="33" t="n">
        <f>504.6</f>
        <v>504.6</v>
      </c>
      <c r="N269" s="34" t="s">
        <v>153</v>
      </c>
      <c r="O269" s="33" t="n">
        <f>499.4</f>
        <v>499.4</v>
      </c>
      <c r="P269" s="34" t="s">
        <v>50</v>
      </c>
      <c r="Q269" s="33" t="n">
        <f>500</f>
        <v>500.0</v>
      </c>
      <c r="R269" s="34" t="s">
        <v>50</v>
      </c>
      <c r="S269" s="35" t="n">
        <f>500.37</f>
        <v>500.37</v>
      </c>
      <c r="T269" s="32" t="n">
        <f>123670</f>
        <v>123670.0</v>
      </c>
      <c r="U269" s="32" t="str">
        <f>"－"</f>
        <v>－</v>
      </c>
      <c r="V269" s="32" t="n">
        <f>61817541</f>
        <v>6.1817541E7</v>
      </c>
      <c r="W269" s="32" t="str">
        <f>"－"</f>
        <v>－</v>
      </c>
      <c r="X269" s="36" t="n">
        <f>3</f>
        <v>3.0</v>
      </c>
    </row>
    <row r="270">
      <c r="A270" s="27" t="s">
        <v>42</v>
      </c>
      <c r="B270" s="27" t="s">
        <v>864</v>
      </c>
      <c r="C270" s="27" t="s">
        <v>865</v>
      </c>
      <c r="D270" s="27" t="s">
        <v>866</v>
      </c>
      <c r="E270" s="28" t="s">
        <v>850</v>
      </c>
      <c r="F270" s="29" t="s">
        <v>851</v>
      </c>
      <c r="G270" s="30" t="s">
        <v>863</v>
      </c>
      <c r="H270" s="31"/>
      <c r="I270" s="31" t="s">
        <v>47</v>
      </c>
      <c r="J270" s="32" t="n">
        <v>10.0</v>
      </c>
      <c r="K270" s="33" t="n">
        <f>200.7</f>
        <v>200.7</v>
      </c>
      <c r="L270" s="34" t="s">
        <v>153</v>
      </c>
      <c r="M270" s="33" t="n">
        <f>203.9</f>
        <v>203.9</v>
      </c>
      <c r="N270" s="34" t="s">
        <v>153</v>
      </c>
      <c r="O270" s="33" t="n">
        <f>199.1</f>
        <v>199.1</v>
      </c>
      <c r="P270" s="34" t="s">
        <v>50</v>
      </c>
      <c r="Q270" s="33" t="n">
        <f>200.8</f>
        <v>200.8</v>
      </c>
      <c r="R270" s="34" t="s">
        <v>50</v>
      </c>
      <c r="S270" s="35" t="n">
        <f>202</f>
        <v>202.0</v>
      </c>
      <c r="T270" s="32" t="n">
        <f>825590</f>
        <v>825590.0</v>
      </c>
      <c r="U270" s="32" t="str">
        <f>"－"</f>
        <v>－</v>
      </c>
      <c r="V270" s="32" t="n">
        <f>165486225</f>
        <v>1.65486225E8</v>
      </c>
      <c r="W270" s="32" t="str">
        <f>"－"</f>
        <v>－</v>
      </c>
      <c r="X270" s="36" t="n">
        <f>3</f>
        <v>3.0</v>
      </c>
    </row>
    <row r="271">
      <c r="A271" s="27" t="s">
        <v>42</v>
      </c>
      <c r="B271" s="27" t="s">
        <v>867</v>
      </c>
      <c r="C271" s="27" t="s">
        <v>868</v>
      </c>
      <c r="D271" s="27" t="s">
        <v>869</v>
      </c>
      <c r="E271" s="28" t="s">
        <v>850</v>
      </c>
      <c r="F271" s="29" t="s">
        <v>851</v>
      </c>
      <c r="G271" s="30" t="s">
        <v>863</v>
      </c>
      <c r="H271" s="31"/>
      <c r="I271" s="31" t="s">
        <v>47</v>
      </c>
      <c r="J271" s="32" t="n">
        <v>10.0</v>
      </c>
      <c r="K271" s="33" t="n">
        <f>200.4</f>
        <v>200.4</v>
      </c>
      <c r="L271" s="34" t="s">
        <v>153</v>
      </c>
      <c r="M271" s="33" t="n">
        <f>200.9</f>
        <v>200.9</v>
      </c>
      <c r="N271" s="34" t="s">
        <v>153</v>
      </c>
      <c r="O271" s="33" t="n">
        <f>197.5</f>
        <v>197.5</v>
      </c>
      <c r="P271" s="34" t="s">
        <v>50</v>
      </c>
      <c r="Q271" s="33" t="n">
        <f>199.4</f>
        <v>199.4</v>
      </c>
      <c r="R271" s="34" t="s">
        <v>50</v>
      </c>
      <c r="S271" s="35" t="n">
        <f>199.7</f>
        <v>199.7</v>
      </c>
      <c r="T271" s="32" t="n">
        <f>554540</f>
        <v>554540.0</v>
      </c>
      <c r="U271" s="32" t="str">
        <f>"－"</f>
        <v>－</v>
      </c>
      <c r="V271" s="32" t="n">
        <f>110725541</f>
        <v>1.10725541E8</v>
      </c>
      <c r="W271" s="32" t="str">
        <f>"－"</f>
        <v>－</v>
      </c>
      <c r="X271" s="36" t="n">
        <f>3</f>
        <v>3.0</v>
      </c>
    </row>
    <row r="272">
      <c r="A272" s="27" t="s">
        <v>42</v>
      </c>
      <c r="B272" s="27" t="s">
        <v>870</v>
      </c>
      <c r="C272" s="27" t="s">
        <v>871</v>
      </c>
      <c r="D272" s="27" t="s">
        <v>872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906.8</f>
        <v>906.8</v>
      </c>
      <c r="L272" s="34" t="s">
        <v>48</v>
      </c>
      <c r="M272" s="33" t="n">
        <f>924.9</f>
        <v>924.9</v>
      </c>
      <c r="N272" s="34" t="s">
        <v>49</v>
      </c>
      <c r="O272" s="33" t="n">
        <f>901.1</f>
        <v>901.1</v>
      </c>
      <c r="P272" s="34" t="s">
        <v>48</v>
      </c>
      <c r="Q272" s="33" t="n">
        <f>913.2</f>
        <v>913.2</v>
      </c>
      <c r="R272" s="34" t="s">
        <v>50</v>
      </c>
      <c r="S272" s="35" t="n">
        <f>914.34</f>
        <v>914.34</v>
      </c>
      <c r="T272" s="32" t="n">
        <f>38077680</f>
        <v>3.807768E7</v>
      </c>
      <c r="U272" s="32" t="n">
        <f>35970820</f>
        <v>3.597082E7</v>
      </c>
      <c r="V272" s="32" t="n">
        <f>34813695519</f>
        <v>3.4813695519E10</v>
      </c>
      <c r="W272" s="32" t="n">
        <f>32888131860</f>
        <v>3.288813186E10</v>
      </c>
      <c r="X272" s="36" t="n">
        <f>21</f>
        <v>21.0</v>
      </c>
    </row>
    <row r="273">
      <c r="A273" s="27" t="s">
        <v>42</v>
      </c>
      <c r="B273" s="27" t="s">
        <v>873</v>
      </c>
      <c r="C273" s="27" t="s">
        <v>874</v>
      </c>
      <c r="D273" s="27" t="s">
        <v>875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1096.5</f>
        <v>1096.5</v>
      </c>
      <c r="L273" s="34" t="s">
        <v>48</v>
      </c>
      <c r="M273" s="33" t="n">
        <f>1102</f>
        <v>1102.0</v>
      </c>
      <c r="N273" s="34" t="s">
        <v>67</v>
      </c>
      <c r="O273" s="33" t="n">
        <f>1058</f>
        <v>1058.0</v>
      </c>
      <c r="P273" s="34" t="s">
        <v>49</v>
      </c>
      <c r="Q273" s="33" t="n">
        <f>1080</f>
        <v>1080.0</v>
      </c>
      <c r="R273" s="34" t="s">
        <v>50</v>
      </c>
      <c r="S273" s="35" t="n">
        <f>1084.93</f>
        <v>1084.93</v>
      </c>
      <c r="T273" s="32" t="n">
        <f>1688700</f>
        <v>1688700.0</v>
      </c>
      <c r="U273" s="32" t="n">
        <f>470320</f>
        <v>470320.0</v>
      </c>
      <c r="V273" s="32" t="n">
        <f>1833561756</f>
        <v>1.833561756E9</v>
      </c>
      <c r="W273" s="32" t="n">
        <f>509570211</f>
        <v>5.09570211E8</v>
      </c>
      <c r="X273" s="36" t="n">
        <f>21</f>
        <v>21.0</v>
      </c>
    </row>
    <row r="274">
      <c r="A274" s="27" t="s">
        <v>42</v>
      </c>
      <c r="B274" s="27" t="s">
        <v>876</v>
      </c>
      <c r="C274" s="27" t="s">
        <v>877</v>
      </c>
      <c r="D274" s="27" t="s">
        <v>878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786</f>
        <v>786.0</v>
      </c>
      <c r="L274" s="34" t="s">
        <v>48</v>
      </c>
      <c r="M274" s="33" t="n">
        <f>800</f>
        <v>800.0</v>
      </c>
      <c r="N274" s="34" t="s">
        <v>88</v>
      </c>
      <c r="O274" s="33" t="n">
        <f>786</f>
        <v>786.0</v>
      </c>
      <c r="P274" s="34" t="s">
        <v>48</v>
      </c>
      <c r="Q274" s="33" t="n">
        <f>792</f>
        <v>792.0</v>
      </c>
      <c r="R274" s="34" t="s">
        <v>50</v>
      </c>
      <c r="S274" s="35" t="n">
        <f>793.31</f>
        <v>793.31</v>
      </c>
      <c r="T274" s="32" t="n">
        <f>30296570</f>
        <v>3.029657E7</v>
      </c>
      <c r="U274" s="32" t="n">
        <f>29845260</f>
        <v>2.984526E7</v>
      </c>
      <c r="V274" s="32" t="n">
        <f>23928948148</f>
        <v>2.3928948148E10</v>
      </c>
      <c r="W274" s="32" t="n">
        <f>23570543064</f>
        <v>2.3570543064E10</v>
      </c>
      <c r="X274" s="36" t="n">
        <f>21</f>
        <v>21.0</v>
      </c>
    </row>
    <row r="275">
      <c r="A275" s="27" t="s">
        <v>42</v>
      </c>
      <c r="B275" s="27" t="s">
        <v>879</v>
      </c>
      <c r="C275" s="27" t="s">
        <v>880</v>
      </c>
      <c r="D275" s="27" t="s">
        <v>881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2462.5</f>
        <v>2462.5</v>
      </c>
      <c r="L275" s="34" t="s">
        <v>48</v>
      </c>
      <c r="M275" s="33" t="n">
        <f>2471</f>
        <v>2471.0</v>
      </c>
      <c r="N275" s="34" t="s">
        <v>48</v>
      </c>
      <c r="O275" s="33" t="n">
        <f>2198</f>
        <v>2198.0</v>
      </c>
      <c r="P275" s="34" t="s">
        <v>49</v>
      </c>
      <c r="Q275" s="33" t="n">
        <f>2431.5</f>
        <v>2431.5</v>
      </c>
      <c r="R275" s="34" t="s">
        <v>50</v>
      </c>
      <c r="S275" s="35" t="n">
        <f>2387.05</f>
        <v>2387.05</v>
      </c>
      <c r="T275" s="32" t="n">
        <f>1194590</f>
        <v>1194590.0</v>
      </c>
      <c r="U275" s="32" t="n">
        <f>750390</f>
        <v>750390.0</v>
      </c>
      <c r="V275" s="32" t="n">
        <f>2847626660</f>
        <v>2.84762666E9</v>
      </c>
      <c r="W275" s="32" t="n">
        <f>1803350475</f>
        <v>1.803350475E9</v>
      </c>
      <c r="X275" s="36" t="n">
        <f>21</f>
        <v>21.0</v>
      </c>
    </row>
    <row r="276">
      <c r="A276" s="27" t="s">
        <v>42</v>
      </c>
      <c r="B276" s="27" t="s">
        <v>882</v>
      </c>
      <c r="C276" s="27" t="s">
        <v>883</v>
      </c>
      <c r="D276" s="27" t="s">
        <v>884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1616.5</f>
        <v>1616.5</v>
      </c>
      <c r="L276" s="34" t="s">
        <v>48</v>
      </c>
      <c r="M276" s="33" t="n">
        <f>1634</f>
        <v>1634.0</v>
      </c>
      <c r="N276" s="34" t="s">
        <v>84</v>
      </c>
      <c r="O276" s="33" t="n">
        <f>1514</f>
        <v>1514.0</v>
      </c>
      <c r="P276" s="34" t="s">
        <v>198</v>
      </c>
      <c r="Q276" s="33" t="n">
        <f>1626.5</f>
        <v>1626.5</v>
      </c>
      <c r="R276" s="34" t="s">
        <v>50</v>
      </c>
      <c r="S276" s="35" t="n">
        <f>1590.79</f>
        <v>1590.79</v>
      </c>
      <c r="T276" s="32" t="n">
        <f>181510</f>
        <v>181510.0</v>
      </c>
      <c r="U276" s="32" t="n">
        <f>5080</f>
        <v>5080.0</v>
      </c>
      <c r="V276" s="32" t="n">
        <f>291726902</f>
        <v>2.91726902E8</v>
      </c>
      <c r="W276" s="32" t="n">
        <f>8203732</f>
        <v>8203732.0</v>
      </c>
      <c r="X276" s="36" t="n">
        <f>21</f>
        <v>21.0</v>
      </c>
    </row>
    <row r="277">
      <c r="A277" s="27" t="s">
        <v>42</v>
      </c>
      <c r="B277" s="27" t="s">
        <v>885</v>
      </c>
      <c r="C277" s="27" t="s">
        <v>886</v>
      </c>
      <c r="D277" s="27" t="s">
        <v>887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1408</f>
        <v>1408.0</v>
      </c>
      <c r="L277" s="34" t="s">
        <v>48</v>
      </c>
      <c r="M277" s="33" t="n">
        <f>1444</f>
        <v>1444.0</v>
      </c>
      <c r="N277" s="34" t="s">
        <v>50</v>
      </c>
      <c r="O277" s="33" t="n">
        <f>1299</f>
        <v>1299.0</v>
      </c>
      <c r="P277" s="34" t="s">
        <v>49</v>
      </c>
      <c r="Q277" s="33" t="n">
        <f>1436.5</f>
        <v>1436.5</v>
      </c>
      <c r="R277" s="34" t="s">
        <v>50</v>
      </c>
      <c r="S277" s="35" t="n">
        <f>1400.1</f>
        <v>1400.1</v>
      </c>
      <c r="T277" s="32" t="n">
        <f>612120</f>
        <v>612120.0</v>
      </c>
      <c r="U277" s="32" t="n">
        <f>145440</f>
        <v>145440.0</v>
      </c>
      <c r="V277" s="32" t="n">
        <f>855861654</f>
        <v>8.55861654E8</v>
      </c>
      <c r="W277" s="32" t="n">
        <f>207579024</f>
        <v>2.07579024E8</v>
      </c>
      <c r="X277" s="36" t="n">
        <f>21</f>
        <v>21.0</v>
      </c>
    </row>
    <row r="278">
      <c r="A278" s="27" t="s">
        <v>42</v>
      </c>
      <c r="B278" s="27" t="s">
        <v>888</v>
      </c>
      <c r="C278" s="27" t="s">
        <v>889</v>
      </c>
      <c r="D278" s="27" t="s">
        <v>890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10.0</v>
      </c>
      <c r="K278" s="33" t="n">
        <f>505</f>
        <v>505.0</v>
      </c>
      <c r="L278" s="34" t="s">
        <v>48</v>
      </c>
      <c r="M278" s="33" t="n">
        <f>533.3</f>
        <v>533.3</v>
      </c>
      <c r="N278" s="34" t="s">
        <v>316</v>
      </c>
      <c r="O278" s="33" t="n">
        <f>371.2</f>
        <v>371.2</v>
      </c>
      <c r="P278" s="34" t="s">
        <v>49</v>
      </c>
      <c r="Q278" s="33" t="n">
        <f>520.6</f>
        <v>520.6</v>
      </c>
      <c r="R278" s="34" t="s">
        <v>50</v>
      </c>
      <c r="S278" s="35" t="n">
        <f>475.35</f>
        <v>475.35</v>
      </c>
      <c r="T278" s="32" t="n">
        <f>45917770</f>
        <v>4.591777E7</v>
      </c>
      <c r="U278" s="32" t="n">
        <f>2448560</f>
        <v>2448560.0</v>
      </c>
      <c r="V278" s="32" t="n">
        <f>21531343725</f>
        <v>2.1531343725E10</v>
      </c>
      <c r="W278" s="32" t="n">
        <f>1153672874</f>
        <v>1.153672874E9</v>
      </c>
      <c r="X278" s="36" t="n">
        <f>21</f>
        <v>21.0</v>
      </c>
    </row>
    <row r="279">
      <c r="A279" s="27" t="s">
        <v>42</v>
      </c>
      <c r="B279" s="27" t="s">
        <v>891</v>
      </c>
      <c r="C279" s="27" t="s">
        <v>892</v>
      </c>
      <c r="D279" s="27" t="s">
        <v>893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1049.5</f>
        <v>1049.5</v>
      </c>
      <c r="L279" s="34" t="s">
        <v>48</v>
      </c>
      <c r="M279" s="33" t="n">
        <f>1079</f>
        <v>1079.0</v>
      </c>
      <c r="N279" s="34" t="s">
        <v>104</v>
      </c>
      <c r="O279" s="33" t="n">
        <f>986</f>
        <v>986.0</v>
      </c>
      <c r="P279" s="34" t="s">
        <v>49</v>
      </c>
      <c r="Q279" s="33" t="n">
        <f>1056.5</f>
        <v>1056.5</v>
      </c>
      <c r="R279" s="34" t="s">
        <v>50</v>
      </c>
      <c r="S279" s="35" t="n">
        <f>1040.83</f>
        <v>1040.83</v>
      </c>
      <c r="T279" s="32" t="n">
        <f>2122990</f>
        <v>2122990.0</v>
      </c>
      <c r="U279" s="32" t="n">
        <f>1258000</f>
        <v>1258000.0</v>
      </c>
      <c r="V279" s="32" t="n">
        <f>2155424391</f>
        <v>2.155424391E9</v>
      </c>
      <c r="W279" s="32" t="n">
        <f>1274009685</f>
        <v>1.274009685E9</v>
      </c>
      <c r="X279" s="36" t="n">
        <f>21</f>
        <v>21.0</v>
      </c>
    </row>
    <row r="280">
      <c r="A280" s="27" t="s">
        <v>42</v>
      </c>
      <c r="B280" s="27" t="s">
        <v>894</v>
      </c>
      <c r="C280" s="27" t="s">
        <v>895</v>
      </c>
      <c r="D280" s="27" t="s">
        <v>896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1.0</v>
      </c>
      <c r="K280" s="33" t="n">
        <f>1649</f>
        <v>1649.0</v>
      </c>
      <c r="L280" s="34" t="s">
        <v>48</v>
      </c>
      <c r="M280" s="33" t="n">
        <f>1650</f>
        <v>1650.0</v>
      </c>
      <c r="N280" s="34" t="s">
        <v>48</v>
      </c>
      <c r="O280" s="33" t="n">
        <f>1320</f>
        <v>1320.0</v>
      </c>
      <c r="P280" s="34" t="s">
        <v>49</v>
      </c>
      <c r="Q280" s="33" t="n">
        <f>1569</f>
        <v>1569.0</v>
      </c>
      <c r="R280" s="34" t="s">
        <v>50</v>
      </c>
      <c r="S280" s="35" t="n">
        <f>1513.33</f>
        <v>1513.33</v>
      </c>
      <c r="T280" s="32" t="n">
        <f>66576</f>
        <v>66576.0</v>
      </c>
      <c r="U280" s="32" t="str">
        <f>"－"</f>
        <v>－</v>
      </c>
      <c r="V280" s="32" t="n">
        <f>99856029</f>
        <v>9.9856029E7</v>
      </c>
      <c r="W280" s="32" t="str">
        <f>"－"</f>
        <v>－</v>
      </c>
      <c r="X280" s="36" t="n">
        <f>21</f>
        <v>21.0</v>
      </c>
    </row>
    <row r="281">
      <c r="A281" s="27" t="s">
        <v>42</v>
      </c>
      <c r="B281" s="27" t="s">
        <v>897</v>
      </c>
      <c r="C281" s="27" t="s">
        <v>898</v>
      </c>
      <c r="D281" s="27" t="s">
        <v>899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1079.5</f>
        <v>1079.5</v>
      </c>
      <c r="L281" s="34" t="s">
        <v>48</v>
      </c>
      <c r="M281" s="33" t="n">
        <f>1083</f>
        <v>1083.0</v>
      </c>
      <c r="N281" s="34" t="s">
        <v>104</v>
      </c>
      <c r="O281" s="33" t="n">
        <f>1006.5</f>
        <v>1006.5</v>
      </c>
      <c r="P281" s="34" t="s">
        <v>49</v>
      </c>
      <c r="Q281" s="33" t="n">
        <f>1054.5</f>
        <v>1054.5</v>
      </c>
      <c r="R281" s="34" t="s">
        <v>50</v>
      </c>
      <c r="S281" s="35" t="n">
        <f>1052.88</f>
        <v>1052.88</v>
      </c>
      <c r="T281" s="32" t="n">
        <f>388830</f>
        <v>388830.0</v>
      </c>
      <c r="U281" s="32" t="n">
        <f>82180</f>
        <v>82180.0</v>
      </c>
      <c r="V281" s="32" t="n">
        <f>407059870</f>
        <v>4.0705987E8</v>
      </c>
      <c r="W281" s="32" t="n">
        <f>85511660</f>
        <v>8.551166E7</v>
      </c>
      <c r="X281" s="36" t="n">
        <f>21</f>
        <v>21.0</v>
      </c>
    </row>
    <row r="282">
      <c r="A282" s="27" t="s">
        <v>42</v>
      </c>
      <c r="B282" s="27" t="s">
        <v>900</v>
      </c>
      <c r="C282" s="27" t="s">
        <v>901</v>
      </c>
      <c r="D282" s="27" t="s">
        <v>902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10.0</v>
      </c>
      <c r="K282" s="33" t="n">
        <f>1441</f>
        <v>1441.0</v>
      </c>
      <c r="L282" s="34" t="s">
        <v>48</v>
      </c>
      <c r="M282" s="33" t="n">
        <f>1452</f>
        <v>1452.0</v>
      </c>
      <c r="N282" s="34" t="s">
        <v>48</v>
      </c>
      <c r="O282" s="33" t="n">
        <f>1244</f>
        <v>1244.0</v>
      </c>
      <c r="P282" s="34" t="s">
        <v>49</v>
      </c>
      <c r="Q282" s="33" t="n">
        <f>1390</f>
        <v>1390.0</v>
      </c>
      <c r="R282" s="34" t="s">
        <v>50</v>
      </c>
      <c r="S282" s="35" t="n">
        <f>1375.79</f>
        <v>1375.79</v>
      </c>
      <c r="T282" s="32" t="n">
        <f>152640</f>
        <v>152640.0</v>
      </c>
      <c r="U282" s="32" t="n">
        <f>67190</f>
        <v>67190.0</v>
      </c>
      <c r="V282" s="32" t="n">
        <f>208877342</f>
        <v>2.08877342E8</v>
      </c>
      <c r="W282" s="32" t="n">
        <f>93856667</f>
        <v>9.3856667E7</v>
      </c>
      <c r="X282" s="36" t="n">
        <f>21</f>
        <v>21.0</v>
      </c>
    </row>
    <row r="283">
      <c r="A283" s="27" t="s">
        <v>42</v>
      </c>
      <c r="B283" s="27" t="s">
        <v>903</v>
      </c>
      <c r="C283" s="27" t="s">
        <v>904</v>
      </c>
      <c r="D283" s="27" t="s">
        <v>905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10.0</v>
      </c>
      <c r="K283" s="33" t="n">
        <f>1708.5</f>
        <v>1708.5</v>
      </c>
      <c r="L283" s="34" t="s">
        <v>48</v>
      </c>
      <c r="M283" s="33" t="n">
        <f>1729.5</f>
        <v>1729.5</v>
      </c>
      <c r="N283" s="34" t="s">
        <v>261</v>
      </c>
      <c r="O283" s="33" t="n">
        <f>1530</f>
        <v>1530.0</v>
      </c>
      <c r="P283" s="34" t="s">
        <v>49</v>
      </c>
      <c r="Q283" s="33" t="n">
        <f>1724</f>
        <v>1724.0</v>
      </c>
      <c r="R283" s="34" t="s">
        <v>50</v>
      </c>
      <c r="S283" s="35" t="n">
        <f>1684.31</f>
        <v>1684.31</v>
      </c>
      <c r="T283" s="32" t="n">
        <f>3859560</f>
        <v>3859560.0</v>
      </c>
      <c r="U283" s="32" t="n">
        <f>1873060</f>
        <v>1873060.0</v>
      </c>
      <c r="V283" s="32" t="n">
        <f>6530042599</f>
        <v>6.530042599E9</v>
      </c>
      <c r="W283" s="32" t="n">
        <f>3166048399</f>
        <v>3.166048399E9</v>
      </c>
      <c r="X283" s="36" t="n">
        <f>21</f>
        <v>21.0</v>
      </c>
    </row>
    <row r="284">
      <c r="A284" s="27" t="s">
        <v>42</v>
      </c>
      <c r="B284" s="27" t="s">
        <v>906</v>
      </c>
      <c r="C284" s="27" t="s">
        <v>907</v>
      </c>
      <c r="D284" s="27" t="s">
        <v>908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1.0</v>
      </c>
      <c r="K284" s="33" t="n">
        <f>5320</f>
        <v>5320.0</v>
      </c>
      <c r="L284" s="34" t="s">
        <v>48</v>
      </c>
      <c r="M284" s="33" t="n">
        <f>5320</f>
        <v>5320.0</v>
      </c>
      <c r="N284" s="34" t="s">
        <v>48</v>
      </c>
      <c r="O284" s="33" t="n">
        <f>4290</f>
        <v>4290.0</v>
      </c>
      <c r="P284" s="34" t="s">
        <v>49</v>
      </c>
      <c r="Q284" s="33" t="n">
        <f>5110</f>
        <v>5110.0</v>
      </c>
      <c r="R284" s="34" t="s">
        <v>50</v>
      </c>
      <c r="S284" s="35" t="n">
        <f>4947.62</f>
        <v>4947.62</v>
      </c>
      <c r="T284" s="32" t="n">
        <f>167001</f>
        <v>167001.0</v>
      </c>
      <c r="U284" s="32" t="n">
        <f>65000</f>
        <v>65000.0</v>
      </c>
      <c r="V284" s="32" t="n">
        <f>786990044</f>
        <v>7.86990044E8</v>
      </c>
      <c r="W284" s="32" t="n">
        <f>302725819</f>
        <v>3.02725819E8</v>
      </c>
      <c r="X284" s="36" t="n">
        <f>21</f>
        <v>21.0</v>
      </c>
    </row>
    <row r="285">
      <c r="A285" s="27" t="s">
        <v>42</v>
      </c>
      <c r="B285" s="27" t="s">
        <v>909</v>
      </c>
      <c r="C285" s="27" t="s">
        <v>910</v>
      </c>
      <c r="D285" s="27" t="s">
        <v>911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10.0</v>
      </c>
      <c r="K285" s="33" t="n">
        <f>2130.5</f>
        <v>2130.5</v>
      </c>
      <c r="L285" s="34" t="s">
        <v>231</v>
      </c>
      <c r="M285" s="33" t="n">
        <f>2267.5</f>
        <v>2267.5</v>
      </c>
      <c r="N285" s="34" t="s">
        <v>316</v>
      </c>
      <c r="O285" s="33" t="n">
        <f>2010</f>
        <v>2010.0</v>
      </c>
      <c r="P285" s="34" t="s">
        <v>247</v>
      </c>
      <c r="Q285" s="33" t="n">
        <f>2267.5</f>
        <v>2267.5</v>
      </c>
      <c r="R285" s="34" t="s">
        <v>316</v>
      </c>
      <c r="S285" s="35" t="n">
        <f>2138.36</f>
        <v>2138.36</v>
      </c>
      <c r="T285" s="32" t="n">
        <f>2290</f>
        <v>2290.0</v>
      </c>
      <c r="U285" s="32" t="str">
        <f>"－"</f>
        <v>－</v>
      </c>
      <c r="V285" s="32" t="n">
        <f>4720325</f>
        <v>4720325.0</v>
      </c>
      <c r="W285" s="32" t="str">
        <f>"－"</f>
        <v>－</v>
      </c>
      <c r="X285" s="36" t="n">
        <f>7</f>
        <v>7.0</v>
      </c>
    </row>
    <row r="286">
      <c r="A286" s="27" t="s">
        <v>42</v>
      </c>
      <c r="B286" s="27" t="s">
        <v>912</v>
      </c>
      <c r="C286" s="27" t="s">
        <v>913</v>
      </c>
      <c r="D286" s="27" t="s">
        <v>914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10.0</v>
      </c>
      <c r="K286" s="33" t="n">
        <f>2834.5</f>
        <v>2834.5</v>
      </c>
      <c r="L286" s="34" t="s">
        <v>48</v>
      </c>
      <c r="M286" s="33" t="n">
        <f>2836.5</f>
        <v>2836.5</v>
      </c>
      <c r="N286" s="34" t="s">
        <v>48</v>
      </c>
      <c r="O286" s="33" t="n">
        <f>2362</f>
        <v>2362.0</v>
      </c>
      <c r="P286" s="34" t="s">
        <v>49</v>
      </c>
      <c r="Q286" s="33" t="n">
        <f>2760.5</f>
        <v>2760.5</v>
      </c>
      <c r="R286" s="34" t="s">
        <v>50</v>
      </c>
      <c r="S286" s="35" t="n">
        <f>2656.1</f>
        <v>2656.1</v>
      </c>
      <c r="T286" s="32" t="n">
        <f>1434770</f>
        <v>1434770.0</v>
      </c>
      <c r="U286" s="32" t="n">
        <f>1026930</f>
        <v>1026930.0</v>
      </c>
      <c r="V286" s="32" t="n">
        <f>3844619130</f>
        <v>3.84461913E9</v>
      </c>
      <c r="W286" s="32" t="n">
        <f>2766424855</f>
        <v>2.766424855E9</v>
      </c>
      <c r="X286" s="36" t="n">
        <f>21</f>
        <v>21.0</v>
      </c>
    </row>
    <row r="287">
      <c r="A287" s="27" t="s">
        <v>42</v>
      </c>
      <c r="B287" s="27" t="s">
        <v>915</v>
      </c>
      <c r="C287" s="27" t="s">
        <v>916</v>
      </c>
      <c r="D287" s="27" t="s">
        <v>917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39480</f>
        <v>39480.0</v>
      </c>
      <c r="L287" s="34" t="s">
        <v>48</v>
      </c>
      <c r="M287" s="33" t="n">
        <f>39480</f>
        <v>39480.0</v>
      </c>
      <c r="N287" s="34" t="s">
        <v>48</v>
      </c>
      <c r="O287" s="33" t="n">
        <f>33000</f>
        <v>33000.0</v>
      </c>
      <c r="P287" s="34" t="s">
        <v>49</v>
      </c>
      <c r="Q287" s="33" t="n">
        <f>38730</f>
        <v>38730.0</v>
      </c>
      <c r="R287" s="34" t="s">
        <v>50</v>
      </c>
      <c r="S287" s="35" t="n">
        <f>37305.71</f>
        <v>37305.71</v>
      </c>
      <c r="T287" s="32" t="n">
        <f>257419</f>
        <v>257419.0</v>
      </c>
      <c r="U287" s="32" t="n">
        <f>99488</f>
        <v>99488.0</v>
      </c>
      <c r="V287" s="32" t="n">
        <f>9433064386</f>
        <v>9.433064386E9</v>
      </c>
      <c r="W287" s="32" t="n">
        <f>3675248326</f>
        <v>3.675248326E9</v>
      </c>
      <c r="X287" s="36" t="n">
        <f>21</f>
        <v>21.0</v>
      </c>
    </row>
    <row r="288">
      <c r="A288" s="27" t="s">
        <v>42</v>
      </c>
      <c r="B288" s="27" t="s">
        <v>918</v>
      </c>
      <c r="C288" s="27" t="s">
        <v>919</v>
      </c>
      <c r="D288" s="27" t="s">
        <v>920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25565</f>
        <v>25565.0</v>
      </c>
      <c r="L288" s="34" t="s">
        <v>48</v>
      </c>
      <c r="M288" s="33" t="n">
        <f>25565</f>
        <v>25565.0</v>
      </c>
      <c r="N288" s="34" t="s">
        <v>48</v>
      </c>
      <c r="O288" s="33" t="n">
        <f>22225</f>
        <v>22225.0</v>
      </c>
      <c r="P288" s="34" t="s">
        <v>49</v>
      </c>
      <c r="Q288" s="33" t="n">
        <f>25160</f>
        <v>25160.0</v>
      </c>
      <c r="R288" s="34" t="s">
        <v>50</v>
      </c>
      <c r="S288" s="35" t="n">
        <f>24462.69</f>
        <v>24462.69</v>
      </c>
      <c r="T288" s="32" t="n">
        <f>234</f>
        <v>234.0</v>
      </c>
      <c r="U288" s="32" t="str">
        <f>"－"</f>
        <v>－</v>
      </c>
      <c r="V288" s="32" t="n">
        <f>5770250</f>
        <v>5770250.0</v>
      </c>
      <c r="W288" s="32" t="str">
        <f>"－"</f>
        <v>－</v>
      </c>
      <c r="X288" s="36" t="n">
        <f>13</f>
        <v>13.0</v>
      </c>
    </row>
    <row r="289">
      <c r="A289" s="27" t="s">
        <v>42</v>
      </c>
      <c r="B289" s="27" t="s">
        <v>921</v>
      </c>
      <c r="C289" s="27" t="s">
        <v>922</v>
      </c>
      <c r="D289" s="27" t="s">
        <v>923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10.0</v>
      </c>
      <c r="K289" s="33" t="n">
        <f>1028</f>
        <v>1028.0</v>
      </c>
      <c r="L289" s="34" t="s">
        <v>48</v>
      </c>
      <c r="M289" s="33" t="n">
        <f>1082</f>
        <v>1082.0</v>
      </c>
      <c r="N289" s="34" t="s">
        <v>153</v>
      </c>
      <c r="O289" s="33" t="n">
        <f>994.2</f>
        <v>994.2</v>
      </c>
      <c r="P289" s="34" t="s">
        <v>49</v>
      </c>
      <c r="Q289" s="33" t="n">
        <f>1066</f>
        <v>1066.0</v>
      </c>
      <c r="R289" s="34" t="s">
        <v>50</v>
      </c>
      <c r="S289" s="35" t="n">
        <f>1045.43</f>
        <v>1045.43</v>
      </c>
      <c r="T289" s="32" t="n">
        <f>303490</f>
        <v>303490.0</v>
      </c>
      <c r="U289" s="32" t="n">
        <f>196000</f>
        <v>196000.0</v>
      </c>
      <c r="V289" s="32" t="n">
        <f>312487785</f>
        <v>3.12487785E8</v>
      </c>
      <c r="W289" s="32" t="n">
        <f>201390690</f>
        <v>2.0139069E8</v>
      </c>
      <c r="X289" s="36" t="n">
        <f>19</f>
        <v>19.0</v>
      </c>
    </row>
    <row r="290">
      <c r="A290" s="27" t="s">
        <v>42</v>
      </c>
      <c r="B290" s="27" t="s">
        <v>924</v>
      </c>
      <c r="C290" s="27" t="s">
        <v>925</v>
      </c>
      <c r="D290" s="27" t="s">
        <v>926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1046</f>
        <v>1046.0</v>
      </c>
      <c r="L290" s="34" t="s">
        <v>48</v>
      </c>
      <c r="M290" s="33" t="n">
        <f>1088</f>
        <v>1088.0</v>
      </c>
      <c r="N290" s="34" t="s">
        <v>104</v>
      </c>
      <c r="O290" s="33" t="n">
        <f>985</f>
        <v>985.0</v>
      </c>
      <c r="P290" s="34" t="s">
        <v>49</v>
      </c>
      <c r="Q290" s="33" t="n">
        <f>1067</f>
        <v>1067.0</v>
      </c>
      <c r="R290" s="34" t="s">
        <v>50</v>
      </c>
      <c r="S290" s="35" t="n">
        <f>1045.52</f>
        <v>1045.52</v>
      </c>
      <c r="T290" s="32" t="n">
        <f>88703</f>
        <v>88703.0</v>
      </c>
      <c r="U290" s="32" t="str">
        <f>"－"</f>
        <v>－</v>
      </c>
      <c r="V290" s="32" t="n">
        <f>90795757</f>
        <v>9.0795757E7</v>
      </c>
      <c r="W290" s="32" t="str">
        <f>"－"</f>
        <v>－</v>
      </c>
      <c r="X290" s="36" t="n">
        <f>21</f>
        <v>21.0</v>
      </c>
    </row>
    <row r="291">
      <c r="A291" s="27" t="s">
        <v>42</v>
      </c>
      <c r="B291" s="27" t="s">
        <v>927</v>
      </c>
      <c r="C291" s="27" t="s">
        <v>928</v>
      </c>
      <c r="D291" s="27" t="s">
        <v>929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1724</f>
        <v>1724.0</v>
      </c>
      <c r="L291" s="34" t="s">
        <v>48</v>
      </c>
      <c r="M291" s="33" t="n">
        <f>1730</f>
        <v>1730.0</v>
      </c>
      <c r="N291" s="34" t="s">
        <v>48</v>
      </c>
      <c r="O291" s="33" t="n">
        <f>1350</f>
        <v>1350.0</v>
      </c>
      <c r="P291" s="34" t="s">
        <v>49</v>
      </c>
      <c r="Q291" s="33" t="n">
        <f>1694</f>
        <v>1694.0</v>
      </c>
      <c r="R291" s="34" t="s">
        <v>50</v>
      </c>
      <c r="S291" s="35" t="n">
        <f>1628.86</f>
        <v>1628.86</v>
      </c>
      <c r="T291" s="32" t="n">
        <f>794685</f>
        <v>794685.0</v>
      </c>
      <c r="U291" s="32" t="n">
        <f>404633</f>
        <v>404633.0</v>
      </c>
      <c r="V291" s="32" t="n">
        <f>1253243444</f>
        <v>1.253243444E9</v>
      </c>
      <c r="W291" s="32" t="n">
        <f>624328210</f>
        <v>6.2432821E8</v>
      </c>
      <c r="X291" s="36" t="n">
        <f>21</f>
        <v>21.0</v>
      </c>
    </row>
    <row r="292">
      <c r="A292" s="27" t="s">
        <v>42</v>
      </c>
      <c r="B292" s="27" t="s">
        <v>930</v>
      </c>
      <c r="C292" s="27" t="s">
        <v>931</v>
      </c>
      <c r="D292" s="27" t="s">
        <v>932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13085</f>
        <v>13085.0</v>
      </c>
      <c r="L292" s="34" t="s">
        <v>48</v>
      </c>
      <c r="M292" s="33" t="n">
        <f>13150</f>
        <v>13150.0</v>
      </c>
      <c r="N292" s="34" t="s">
        <v>231</v>
      </c>
      <c r="O292" s="33" t="n">
        <f>11825</f>
        <v>11825.0</v>
      </c>
      <c r="P292" s="34" t="s">
        <v>316</v>
      </c>
      <c r="Q292" s="33" t="n">
        <f>12600</f>
        <v>12600.0</v>
      </c>
      <c r="R292" s="34" t="s">
        <v>50</v>
      </c>
      <c r="S292" s="35" t="n">
        <f>12542.75</f>
        <v>12542.75</v>
      </c>
      <c r="T292" s="32" t="n">
        <f>334</f>
        <v>334.0</v>
      </c>
      <c r="U292" s="32" t="str">
        <f>"－"</f>
        <v>－</v>
      </c>
      <c r="V292" s="32" t="n">
        <f>4167390</f>
        <v>4167390.0</v>
      </c>
      <c r="W292" s="32" t="str">
        <f>"－"</f>
        <v>－</v>
      </c>
      <c r="X292" s="36" t="n">
        <f>20</f>
        <v>20.0</v>
      </c>
    </row>
    <row r="293">
      <c r="A293" s="27" t="s">
        <v>42</v>
      </c>
      <c r="B293" s="27" t="s">
        <v>933</v>
      </c>
      <c r="C293" s="27" t="s">
        <v>934</v>
      </c>
      <c r="D293" s="27" t="s">
        <v>935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1.0</v>
      </c>
      <c r="K293" s="33" t="n">
        <f>1890</f>
        <v>1890.0</v>
      </c>
      <c r="L293" s="34" t="s">
        <v>48</v>
      </c>
      <c r="M293" s="33" t="n">
        <f>1931</f>
        <v>1931.0</v>
      </c>
      <c r="N293" s="34" t="s">
        <v>104</v>
      </c>
      <c r="O293" s="33" t="n">
        <f>1751</f>
        <v>1751.0</v>
      </c>
      <c r="P293" s="34" t="s">
        <v>214</v>
      </c>
      <c r="Q293" s="33" t="n">
        <f>1899</f>
        <v>1899.0</v>
      </c>
      <c r="R293" s="34" t="s">
        <v>50</v>
      </c>
      <c r="S293" s="35" t="n">
        <f>1859.48</f>
        <v>1859.48</v>
      </c>
      <c r="T293" s="32" t="n">
        <f>853565</f>
        <v>853565.0</v>
      </c>
      <c r="U293" s="32" t="n">
        <f>814600</f>
        <v>814600.0</v>
      </c>
      <c r="V293" s="32" t="n">
        <f>1572047051</f>
        <v>1.572047051E9</v>
      </c>
      <c r="W293" s="32" t="n">
        <f>1500547220</f>
        <v>1.50054722E9</v>
      </c>
      <c r="X293" s="36" t="n">
        <f>21</f>
        <v>21.0</v>
      </c>
    </row>
    <row r="294">
      <c r="A294" s="27" t="s">
        <v>42</v>
      </c>
      <c r="B294" s="27" t="s">
        <v>936</v>
      </c>
      <c r="C294" s="27" t="s">
        <v>937</v>
      </c>
      <c r="D294" s="27" t="s">
        <v>938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10.0</v>
      </c>
      <c r="K294" s="33" t="n">
        <f>1300</f>
        <v>1300.0</v>
      </c>
      <c r="L294" s="34" t="s">
        <v>49</v>
      </c>
      <c r="M294" s="33" t="n">
        <f>1401</f>
        <v>1401.0</v>
      </c>
      <c r="N294" s="34" t="s">
        <v>88</v>
      </c>
      <c r="O294" s="33" t="n">
        <f>1240</f>
        <v>1240.0</v>
      </c>
      <c r="P294" s="34" t="s">
        <v>104</v>
      </c>
      <c r="Q294" s="33" t="n">
        <f>1257.5</f>
        <v>1257.5</v>
      </c>
      <c r="R294" s="34" t="s">
        <v>50</v>
      </c>
      <c r="S294" s="35" t="n">
        <f>1295.58</f>
        <v>1295.58</v>
      </c>
      <c r="T294" s="32" t="n">
        <f>3600</f>
        <v>3600.0</v>
      </c>
      <c r="U294" s="32" t="str">
        <f>"－"</f>
        <v>－</v>
      </c>
      <c r="V294" s="32" t="n">
        <f>4652710</f>
        <v>4652710.0</v>
      </c>
      <c r="W294" s="32" t="str">
        <f>"－"</f>
        <v>－</v>
      </c>
      <c r="X294" s="36" t="n">
        <f>13</f>
        <v>13.0</v>
      </c>
    </row>
    <row r="295">
      <c r="A295" s="27" t="s">
        <v>42</v>
      </c>
      <c r="B295" s="27" t="s">
        <v>939</v>
      </c>
      <c r="C295" s="27" t="s">
        <v>940</v>
      </c>
      <c r="D295" s="27" t="s">
        <v>941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10.0</v>
      </c>
      <c r="K295" s="33" t="n">
        <f>804.4</f>
        <v>804.4</v>
      </c>
      <c r="L295" s="34" t="s">
        <v>48</v>
      </c>
      <c r="M295" s="33" t="n">
        <f>828</f>
        <v>828.0</v>
      </c>
      <c r="N295" s="34" t="s">
        <v>104</v>
      </c>
      <c r="O295" s="33" t="n">
        <f>800.1</f>
        <v>800.1</v>
      </c>
      <c r="P295" s="34" t="s">
        <v>214</v>
      </c>
      <c r="Q295" s="33" t="n">
        <f>813.6</f>
        <v>813.6</v>
      </c>
      <c r="R295" s="34" t="s">
        <v>50</v>
      </c>
      <c r="S295" s="35" t="n">
        <f>810.96</f>
        <v>810.96</v>
      </c>
      <c r="T295" s="32" t="n">
        <f>394710</f>
        <v>394710.0</v>
      </c>
      <c r="U295" s="32" t="n">
        <f>163610</f>
        <v>163610.0</v>
      </c>
      <c r="V295" s="32" t="n">
        <f>320412734</f>
        <v>3.20412734E8</v>
      </c>
      <c r="W295" s="32" t="n">
        <f>132982804</f>
        <v>1.32982804E8</v>
      </c>
      <c r="X295" s="36" t="n">
        <f>21</f>
        <v>21.0</v>
      </c>
    </row>
    <row r="296">
      <c r="A296" s="27" t="s">
        <v>42</v>
      </c>
      <c r="B296" s="27" t="s">
        <v>942</v>
      </c>
      <c r="C296" s="27" t="s">
        <v>943</v>
      </c>
      <c r="D296" s="27" t="s">
        <v>944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1779.5</f>
        <v>1779.5</v>
      </c>
      <c r="L296" s="34" t="s">
        <v>48</v>
      </c>
      <c r="M296" s="33" t="n">
        <f>1850</f>
        <v>1850.0</v>
      </c>
      <c r="N296" s="34" t="s">
        <v>104</v>
      </c>
      <c r="O296" s="33" t="n">
        <f>1664</f>
        <v>1664.0</v>
      </c>
      <c r="P296" s="34" t="s">
        <v>49</v>
      </c>
      <c r="Q296" s="33" t="n">
        <f>1815</f>
        <v>1815.0</v>
      </c>
      <c r="R296" s="34" t="s">
        <v>50</v>
      </c>
      <c r="S296" s="35" t="n">
        <f>1777.81</f>
        <v>1777.81</v>
      </c>
      <c r="T296" s="32" t="n">
        <f>642390</f>
        <v>642390.0</v>
      </c>
      <c r="U296" s="32" t="n">
        <f>265050</f>
        <v>265050.0</v>
      </c>
      <c r="V296" s="32" t="n">
        <f>1115075758</f>
        <v>1.115075758E9</v>
      </c>
      <c r="W296" s="32" t="n">
        <f>457096128</f>
        <v>4.57096128E8</v>
      </c>
      <c r="X296" s="36" t="n">
        <f>21</f>
        <v>21.0</v>
      </c>
    </row>
    <row r="297">
      <c r="A297" s="27" t="s">
        <v>42</v>
      </c>
      <c r="B297" s="27" t="s">
        <v>945</v>
      </c>
      <c r="C297" s="27" t="s">
        <v>946</v>
      </c>
      <c r="D297" s="27" t="s">
        <v>947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10.0</v>
      </c>
      <c r="K297" s="33" t="n">
        <f>1769.5</f>
        <v>1769.5</v>
      </c>
      <c r="L297" s="34" t="s">
        <v>48</v>
      </c>
      <c r="M297" s="33" t="n">
        <f>1845</f>
        <v>1845.0</v>
      </c>
      <c r="N297" s="34" t="s">
        <v>104</v>
      </c>
      <c r="O297" s="33" t="n">
        <f>1662.5</f>
        <v>1662.5</v>
      </c>
      <c r="P297" s="34" t="s">
        <v>49</v>
      </c>
      <c r="Q297" s="33" t="n">
        <f>1816</f>
        <v>1816.0</v>
      </c>
      <c r="R297" s="34" t="s">
        <v>50</v>
      </c>
      <c r="S297" s="35" t="n">
        <f>1779.05</f>
        <v>1779.05</v>
      </c>
      <c r="T297" s="32" t="n">
        <f>2758970</f>
        <v>2758970.0</v>
      </c>
      <c r="U297" s="32" t="n">
        <f>1465580</f>
        <v>1465580.0</v>
      </c>
      <c r="V297" s="32" t="n">
        <f>4854755573</f>
        <v>4.854755573E9</v>
      </c>
      <c r="W297" s="32" t="n">
        <f>2591173303</f>
        <v>2.591173303E9</v>
      </c>
      <c r="X297" s="36" t="n">
        <f>21</f>
        <v>21.0</v>
      </c>
    </row>
    <row r="298">
      <c r="A298" s="27" t="s">
        <v>42</v>
      </c>
      <c r="B298" s="27" t="s">
        <v>948</v>
      </c>
      <c r="C298" s="27" t="s">
        <v>949</v>
      </c>
      <c r="D298" s="27" t="s">
        <v>950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10.0</v>
      </c>
      <c r="K298" s="33" t="n">
        <f>2767</f>
        <v>2767.0</v>
      </c>
      <c r="L298" s="34" t="s">
        <v>48</v>
      </c>
      <c r="M298" s="33" t="n">
        <f>2786.5</f>
        <v>2786.5</v>
      </c>
      <c r="N298" s="34" t="s">
        <v>48</v>
      </c>
      <c r="O298" s="33" t="n">
        <f>2309.5</f>
        <v>2309.5</v>
      </c>
      <c r="P298" s="34" t="s">
        <v>214</v>
      </c>
      <c r="Q298" s="33" t="n">
        <f>2739</f>
        <v>2739.0</v>
      </c>
      <c r="R298" s="34" t="s">
        <v>50</v>
      </c>
      <c r="S298" s="35" t="n">
        <f>2631.07</f>
        <v>2631.07</v>
      </c>
      <c r="T298" s="32" t="n">
        <f>1400060</f>
        <v>1400060.0</v>
      </c>
      <c r="U298" s="32" t="n">
        <f>237940</f>
        <v>237940.0</v>
      </c>
      <c r="V298" s="32" t="n">
        <f>3623922379</f>
        <v>3.623922379E9</v>
      </c>
      <c r="W298" s="32" t="n">
        <f>627540709</f>
        <v>6.27540709E8</v>
      </c>
      <c r="X298" s="36" t="n">
        <f>21</f>
        <v>21.0</v>
      </c>
    </row>
    <row r="299">
      <c r="A299" s="27" t="s">
        <v>42</v>
      </c>
      <c r="B299" s="27" t="s">
        <v>951</v>
      </c>
      <c r="C299" s="27" t="s">
        <v>952</v>
      </c>
      <c r="D299" s="27" t="s">
        <v>953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23900</f>
        <v>23900.0</v>
      </c>
      <c r="L299" s="34" t="s">
        <v>48</v>
      </c>
      <c r="M299" s="33" t="n">
        <f>23955</f>
        <v>23955.0</v>
      </c>
      <c r="N299" s="34" t="s">
        <v>48</v>
      </c>
      <c r="O299" s="33" t="n">
        <f>21185</f>
        <v>21185.0</v>
      </c>
      <c r="P299" s="34" t="s">
        <v>49</v>
      </c>
      <c r="Q299" s="33" t="n">
        <f>23400</f>
        <v>23400.0</v>
      </c>
      <c r="R299" s="34" t="s">
        <v>50</v>
      </c>
      <c r="S299" s="35" t="n">
        <f>23026.67</f>
        <v>23026.67</v>
      </c>
      <c r="T299" s="32" t="n">
        <f>1261007</f>
        <v>1261007.0</v>
      </c>
      <c r="U299" s="32" t="n">
        <f>45374</f>
        <v>45374.0</v>
      </c>
      <c r="V299" s="32" t="n">
        <f>28653311559</f>
        <v>2.8653311559E10</v>
      </c>
      <c r="W299" s="32" t="n">
        <f>1041620154</f>
        <v>1.041620154E9</v>
      </c>
      <c r="X299" s="36" t="n">
        <f>21</f>
        <v>21.0</v>
      </c>
    </row>
    <row r="300">
      <c r="A300" s="27" t="s">
        <v>42</v>
      </c>
      <c r="B300" s="27" t="s">
        <v>954</v>
      </c>
      <c r="C300" s="27" t="s">
        <v>955</v>
      </c>
      <c r="D300" s="27" t="s">
        <v>956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20185</f>
        <v>20185.0</v>
      </c>
      <c r="L300" s="34" t="s">
        <v>48</v>
      </c>
      <c r="M300" s="33" t="n">
        <f>20200</f>
        <v>20200.0</v>
      </c>
      <c r="N300" s="34" t="s">
        <v>48</v>
      </c>
      <c r="O300" s="33" t="n">
        <f>17350</f>
        <v>17350.0</v>
      </c>
      <c r="P300" s="34" t="s">
        <v>49</v>
      </c>
      <c r="Q300" s="33" t="n">
        <f>19800</f>
        <v>19800.0</v>
      </c>
      <c r="R300" s="34" t="s">
        <v>50</v>
      </c>
      <c r="S300" s="35" t="n">
        <f>19420.71</f>
        <v>19420.71</v>
      </c>
      <c r="T300" s="32" t="n">
        <f>503059</f>
        <v>503059.0</v>
      </c>
      <c r="U300" s="32" t="n">
        <f>106</f>
        <v>106.0</v>
      </c>
      <c r="V300" s="32" t="n">
        <f>9563103220</f>
        <v>9.56310322E9</v>
      </c>
      <c r="W300" s="32" t="n">
        <f>1992375</f>
        <v>1992375.0</v>
      </c>
      <c r="X300" s="36" t="n">
        <f>21</f>
        <v>21.0</v>
      </c>
    </row>
    <row r="301">
      <c r="A301" s="27" t="s">
        <v>42</v>
      </c>
      <c r="B301" s="27" t="s">
        <v>957</v>
      </c>
      <c r="C301" s="27" t="s">
        <v>958</v>
      </c>
      <c r="D301" s="27" t="s">
        <v>959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1.0</v>
      </c>
      <c r="K301" s="33" t="n">
        <f>38580</f>
        <v>38580.0</v>
      </c>
      <c r="L301" s="34" t="s">
        <v>48</v>
      </c>
      <c r="M301" s="33" t="n">
        <f>38580</f>
        <v>38580.0</v>
      </c>
      <c r="N301" s="34" t="s">
        <v>48</v>
      </c>
      <c r="O301" s="33" t="n">
        <f>30000</f>
        <v>30000.0</v>
      </c>
      <c r="P301" s="34" t="s">
        <v>49</v>
      </c>
      <c r="Q301" s="33" t="n">
        <f>35740</f>
        <v>35740.0</v>
      </c>
      <c r="R301" s="34" t="s">
        <v>50</v>
      </c>
      <c r="S301" s="35" t="n">
        <f>34522</f>
        <v>34522.0</v>
      </c>
      <c r="T301" s="32" t="n">
        <f>29</f>
        <v>29.0</v>
      </c>
      <c r="U301" s="32" t="str">
        <f>"－"</f>
        <v>－</v>
      </c>
      <c r="V301" s="32" t="n">
        <f>998040</f>
        <v>998040.0</v>
      </c>
      <c r="W301" s="32" t="str">
        <f>"－"</f>
        <v>－</v>
      </c>
      <c r="X301" s="36" t="n">
        <f>10</f>
        <v>10.0</v>
      </c>
    </row>
    <row r="302">
      <c r="A302" s="27" t="s">
        <v>42</v>
      </c>
      <c r="B302" s="27" t="s">
        <v>960</v>
      </c>
      <c r="C302" s="27" t="s">
        <v>961</v>
      </c>
      <c r="D302" s="27" t="s">
        <v>962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2345</f>
        <v>2345.0</v>
      </c>
      <c r="L302" s="34" t="s">
        <v>48</v>
      </c>
      <c r="M302" s="33" t="n">
        <f>2440</f>
        <v>2440.0</v>
      </c>
      <c r="N302" s="34" t="s">
        <v>49</v>
      </c>
      <c r="O302" s="33" t="n">
        <f>2336</f>
        <v>2336.0</v>
      </c>
      <c r="P302" s="34" t="s">
        <v>48</v>
      </c>
      <c r="Q302" s="33" t="n">
        <f>2374</f>
        <v>2374.0</v>
      </c>
      <c r="R302" s="34" t="s">
        <v>50</v>
      </c>
      <c r="S302" s="35" t="n">
        <f>2371.9</f>
        <v>2371.9</v>
      </c>
      <c r="T302" s="32" t="n">
        <f>1531546</f>
        <v>1531546.0</v>
      </c>
      <c r="U302" s="32" t="n">
        <f>1021158</f>
        <v>1021158.0</v>
      </c>
      <c r="V302" s="32" t="n">
        <f>3624268291</f>
        <v>3.624268291E9</v>
      </c>
      <c r="W302" s="32" t="n">
        <f>2413951043</f>
        <v>2.413951043E9</v>
      </c>
      <c r="X302" s="36" t="n">
        <f>21</f>
        <v>21.0</v>
      </c>
    </row>
    <row r="303">
      <c r="A303" s="27" t="s">
        <v>42</v>
      </c>
      <c r="B303" s="27" t="s">
        <v>963</v>
      </c>
      <c r="C303" s="27" t="s">
        <v>964</v>
      </c>
      <c r="D303" s="27" t="s">
        <v>965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10.0</v>
      </c>
      <c r="K303" s="33" t="n">
        <f>3095</f>
        <v>3095.0</v>
      </c>
      <c r="L303" s="34" t="s">
        <v>48</v>
      </c>
      <c r="M303" s="33" t="n">
        <f>3131</f>
        <v>3131.0</v>
      </c>
      <c r="N303" s="34" t="s">
        <v>50</v>
      </c>
      <c r="O303" s="33" t="n">
        <f>2924.5</f>
        <v>2924.5</v>
      </c>
      <c r="P303" s="34" t="s">
        <v>198</v>
      </c>
      <c r="Q303" s="33" t="n">
        <f>3131</f>
        <v>3131.0</v>
      </c>
      <c r="R303" s="34" t="s">
        <v>50</v>
      </c>
      <c r="S303" s="35" t="n">
        <f>3043.05</f>
        <v>3043.05</v>
      </c>
      <c r="T303" s="32" t="n">
        <f>316930</f>
        <v>316930.0</v>
      </c>
      <c r="U303" s="32" t="n">
        <f>32500</f>
        <v>32500.0</v>
      </c>
      <c r="V303" s="32" t="n">
        <f>968036115</f>
        <v>9.68036115E8</v>
      </c>
      <c r="W303" s="32" t="n">
        <f>97002750</f>
        <v>9.700275E7</v>
      </c>
      <c r="X303" s="36" t="n">
        <f>21</f>
        <v>21.0</v>
      </c>
    </row>
    <row r="304">
      <c r="A304" s="27" t="s">
        <v>42</v>
      </c>
      <c r="B304" s="27" t="s">
        <v>966</v>
      </c>
      <c r="C304" s="27" t="s">
        <v>967</v>
      </c>
      <c r="D304" s="27" t="s">
        <v>968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10.0</v>
      </c>
      <c r="K304" s="33" t="n">
        <f>320.2</f>
        <v>320.2</v>
      </c>
      <c r="L304" s="34" t="s">
        <v>48</v>
      </c>
      <c r="M304" s="33" t="n">
        <f>322.1</f>
        <v>322.1</v>
      </c>
      <c r="N304" s="34" t="s">
        <v>261</v>
      </c>
      <c r="O304" s="33" t="n">
        <f>296.9</f>
        <v>296.9</v>
      </c>
      <c r="P304" s="34" t="s">
        <v>198</v>
      </c>
      <c r="Q304" s="33" t="n">
        <f>320.2</f>
        <v>320.2</v>
      </c>
      <c r="R304" s="34" t="s">
        <v>50</v>
      </c>
      <c r="S304" s="35" t="n">
        <f>314.15</f>
        <v>314.15</v>
      </c>
      <c r="T304" s="32" t="n">
        <f>52812260</f>
        <v>5.281226E7</v>
      </c>
      <c r="U304" s="32" t="n">
        <f>22800400</f>
        <v>2.28004E7</v>
      </c>
      <c r="V304" s="32" t="n">
        <f>16590030272</f>
        <v>1.6590030272E10</v>
      </c>
      <c r="W304" s="32" t="n">
        <f>7189131697</f>
        <v>7.189131697E9</v>
      </c>
      <c r="X304" s="36" t="n">
        <f>21</f>
        <v>21.0</v>
      </c>
    </row>
    <row r="305">
      <c r="A305" s="27" t="s">
        <v>42</v>
      </c>
      <c r="B305" s="27" t="s">
        <v>969</v>
      </c>
      <c r="C305" s="27" t="s">
        <v>970</v>
      </c>
      <c r="D305" s="27" t="s">
        <v>971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2874</f>
        <v>2874.0</v>
      </c>
      <c r="L305" s="34" t="s">
        <v>48</v>
      </c>
      <c r="M305" s="33" t="n">
        <f>2874</f>
        <v>2874.0</v>
      </c>
      <c r="N305" s="34" t="s">
        <v>48</v>
      </c>
      <c r="O305" s="33" t="n">
        <f>2366</f>
        <v>2366.0</v>
      </c>
      <c r="P305" s="34" t="s">
        <v>49</v>
      </c>
      <c r="Q305" s="33" t="n">
        <f>2827</f>
        <v>2827.0</v>
      </c>
      <c r="R305" s="34" t="s">
        <v>50</v>
      </c>
      <c r="S305" s="35" t="n">
        <f>2724.71</f>
        <v>2724.71</v>
      </c>
      <c r="T305" s="32" t="n">
        <f>1242290</f>
        <v>1242290.0</v>
      </c>
      <c r="U305" s="32" t="n">
        <f>206437</f>
        <v>206437.0</v>
      </c>
      <c r="V305" s="32" t="n">
        <f>3305360519</f>
        <v>3.305360519E9</v>
      </c>
      <c r="W305" s="32" t="n">
        <f>550102290</f>
        <v>5.5010229E8</v>
      </c>
      <c r="X305" s="36" t="n">
        <f>21</f>
        <v>21.0</v>
      </c>
    </row>
    <row r="306">
      <c r="A306" s="27" t="s">
        <v>42</v>
      </c>
      <c r="B306" s="27" t="s">
        <v>972</v>
      </c>
      <c r="C306" s="27" t="s">
        <v>973</v>
      </c>
      <c r="D306" s="27" t="s">
        <v>974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865</f>
        <v>865.0</v>
      </c>
      <c r="L306" s="34" t="s">
        <v>48</v>
      </c>
      <c r="M306" s="33" t="n">
        <f>901</f>
        <v>901.0</v>
      </c>
      <c r="N306" s="34" t="s">
        <v>104</v>
      </c>
      <c r="O306" s="33" t="n">
        <f>808</f>
        <v>808.0</v>
      </c>
      <c r="P306" s="34" t="s">
        <v>214</v>
      </c>
      <c r="Q306" s="33" t="n">
        <f>882</f>
        <v>882.0</v>
      </c>
      <c r="R306" s="34" t="s">
        <v>50</v>
      </c>
      <c r="S306" s="35" t="n">
        <f>873.57</f>
        <v>873.57</v>
      </c>
      <c r="T306" s="32" t="n">
        <f>700557</f>
        <v>700557.0</v>
      </c>
      <c r="U306" s="32" t="n">
        <f>141100</f>
        <v>141100.0</v>
      </c>
      <c r="V306" s="32" t="n">
        <f>603591900</f>
        <v>6.035919E8</v>
      </c>
      <c r="W306" s="32" t="n">
        <f>121227580</f>
        <v>1.2122758E8</v>
      </c>
      <c r="X306" s="36" t="n">
        <f>21</f>
        <v>21.0</v>
      </c>
    </row>
    <row r="307">
      <c r="A307" s="27" t="s">
        <v>42</v>
      </c>
      <c r="B307" s="27" t="s">
        <v>975</v>
      </c>
      <c r="C307" s="27" t="s">
        <v>976</v>
      </c>
      <c r="D307" s="27" t="s">
        <v>977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10.0</v>
      </c>
      <c r="K307" s="33" t="n">
        <f>980.9</f>
        <v>980.9</v>
      </c>
      <c r="L307" s="34" t="s">
        <v>48</v>
      </c>
      <c r="M307" s="33" t="n">
        <f>1017</f>
        <v>1017.0</v>
      </c>
      <c r="N307" s="34" t="s">
        <v>153</v>
      </c>
      <c r="O307" s="33" t="n">
        <f>900</f>
        <v>900.0</v>
      </c>
      <c r="P307" s="34" t="s">
        <v>49</v>
      </c>
      <c r="Q307" s="33" t="n">
        <f>995.9</f>
        <v>995.9</v>
      </c>
      <c r="R307" s="34" t="s">
        <v>50</v>
      </c>
      <c r="S307" s="35" t="n">
        <f>978.17</f>
        <v>978.17</v>
      </c>
      <c r="T307" s="32" t="n">
        <f>3247180</f>
        <v>3247180.0</v>
      </c>
      <c r="U307" s="32" t="n">
        <f>2013500</f>
        <v>2013500.0</v>
      </c>
      <c r="V307" s="32" t="n">
        <f>3175990048</f>
        <v>3.175990048E9</v>
      </c>
      <c r="W307" s="32" t="n">
        <f>1978366195</f>
        <v>1.978366195E9</v>
      </c>
      <c r="X307" s="36" t="n">
        <f>21</f>
        <v>21.0</v>
      </c>
    </row>
    <row r="308">
      <c r="A308" s="27" t="s">
        <v>42</v>
      </c>
      <c r="B308" s="27" t="s">
        <v>978</v>
      </c>
      <c r="C308" s="27" t="s">
        <v>979</v>
      </c>
      <c r="D308" s="27" t="s">
        <v>980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10.0</v>
      </c>
      <c r="K308" s="33" t="n">
        <f>360.7</f>
        <v>360.7</v>
      </c>
      <c r="L308" s="34" t="s">
        <v>48</v>
      </c>
      <c r="M308" s="33" t="n">
        <f>361</f>
        <v>361.0</v>
      </c>
      <c r="N308" s="34" t="s">
        <v>48</v>
      </c>
      <c r="O308" s="33" t="n">
        <f>250.5</f>
        <v>250.5</v>
      </c>
      <c r="P308" s="34" t="s">
        <v>49</v>
      </c>
      <c r="Q308" s="33" t="n">
        <f>357.2</f>
        <v>357.2</v>
      </c>
      <c r="R308" s="34" t="s">
        <v>50</v>
      </c>
      <c r="S308" s="35" t="n">
        <f>335.03</f>
        <v>335.03</v>
      </c>
      <c r="T308" s="32" t="n">
        <f>5100</f>
        <v>5100.0</v>
      </c>
      <c r="U308" s="32" t="str">
        <f>"－"</f>
        <v>－</v>
      </c>
      <c r="V308" s="32" t="n">
        <f>1714903</f>
        <v>1714903.0</v>
      </c>
      <c r="W308" s="32" t="str">
        <f>"－"</f>
        <v>－</v>
      </c>
      <c r="X308" s="36" t="n">
        <f>19</f>
        <v>19.0</v>
      </c>
    </row>
    <row r="309">
      <c r="A309" s="27" t="s">
        <v>42</v>
      </c>
      <c r="B309" s="27" t="s">
        <v>981</v>
      </c>
      <c r="C309" s="27" t="s">
        <v>982</v>
      </c>
      <c r="D309" s="27" t="s">
        <v>983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10.0</v>
      </c>
      <c r="K309" s="33" t="n">
        <f>5024</f>
        <v>5024.0</v>
      </c>
      <c r="L309" s="34" t="s">
        <v>48</v>
      </c>
      <c r="M309" s="33" t="n">
        <f>5034</f>
        <v>5034.0</v>
      </c>
      <c r="N309" s="34" t="s">
        <v>48</v>
      </c>
      <c r="O309" s="33" t="n">
        <f>4118</f>
        <v>4118.0</v>
      </c>
      <c r="P309" s="34" t="s">
        <v>49</v>
      </c>
      <c r="Q309" s="33" t="n">
        <f>4832</f>
        <v>4832.0</v>
      </c>
      <c r="R309" s="34" t="s">
        <v>50</v>
      </c>
      <c r="S309" s="35" t="n">
        <f>4788.1</f>
        <v>4788.1</v>
      </c>
      <c r="T309" s="32" t="n">
        <f>2602700</f>
        <v>2602700.0</v>
      </c>
      <c r="U309" s="32" t="n">
        <f>400270</f>
        <v>400270.0</v>
      </c>
      <c r="V309" s="32" t="n">
        <f>12268969790</f>
        <v>1.226896979E10</v>
      </c>
      <c r="W309" s="32" t="n">
        <f>1976446220</f>
        <v>1.97644622E9</v>
      </c>
      <c r="X309" s="36" t="n">
        <f>21</f>
        <v>21.0</v>
      </c>
    </row>
    <row r="310">
      <c r="A310" s="27" t="s">
        <v>42</v>
      </c>
      <c r="B310" s="27" t="s">
        <v>984</v>
      </c>
      <c r="C310" s="27" t="s">
        <v>985</v>
      </c>
      <c r="D310" s="27" t="s">
        <v>986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10.0</v>
      </c>
      <c r="K310" s="33" t="n">
        <f>3083</f>
        <v>3083.0</v>
      </c>
      <c r="L310" s="34" t="s">
        <v>48</v>
      </c>
      <c r="M310" s="33" t="n">
        <f>3126</f>
        <v>3126.0</v>
      </c>
      <c r="N310" s="34" t="s">
        <v>215</v>
      </c>
      <c r="O310" s="33" t="n">
        <f>2753</f>
        <v>2753.0</v>
      </c>
      <c r="P310" s="34" t="s">
        <v>49</v>
      </c>
      <c r="Q310" s="33" t="n">
        <f>3054</f>
        <v>3054.0</v>
      </c>
      <c r="R310" s="34" t="s">
        <v>50</v>
      </c>
      <c r="S310" s="35" t="n">
        <f>3008.38</f>
        <v>3008.38</v>
      </c>
      <c r="T310" s="32" t="n">
        <f>7201540</f>
        <v>7201540.0</v>
      </c>
      <c r="U310" s="32" t="n">
        <f>4933680</f>
        <v>4933680.0</v>
      </c>
      <c r="V310" s="32" t="n">
        <f>21698249335</f>
        <v>2.1698249335E10</v>
      </c>
      <c r="W310" s="32" t="n">
        <f>14952053270</f>
        <v>1.495205327E10</v>
      </c>
      <c r="X310" s="36" t="n">
        <f>21</f>
        <v>21.0</v>
      </c>
    </row>
    <row r="311">
      <c r="A311" s="27" t="s">
        <v>42</v>
      </c>
      <c r="B311" s="27" t="s">
        <v>987</v>
      </c>
      <c r="C311" s="27" t="s">
        <v>988</v>
      </c>
      <c r="D311" s="27" t="s">
        <v>989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10.0</v>
      </c>
      <c r="K311" s="33" t="n">
        <f>340.7</f>
        <v>340.7</v>
      </c>
      <c r="L311" s="34" t="s">
        <v>48</v>
      </c>
      <c r="M311" s="33" t="n">
        <f>341.7</f>
        <v>341.7</v>
      </c>
      <c r="N311" s="34" t="s">
        <v>231</v>
      </c>
      <c r="O311" s="33" t="n">
        <f>326.3</f>
        <v>326.3</v>
      </c>
      <c r="P311" s="34" t="s">
        <v>49</v>
      </c>
      <c r="Q311" s="33" t="n">
        <f>332.5</f>
        <v>332.5</v>
      </c>
      <c r="R311" s="34" t="s">
        <v>50</v>
      </c>
      <c r="S311" s="35" t="n">
        <f>334.76</f>
        <v>334.76</v>
      </c>
      <c r="T311" s="32" t="n">
        <f>7236340</f>
        <v>7236340.0</v>
      </c>
      <c r="U311" s="32" t="n">
        <f>2570210</f>
        <v>2570210.0</v>
      </c>
      <c r="V311" s="32" t="n">
        <f>2436917786</f>
        <v>2.436917786E9</v>
      </c>
      <c r="W311" s="32" t="n">
        <f>868840693</f>
        <v>8.68840693E8</v>
      </c>
      <c r="X311" s="36" t="n">
        <f>21</f>
        <v>21.0</v>
      </c>
    </row>
    <row r="312">
      <c r="A312" s="27" t="s">
        <v>42</v>
      </c>
      <c r="B312" s="27" t="s">
        <v>990</v>
      </c>
      <c r="C312" s="27" t="s">
        <v>991</v>
      </c>
      <c r="D312" s="27" t="s">
        <v>992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1252</f>
        <v>1252.0</v>
      </c>
      <c r="L312" s="34" t="s">
        <v>48</v>
      </c>
      <c r="M312" s="33" t="n">
        <f>1310</f>
        <v>1310.0</v>
      </c>
      <c r="N312" s="34" t="s">
        <v>49</v>
      </c>
      <c r="O312" s="33" t="n">
        <f>1251</f>
        <v>1251.0</v>
      </c>
      <c r="P312" s="34" t="s">
        <v>48</v>
      </c>
      <c r="Q312" s="33" t="n">
        <f>1285</f>
        <v>1285.0</v>
      </c>
      <c r="R312" s="34" t="s">
        <v>50</v>
      </c>
      <c r="S312" s="35" t="n">
        <f>1286.05</f>
        <v>1286.05</v>
      </c>
      <c r="T312" s="32" t="n">
        <f>38503607</f>
        <v>3.8503607E7</v>
      </c>
      <c r="U312" s="32" t="n">
        <f>264457</f>
        <v>264457.0</v>
      </c>
      <c r="V312" s="32" t="n">
        <f>49593409884</f>
        <v>4.9593409884E10</v>
      </c>
      <c r="W312" s="32" t="n">
        <f>336504124</f>
        <v>3.36504124E8</v>
      </c>
      <c r="X312" s="36" t="n">
        <f>21</f>
        <v>21.0</v>
      </c>
    </row>
    <row r="313">
      <c r="A313" s="27" t="s">
        <v>42</v>
      </c>
      <c r="B313" s="27" t="s">
        <v>993</v>
      </c>
      <c r="C313" s="27" t="s">
        <v>994</v>
      </c>
      <c r="D313" s="27" t="s">
        <v>995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1759</f>
        <v>1759.0</v>
      </c>
      <c r="L313" s="34" t="s">
        <v>48</v>
      </c>
      <c r="M313" s="33" t="n">
        <f>1809</f>
        <v>1809.0</v>
      </c>
      <c r="N313" s="34" t="s">
        <v>67</v>
      </c>
      <c r="O313" s="33" t="n">
        <f>1748</f>
        <v>1748.0</v>
      </c>
      <c r="P313" s="34" t="s">
        <v>60</v>
      </c>
      <c r="Q313" s="33" t="n">
        <f>1792</f>
        <v>1792.0</v>
      </c>
      <c r="R313" s="34" t="s">
        <v>50</v>
      </c>
      <c r="S313" s="35" t="n">
        <f>1780.05</f>
        <v>1780.05</v>
      </c>
      <c r="T313" s="32" t="n">
        <f>81700</f>
        <v>81700.0</v>
      </c>
      <c r="U313" s="32" t="str">
        <f>"－"</f>
        <v>－</v>
      </c>
      <c r="V313" s="32" t="n">
        <f>145013345</f>
        <v>1.45013345E8</v>
      </c>
      <c r="W313" s="32" t="str">
        <f>"－"</f>
        <v>－</v>
      </c>
      <c r="X313" s="36" t="n">
        <f>21</f>
        <v>21.0</v>
      </c>
    </row>
    <row r="314">
      <c r="A314" s="27" t="s">
        <v>42</v>
      </c>
      <c r="B314" s="27" t="s">
        <v>996</v>
      </c>
      <c r="C314" s="27" t="s">
        <v>997</v>
      </c>
      <c r="D314" s="27" t="s">
        <v>998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2085</f>
        <v>2085.0</v>
      </c>
      <c r="L314" s="34" t="s">
        <v>48</v>
      </c>
      <c r="M314" s="33" t="n">
        <f>2093</f>
        <v>2093.0</v>
      </c>
      <c r="N314" s="34" t="s">
        <v>67</v>
      </c>
      <c r="O314" s="33" t="n">
        <f>2074</f>
        <v>2074.0</v>
      </c>
      <c r="P314" s="34" t="s">
        <v>214</v>
      </c>
      <c r="Q314" s="33" t="n">
        <f>2083</f>
        <v>2083.0</v>
      </c>
      <c r="R314" s="34" t="s">
        <v>50</v>
      </c>
      <c r="S314" s="35" t="n">
        <f>2083.86</f>
        <v>2083.86</v>
      </c>
      <c r="T314" s="32" t="n">
        <f>2757193</f>
        <v>2757193.0</v>
      </c>
      <c r="U314" s="32" t="n">
        <f>2733000</f>
        <v>2733000.0</v>
      </c>
      <c r="V314" s="32" t="n">
        <f>5753094253</f>
        <v>5.753094253E9</v>
      </c>
      <c r="W314" s="32" t="n">
        <f>5702647200</f>
        <v>5.7026472E9</v>
      </c>
      <c r="X314" s="36" t="n">
        <f>21</f>
        <v>21.0</v>
      </c>
    </row>
    <row r="315">
      <c r="A315" s="27" t="s">
        <v>42</v>
      </c>
      <c r="B315" s="27" t="s">
        <v>999</v>
      </c>
      <c r="C315" s="27" t="s">
        <v>1000</v>
      </c>
      <c r="D315" s="27" t="s">
        <v>1001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3890</f>
        <v>3890.0</v>
      </c>
      <c r="L315" s="34" t="s">
        <v>48</v>
      </c>
      <c r="M315" s="33" t="n">
        <f>3890</f>
        <v>3890.0</v>
      </c>
      <c r="N315" s="34" t="s">
        <v>48</v>
      </c>
      <c r="O315" s="33" t="n">
        <f>3070</f>
        <v>3070.0</v>
      </c>
      <c r="P315" s="34" t="s">
        <v>49</v>
      </c>
      <c r="Q315" s="33" t="n">
        <f>3875</f>
        <v>3875.0</v>
      </c>
      <c r="R315" s="34" t="s">
        <v>50</v>
      </c>
      <c r="S315" s="35" t="n">
        <f>3696.9</f>
        <v>3696.9</v>
      </c>
      <c r="T315" s="32" t="n">
        <f>2072637</f>
        <v>2072637.0</v>
      </c>
      <c r="U315" s="32" t="n">
        <f>1129567</f>
        <v>1129567.0</v>
      </c>
      <c r="V315" s="32" t="n">
        <f>7591628890</f>
        <v>7.59162889E9</v>
      </c>
      <c r="W315" s="32" t="n">
        <f>4140741740</f>
        <v>4.14074174E9</v>
      </c>
      <c r="X315" s="36" t="n">
        <f>21</f>
        <v>21.0</v>
      </c>
    </row>
    <row r="316">
      <c r="A316" s="27" t="s">
        <v>42</v>
      </c>
      <c r="B316" s="27" t="s">
        <v>1002</v>
      </c>
      <c r="C316" s="27" t="s">
        <v>1003</v>
      </c>
      <c r="D316" s="27" t="s">
        <v>1004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2795</f>
        <v>2795.0</v>
      </c>
      <c r="L316" s="34" t="s">
        <v>48</v>
      </c>
      <c r="M316" s="33" t="n">
        <f>2795</f>
        <v>2795.0</v>
      </c>
      <c r="N316" s="34" t="s">
        <v>48</v>
      </c>
      <c r="O316" s="33" t="n">
        <f>2130</f>
        <v>2130.0</v>
      </c>
      <c r="P316" s="34" t="s">
        <v>49</v>
      </c>
      <c r="Q316" s="33" t="n">
        <f>2717</f>
        <v>2717.0</v>
      </c>
      <c r="R316" s="34" t="s">
        <v>50</v>
      </c>
      <c r="S316" s="35" t="n">
        <f>2599.67</f>
        <v>2599.67</v>
      </c>
      <c r="T316" s="32" t="n">
        <f>2584416</f>
        <v>2584416.0</v>
      </c>
      <c r="U316" s="32" t="n">
        <f>1861783</f>
        <v>1861783.0</v>
      </c>
      <c r="V316" s="32" t="n">
        <f>6203670296</f>
        <v>6.203670296E9</v>
      </c>
      <c r="W316" s="32" t="n">
        <f>4453481167</f>
        <v>4.453481167E9</v>
      </c>
      <c r="X316" s="36" t="n">
        <f>21</f>
        <v>21.0</v>
      </c>
    </row>
    <row r="317">
      <c r="A317" s="27" t="s">
        <v>42</v>
      </c>
      <c r="B317" s="27" t="s">
        <v>1005</v>
      </c>
      <c r="C317" s="27" t="s">
        <v>1006</v>
      </c>
      <c r="D317" s="27" t="s">
        <v>1007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2219</f>
        <v>2219.0</v>
      </c>
      <c r="L317" s="34" t="s">
        <v>48</v>
      </c>
      <c r="M317" s="33" t="n">
        <f>2309</f>
        <v>2309.0</v>
      </c>
      <c r="N317" s="34" t="s">
        <v>50</v>
      </c>
      <c r="O317" s="33" t="n">
        <f>1952</f>
        <v>1952.0</v>
      </c>
      <c r="P317" s="34" t="s">
        <v>49</v>
      </c>
      <c r="Q317" s="33" t="n">
        <f>2300</f>
        <v>2300.0</v>
      </c>
      <c r="R317" s="34" t="s">
        <v>50</v>
      </c>
      <c r="S317" s="35" t="n">
        <f>2175.29</f>
        <v>2175.29</v>
      </c>
      <c r="T317" s="32" t="n">
        <f>33872</f>
        <v>33872.0</v>
      </c>
      <c r="U317" s="32" t="str">
        <f>"－"</f>
        <v>－</v>
      </c>
      <c r="V317" s="32" t="n">
        <f>75539985</f>
        <v>7.5539985E7</v>
      </c>
      <c r="W317" s="32" t="str">
        <f>"－"</f>
        <v>－</v>
      </c>
      <c r="X317" s="36" t="n">
        <f>21</f>
        <v>21.0</v>
      </c>
    </row>
    <row r="318">
      <c r="A318" s="27" t="s">
        <v>42</v>
      </c>
      <c r="B318" s="27" t="s">
        <v>1008</v>
      </c>
      <c r="C318" s="27" t="s">
        <v>1009</v>
      </c>
      <c r="D318" s="27" t="s">
        <v>1010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1300</f>
        <v>1300.0</v>
      </c>
      <c r="L318" s="34" t="s">
        <v>48</v>
      </c>
      <c r="M318" s="33" t="n">
        <f>1406</f>
        <v>1406.0</v>
      </c>
      <c r="N318" s="34" t="s">
        <v>153</v>
      </c>
      <c r="O318" s="33" t="n">
        <f>1100</f>
        <v>1100.0</v>
      </c>
      <c r="P318" s="34" t="s">
        <v>49</v>
      </c>
      <c r="Q318" s="33" t="n">
        <f>1397</f>
        <v>1397.0</v>
      </c>
      <c r="R318" s="34" t="s">
        <v>50</v>
      </c>
      <c r="S318" s="35" t="n">
        <f>1314.95</f>
        <v>1314.95</v>
      </c>
      <c r="T318" s="32" t="n">
        <f>20764</f>
        <v>20764.0</v>
      </c>
      <c r="U318" s="32" t="str">
        <f>"－"</f>
        <v>－</v>
      </c>
      <c r="V318" s="32" t="n">
        <f>27148144</f>
        <v>2.7148144E7</v>
      </c>
      <c r="W318" s="32" t="str">
        <f>"－"</f>
        <v>－</v>
      </c>
      <c r="X318" s="36" t="n">
        <f>21</f>
        <v>21.0</v>
      </c>
    </row>
    <row r="319">
      <c r="A319" s="27" t="s">
        <v>42</v>
      </c>
      <c r="B319" s="27" t="s">
        <v>1011</v>
      </c>
      <c r="C319" s="27" t="s">
        <v>1012</v>
      </c>
      <c r="D319" s="27" t="s">
        <v>1013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1600</f>
        <v>1600.0</v>
      </c>
      <c r="L319" s="34" t="s">
        <v>48</v>
      </c>
      <c r="M319" s="33" t="n">
        <f>1600</f>
        <v>1600.0</v>
      </c>
      <c r="N319" s="34" t="s">
        <v>48</v>
      </c>
      <c r="O319" s="33" t="n">
        <f>1390</f>
        <v>1390.0</v>
      </c>
      <c r="P319" s="34" t="s">
        <v>104</v>
      </c>
      <c r="Q319" s="33" t="n">
        <f>1500</f>
        <v>1500.0</v>
      </c>
      <c r="R319" s="34" t="s">
        <v>50</v>
      </c>
      <c r="S319" s="35" t="n">
        <f>1473.38</f>
        <v>1473.38</v>
      </c>
      <c r="T319" s="32" t="n">
        <f>30963</f>
        <v>30963.0</v>
      </c>
      <c r="U319" s="32" t="str">
        <f>"－"</f>
        <v>－</v>
      </c>
      <c r="V319" s="32" t="n">
        <f>45206713</f>
        <v>4.5206713E7</v>
      </c>
      <c r="W319" s="32" t="str">
        <f>"－"</f>
        <v>－</v>
      </c>
      <c r="X319" s="36" t="n">
        <f>21</f>
        <v>21.0</v>
      </c>
    </row>
    <row r="320">
      <c r="A320" s="27" t="s">
        <v>42</v>
      </c>
      <c r="B320" s="27" t="s">
        <v>1014</v>
      </c>
      <c r="C320" s="27" t="s">
        <v>1015</v>
      </c>
      <c r="D320" s="27" t="s">
        <v>1016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2400</f>
        <v>2400.0</v>
      </c>
      <c r="L320" s="34" t="s">
        <v>48</v>
      </c>
      <c r="M320" s="33" t="n">
        <f>2400</f>
        <v>2400.0</v>
      </c>
      <c r="N320" s="34" t="s">
        <v>48</v>
      </c>
      <c r="O320" s="33" t="n">
        <f>2213</f>
        <v>2213.0</v>
      </c>
      <c r="P320" s="34" t="s">
        <v>49</v>
      </c>
      <c r="Q320" s="33" t="n">
        <f>2314</f>
        <v>2314.0</v>
      </c>
      <c r="R320" s="34" t="s">
        <v>50</v>
      </c>
      <c r="S320" s="35" t="n">
        <f>2280.15</f>
        <v>2280.15</v>
      </c>
      <c r="T320" s="32" t="n">
        <f>9122</f>
        <v>9122.0</v>
      </c>
      <c r="U320" s="32" t="str">
        <f>"－"</f>
        <v>－</v>
      </c>
      <c r="V320" s="32" t="n">
        <f>21326032</f>
        <v>2.1326032E7</v>
      </c>
      <c r="W320" s="32" t="str">
        <f>"－"</f>
        <v>－</v>
      </c>
      <c r="X320" s="36" t="n">
        <f>20</f>
        <v>20.0</v>
      </c>
    </row>
    <row r="321">
      <c r="A321" s="27" t="s">
        <v>42</v>
      </c>
      <c r="B321" s="27" t="s">
        <v>1017</v>
      </c>
      <c r="C321" s="27" t="s">
        <v>1018</v>
      </c>
      <c r="D321" s="27" t="s">
        <v>1019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12625</f>
        <v>12625.0</v>
      </c>
      <c r="L321" s="34" t="s">
        <v>48</v>
      </c>
      <c r="M321" s="33" t="n">
        <f>12880</f>
        <v>12880.0</v>
      </c>
      <c r="N321" s="34" t="s">
        <v>48</v>
      </c>
      <c r="O321" s="33" t="n">
        <f>11600</f>
        <v>11600.0</v>
      </c>
      <c r="P321" s="34" t="s">
        <v>60</v>
      </c>
      <c r="Q321" s="33" t="n">
        <f>12750</f>
        <v>12750.0</v>
      </c>
      <c r="R321" s="34" t="s">
        <v>50</v>
      </c>
      <c r="S321" s="35" t="n">
        <f>12490.95</f>
        <v>12490.95</v>
      </c>
      <c r="T321" s="32" t="n">
        <f>229440</f>
        <v>229440.0</v>
      </c>
      <c r="U321" s="32" t="n">
        <f>11</f>
        <v>11.0</v>
      </c>
      <c r="V321" s="32" t="n">
        <f>2839470600</f>
        <v>2.8394706E9</v>
      </c>
      <c r="W321" s="32" t="n">
        <f>137260</f>
        <v>137260.0</v>
      </c>
      <c r="X321" s="36" t="n">
        <f>21</f>
        <v>21.0</v>
      </c>
    </row>
    <row r="322">
      <c r="A322" s="27" t="s">
        <v>42</v>
      </c>
      <c r="B322" s="27" t="s">
        <v>1020</v>
      </c>
      <c r="C322" s="27" t="s">
        <v>1021</v>
      </c>
      <c r="D322" s="27" t="s">
        <v>1022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20990</f>
        <v>20990.0</v>
      </c>
      <c r="L322" s="34" t="s">
        <v>48</v>
      </c>
      <c r="M322" s="33" t="n">
        <f>21035</f>
        <v>21035.0</v>
      </c>
      <c r="N322" s="34" t="s">
        <v>48</v>
      </c>
      <c r="O322" s="33" t="n">
        <f>17500</f>
        <v>17500.0</v>
      </c>
      <c r="P322" s="34" t="s">
        <v>49</v>
      </c>
      <c r="Q322" s="33" t="n">
        <f>20170</f>
        <v>20170.0</v>
      </c>
      <c r="R322" s="34" t="s">
        <v>50</v>
      </c>
      <c r="S322" s="35" t="n">
        <f>20005.24</f>
        <v>20005.24</v>
      </c>
      <c r="T322" s="32" t="n">
        <f>667072</f>
        <v>667072.0</v>
      </c>
      <c r="U322" s="32" t="n">
        <f>83</f>
        <v>83.0</v>
      </c>
      <c r="V322" s="32" t="n">
        <f>12982962875</f>
        <v>1.2982962875E10</v>
      </c>
      <c r="W322" s="32" t="n">
        <f>1676585</f>
        <v>1676585.0</v>
      </c>
      <c r="X322" s="36" t="n">
        <f>21</f>
        <v>21.0</v>
      </c>
    </row>
    <row r="323">
      <c r="A323" s="27" t="s">
        <v>42</v>
      </c>
      <c r="B323" s="27" t="s">
        <v>1023</v>
      </c>
      <c r="C323" s="27" t="s">
        <v>1024</v>
      </c>
      <c r="D323" s="27" t="s">
        <v>1025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12920</f>
        <v>12920.0</v>
      </c>
      <c r="L323" s="34" t="s">
        <v>48</v>
      </c>
      <c r="M323" s="33" t="n">
        <f>13070</f>
        <v>13070.0</v>
      </c>
      <c r="N323" s="34" t="s">
        <v>215</v>
      </c>
      <c r="O323" s="33" t="n">
        <f>11075</f>
        <v>11075.0</v>
      </c>
      <c r="P323" s="34" t="s">
        <v>49</v>
      </c>
      <c r="Q323" s="33" t="n">
        <f>12755</f>
        <v>12755.0</v>
      </c>
      <c r="R323" s="34" t="s">
        <v>50</v>
      </c>
      <c r="S323" s="35" t="n">
        <f>12580.95</f>
        <v>12580.95</v>
      </c>
      <c r="T323" s="32" t="n">
        <f>640955</f>
        <v>640955.0</v>
      </c>
      <c r="U323" s="32" t="n">
        <f>227515</f>
        <v>227515.0</v>
      </c>
      <c r="V323" s="32" t="n">
        <f>8110340577</f>
        <v>8.110340577E9</v>
      </c>
      <c r="W323" s="32" t="n">
        <f>2924946887</f>
        <v>2.924946887E9</v>
      </c>
      <c r="X323" s="36" t="n">
        <f>21</f>
        <v>21.0</v>
      </c>
    </row>
    <row r="324">
      <c r="A324" s="27" t="s">
        <v>42</v>
      </c>
      <c r="B324" s="27" t="s">
        <v>1026</v>
      </c>
      <c r="C324" s="27" t="s">
        <v>1027</v>
      </c>
      <c r="D324" s="27" t="s">
        <v>1028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10.0</v>
      </c>
      <c r="K324" s="33" t="n">
        <f>384.4</f>
        <v>384.4</v>
      </c>
      <c r="L324" s="34" t="s">
        <v>48</v>
      </c>
      <c r="M324" s="33" t="n">
        <f>385.4</f>
        <v>385.4</v>
      </c>
      <c r="N324" s="34" t="s">
        <v>48</v>
      </c>
      <c r="O324" s="33" t="n">
        <f>341.4</f>
        <v>341.4</v>
      </c>
      <c r="P324" s="34" t="s">
        <v>49</v>
      </c>
      <c r="Q324" s="33" t="n">
        <f>375.9</f>
        <v>375.9</v>
      </c>
      <c r="R324" s="34" t="s">
        <v>50</v>
      </c>
      <c r="S324" s="35" t="n">
        <f>370.51</f>
        <v>370.51</v>
      </c>
      <c r="T324" s="32" t="n">
        <f>25567140</f>
        <v>2.556714E7</v>
      </c>
      <c r="U324" s="32" t="n">
        <f>1998930</f>
        <v>1998930.0</v>
      </c>
      <c r="V324" s="32" t="n">
        <f>9398866874</f>
        <v>9.398866874E9</v>
      </c>
      <c r="W324" s="32" t="n">
        <f>755433290</f>
        <v>7.5543329E8</v>
      </c>
      <c r="X324" s="36" t="n">
        <f>21</f>
        <v>21.0</v>
      </c>
    </row>
    <row r="325">
      <c r="A325" s="27" t="s">
        <v>42</v>
      </c>
      <c r="B325" s="27" t="s">
        <v>1029</v>
      </c>
      <c r="C325" s="27" t="s">
        <v>1030</v>
      </c>
      <c r="D325" s="27" t="s">
        <v>1031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2486.5</f>
        <v>2486.5</v>
      </c>
      <c r="L325" s="34" t="s">
        <v>48</v>
      </c>
      <c r="M325" s="33" t="n">
        <f>2523</f>
        <v>2523.0</v>
      </c>
      <c r="N325" s="34" t="s">
        <v>261</v>
      </c>
      <c r="O325" s="33" t="n">
        <f>2290.5</f>
        <v>2290.5</v>
      </c>
      <c r="P325" s="34" t="s">
        <v>49</v>
      </c>
      <c r="Q325" s="33" t="n">
        <f>2503.5</f>
        <v>2503.5</v>
      </c>
      <c r="R325" s="34" t="s">
        <v>50</v>
      </c>
      <c r="S325" s="35" t="n">
        <f>2449.21</f>
        <v>2449.21</v>
      </c>
      <c r="T325" s="32" t="n">
        <f>3161220</f>
        <v>3161220.0</v>
      </c>
      <c r="U325" s="32" t="n">
        <f>2089140</f>
        <v>2089140.0</v>
      </c>
      <c r="V325" s="32" t="n">
        <f>7667791876</f>
        <v>7.667791876E9</v>
      </c>
      <c r="W325" s="32" t="n">
        <f>5051333611</f>
        <v>5.051333611E9</v>
      </c>
      <c r="X325" s="36" t="n">
        <f>21</f>
        <v>21.0</v>
      </c>
    </row>
    <row r="326">
      <c r="A326" s="27" t="s">
        <v>42</v>
      </c>
      <c r="B326" s="27" t="s">
        <v>1032</v>
      </c>
      <c r="C326" s="27" t="s">
        <v>1033</v>
      </c>
      <c r="D326" s="27" t="s">
        <v>1034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4000</f>
        <v>4000.0</v>
      </c>
      <c r="L326" s="34" t="s">
        <v>48</v>
      </c>
      <c r="M326" s="33" t="n">
        <f>4000</f>
        <v>4000.0</v>
      </c>
      <c r="N326" s="34" t="s">
        <v>48</v>
      </c>
      <c r="O326" s="33" t="n">
        <f>3557</f>
        <v>3557.0</v>
      </c>
      <c r="P326" s="34" t="s">
        <v>49</v>
      </c>
      <c r="Q326" s="33" t="n">
        <f>3900</f>
        <v>3900.0</v>
      </c>
      <c r="R326" s="34" t="s">
        <v>50</v>
      </c>
      <c r="S326" s="35" t="n">
        <f>3858.14</f>
        <v>3858.14</v>
      </c>
      <c r="T326" s="32" t="n">
        <f>303840</f>
        <v>303840.0</v>
      </c>
      <c r="U326" s="32" t="n">
        <f>20</f>
        <v>20.0</v>
      </c>
      <c r="V326" s="32" t="n">
        <f>1182276980</f>
        <v>1.18227698E9</v>
      </c>
      <c r="W326" s="32" t="n">
        <f>76620</f>
        <v>76620.0</v>
      </c>
      <c r="X326" s="36" t="n">
        <f>21</f>
        <v>21.0</v>
      </c>
    </row>
    <row r="327">
      <c r="A327" s="27" t="s">
        <v>42</v>
      </c>
      <c r="B327" s="27" t="s">
        <v>1035</v>
      </c>
      <c r="C327" s="27" t="s">
        <v>1036</v>
      </c>
      <c r="D327" s="27" t="s">
        <v>1037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3390</f>
        <v>3390.0</v>
      </c>
      <c r="L327" s="34" t="s">
        <v>48</v>
      </c>
      <c r="M327" s="33" t="n">
        <f>3390</f>
        <v>3390.0</v>
      </c>
      <c r="N327" s="34" t="s">
        <v>48</v>
      </c>
      <c r="O327" s="33" t="n">
        <f>2823</f>
        <v>2823.0</v>
      </c>
      <c r="P327" s="34" t="s">
        <v>49</v>
      </c>
      <c r="Q327" s="33" t="n">
        <f>3365</f>
        <v>3365.0</v>
      </c>
      <c r="R327" s="34" t="s">
        <v>50</v>
      </c>
      <c r="S327" s="35" t="n">
        <f>3217.76</f>
        <v>3217.76</v>
      </c>
      <c r="T327" s="32" t="n">
        <f>11087</f>
        <v>11087.0</v>
      </c>
      <c r="U327" s="32" t="n">
        <f>420</f>
        <v>420.0</v>
      </c>
      <c r="V327" s="32" t="n">
        <f>35783927</f>
        <v>3.5783927E7</v>
      </c>
      <c r="W327" s="32" t="n">
        <f>1325550</f>
        <v>1325550.0</v>
      </c>
      <c r="X327" s="36" t="n">
        <f>21</f>
        <v>21.0</v>
      </c>
    </row>
    <row r="328">
      <c r="A328" s="27" t="s">
        <v>42</v>
      </c>
      <c r="B328" s="27" t="s">
        <v>1038</v>
      </c>
      <c r="C328" s="27" t="s">
        <v>1039</v>
      </c>
      <c r="D328" s="27" t="s">
        <v>1040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1691</f>
        <v>1691.0</v>
      </c>
      <c r="L328" s="34" t="s">
        <v>48</v>
      </c>
      <c r="M328" s="33" t="n">
        <f>1691</f>
        <v>1691.0</v>
      </c>
      <c r="N328" s="34" t="s">
        <v>48</v>
      </c>
      <c r="O328" s="33" t="n">
        <f>1424</f>
        <v>1424.0</v>
      </c>
      <c r="P328" s="34" t="s">
        <v>247</v>
      </c>
      <c r="Q328" s="33" t="n">
        <f>1583</f>
        <v>1583.0</v>
      </c>
      <c r="R328" s="34" t="s">
        <v>50</v>
      </c>
      <c r="S328" s="35" t="n">
        <f>1537.19</f>
        <v>1537.19</v>
      </c>
      <c r="T328" s="32" t="n">
        <f>48920</f>
        <v>48920.0</v>
      </c>
      <c r="U328" s="32" t="n">
        <f>33000</f>
        <v>33000.0</v>
      </c>
      <c r="V328" s="32" t="n">
        <f>73003708</f>
        <v>7.3003708E7</v>
      </c>
      <c r="W328" s="32" t="n">
        <f>49064400</f>
        <v>4.90644E7</v>
      </c>
      <c r="X328" s="36" t="n">
        <f>21</f>
        <v>21.0</v>
      </c>
    </row>
    <row r="329">
      <c r="A329" s="27" t="s">
        <v>42</v>
      </c>
      <c r="B329" s="27" t="s">
        <v>1041</v>
      </c>
      <c r="C329" s="27" t="s">
        <v>1042</v>
      </c>
      <c r="D329" s="27" t="s">
        <v>1043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1983</f>
        <v>1983.0</v>
      </c>
      <c r="L329" s="34" t="s">
        <v>48</v>
      </c>
      <c r="M329" s="33" t="n">
        <f>2028</f>
        <v>2028.0</v>
      </c>
      <c r="N329" s="34" t="s">
        <v>50</v>
      </c>
      <c r="O329" s="33" t="n">
        <f>1600</f>
        <v>1600.0</v>
      </c>
      <c r="P329" s="34" t="s">
        <v>49</v>
      </c>
      <c r="Q329" s="33" t="n">
        <f>2024</f>
        <v>2024.0</v>
      </c>
      <c r="R329" s="34" t="s">
        <v>50</v>
      </c>
      <c r="S329" s="35" t="n">
        <f>1913.57</f>
        <v>1913.57</v>
      </c>
      <c r="T329" s="32" t="n">
        <f>372614</f>
        <v>372614.0</v>
      </c>
      <c r="U329" s="32" t="n">
        <f>45500</f>
        <v>45500.0</v>
      </c>
      <c r="V329" s="32" t="n">
        <f>674814545</f>
        <v>6.74814545E8</v>
      </c>
      <c r="W329" s="32" t="n">
        <f>81799221</f>
        <v>8.1799221E7</v>
      </c>
      <c r="X329" s="36" t="n">
        <f>21</f>
        <v>21.0</v>
      </c>
    </row>
    <row r="330">
      <c r="A330" s="27" t="s">
        <v>42</v>
      </c>
      <c r="B330" s="27" t="s">
        <v>1044</v>
      </c>
      <c r="C330" s="27" t="s">
        <v>1045</v>
      </c>
      <c r="D330" s="27" t="s">
        <v>1046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1690</f>
        <v>1690.0</v>
      </c>
      <c r="L330" s="34" t="s">
        <v>48</v>
      </c>
      <c r="M330" s="33" t="n">
        <f>1775</f>
        <v>1775.0</v>
      </c>
      <c r="N330" s="34" t="s">
        <v>153</v>
      </c>
      <c r="O330" s="33" t="n">
        <f>1487</f>
        <v>1487.0</v>
      </c>
      <c r="P330" s="34" t="s">
        <v>49</v>
      </c>
      <c r="Q330" s="33" t="n">
        <f>1748</f>
        <v>1748.0</v>
      </c>
      <c r="R330" s="34" t="s">
        <v>50</v>
      </c>
      <c r="S330" s="35" t="n">
        <f>1661</f>
        <v>1661.0</v>
      </c>
      <c r="T330" s="32" t="n">
        <f>21946</f>
        <v>21946.0</v>
      </c>
      <c r="U330" s="32" t="n">
        <f>20</f>
        <v>20.0</v>
      </c>
      <c r="V330" s="32" t="n">
        <f>37035807</f>
        <v>3.7035807E7</v>
      </c>
      <c r="W330" s="32" t="n">
        <f>29636</f>
        <v>29636.0</v>
      </c>
      <c r="X330" s="36" t="n">
        <f>21</f>
        <v>21.0</v>
      </c>
    </row>
    <row r="331">
      <c r="A331" s="27" t="s">
        <v>42</v>
      </c>
      <c r="B331" s="27" t="s">
        <v>1047</v>
      </c>
      <c r="C331" s="27" t="s">
        <v>1048</v>
      </c>
      <c r="D331" s="27" t="s">
        <v>1049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3085</f>
        <v>3085.0</v>
      </c>
      <c r="L331" s="34" t="s">
        <v>48</v>
      </c>
      <c r="M331" s="33" t="n">
        <f>3165</f>
        <v>3165.0</v>
      </c>
      <c r="N331" s="34" t="s">
        <v>153</v>
      </c>
      <c r="O331" s="33" t="n">
        <f>2540</f>
        <v>2540.0</v>
      </c>
      <c r="P331" s="34" t="s">
        <v>49</v>
      </c>
      <c r="Q331" s="33" t="n">
        <f>3165</f>
        <v>3165.0</v>
      </c>
      <c r="R331" s="34" t="s">
        <v>50</v>
      </c>
      <c r="S331" s="35" t="n">
        <f>2994.81</f>
        <v>2994.81</v>
      </c>
      <c r="T331" s="32" t="n">
        <f>43682</f>
        <v>43682.0</v>
      </c>
      <c r="U331" s="32" t="n">
        <f>500</f>
        <v>500.0</v>
      </c>
      <c r="V331" s="32" t="n">
        <f>129078530</f>
        <v>1.2907853E8</v>
      </c>
      <c r="W331" s="32" t="n">
        <f>1480130</f>
        <v>1480130.0</v>
      </c>
      <c r="X331" s="36" t="n">
        <f>21</f>
        <v>21.0</v>
      </c>
    </row>
    <row r="332">
      <c r="A332" s="27" t="s">
        <v>42</v>
      </c>
      <c r="B332" s="27" t="s">
        <v>1050</v>
      </c>
      <c r="C332" s="27" t="s">
        <v>1051</v>
      </c>
      <c r="D332" s="27" t="s">
        <v>1052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3190</f>
        <v>3190.0</v>
      </c>
      <c r="L332" s="34" t="s">
        <v>48</v>
      </c>
      <c r="M332" s="33" t="n">
        <f>3190</f>
        <v>3190.0</v>
      </c>
      <c r="N332" s="34" t="s">
        <v>48</v>
      </c>
      <c r="O332" s="33" t="n">
        <f>2319</f>
        <v>2319.0</v>
      </c>
      <c r="P332" s="34" t="s">
        <v>49</v>
      </c>
      <c r="Q332" s="33" t="n">
        <f>3070</f>
        <v>3070.0</v>
      </c>
      <c r="R332" s="34" t="s">
        <v>50</v>
      </c>
      <c r="S332" s="35" t="n">
        <f>2911.14</f>
        <v>2911.14</v>
      </c>
      <c r="T332" s="32" t="n">
        <f>457714</f>
        <v>457714.0</v>
      </c>
      <c r="U332" s="32" t="n">
        <f>100670</f>
        <v>100670.0</v>
      </c>
      <c r="V332" s="32" t="n">
        <f>1271253765</f>
        <v>1.271253765E9</v>
      </c>
      <c r="W332" s="32" t="n">
        <f>289582978</f>
        <v>2.89582978E8</v>
      </c>
      <c r="X332" s="36" t="n">
        <f>21</f>
        <v>21.0</v>
      </c>
    </row>
    <row r="333">
      <c r="A333" s="27" t="s">
        <v>42</v>
      </c>
      <c r="B333" s="27" t="s">
        <v>1053</v>
      </c>
      <c r="C333" s="27" t="s">
        <v>1054</v>
      </c>
      <c r="D333" s="27" t="s">
        <v>1055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36040</f>
        <v>36040.0</v>
      </c>
      <c r="L333" s="34" t="s">
        <v>48</v>
      </c>
      <c r="M333" s="33" t="n">
        <f>36040</f>
        <v>36040.0</v>
      </c>
      <c r="N333" s="34" t="s">
        <v>48</v>
      </c>
      <c r="O333" s="33" t="n">
        <f>28300</f>
        <v>28300.0</v>
      </c>
      <c r="P333" s="34" t="s">
        <v>49</v>
      </c>
      <c r="Q333" s="33" t="n">
        <f>35750</f>
        <v>35750.0</v>
      </c>
      <c r="R333" s="34" t="s">
        <v>50</v>
      </c>
      <c r="S333" s="35" t="n">
        <f>34083.68</f>
        <v>34083.68</v>
      </c>
      <c r="T333" s="32" t="n">
        <f>124</f>
        <v>124.0</v>
      </c>
      <c r="U333" s="32" t="str">
        <f>"－"</f>
        <v>－</v>
      </c>
      <c r="V333" s="32" t="n">
        <f>3914465</f>
        <v>3914465.0</v>
      </c>
      <c r="W333" s="32" t="str">
        <f>"－"</f>
        <v>－</v>
      </c>
      <c r="X333" s="36" t="n">
        <f>19</f>
        <v>19.0</v>
      </c>
    </row>
    <row r="334">
      <c r="A334" s="27" t="s">
        <v>42</v>
      </c>
      <c r="B334" s="27" t="s">
        <v>1056</v>
      </c>
      <c r="C334" s="27" t="s">
        <v>1057</v>
      </c>
      <c r="D334" s="27" t="s">
        <v>1058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2896</f>
        <v>2896.0</v>
      </c>
      <c r="L334" s="34" t="s">
        <v>48</v>
      </c>
      <c r="M334" s="33" t="n">
        <f>2896</f>
        <v>2896.0</v>
      </c>
      <c r="N334" s="34" t="s">
        <v>48</v>
      </c>
      <c r="O334" s="33" t="n">
        <f>2380</f>
        <v>2380.0</v>
      </c>
      <c r="P334" s="34" t="s">
        <v>49</v>
      </c>
      <c r="Q334" s="33" t="n">
        <f>2850</f>
        <v>2850.0</v>
      </c>
      <c r="R334" s="34" t="s">
        <v>50</v>
      </c>
      <c r="S334" s="35" t="n">
        <f>2713.67</f>
        <v>2713.67</v>
      </c>
      <c r="T334" s="32" t="n">
        <f>17591</f>
        <v>17591.0</v>
      </c>
      <c r="U334" s="32" t="str">
        <f>"－"</f>
        <v>－</v>
      </c>
      <c r="V334" s="32" t="n">
        <f>46147561</f>
        <v>4.6147561E7</v>
      </c>
      <c r="W334" s="32" t="str">
        <f>"－"</f>
        <v>－</v>
      </c>
      <c r="X334" s="36" t="n">
        <f>21</f>
        <v>21.0</v>
      </c>
    </row>
    <row r="335">
      <c r="A335" s="27" t="s">
        <v>42</v>
      </c>
      <c r="B335" s="27" t="s">
        <v>1059</v>
      </c>
      <c r="C335" s="27" t="s">
        <v>1060</v>
      </c>
      <c r="D335" s="27" t="s">
        <v>1061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1.0</v>
      </c>
      <c r="K335" s="33" t="n">
        <f>4285</f>
        <v>4285.0</v>
      </c>
      <c r="L335" s="34" t="s">
        <v>48</v>
      </c>
      <c r="M335" s="33" t="n">
        <f>4285</f>
        <v>4285.0</v>
      </c>
      <c r="N335" s="34" t="s">
        <v>48</v>
      </c>
      <c r="O335" s="33" t="n">
        <f>3100</f>
        <v>3100.0</v>
      </c>
      <c r="P335" s="34" t="s">
        <v>49</v>
      </c>
      <c r="Q335" s="33" t="n">
        <f>3955</f>
        <v>3955.0</v>
      </c>
      <c r="R335" s="34" t="s">
        <v>50</v>
      </c>
      <c r="S335" s="35" t="n">
        <f>3819.29</f>
        <v>3819.29</v>
      </c>
      <c r="T335" s="32" t="n">
        <f>15342552</f>
        <v>1.5342552E7</v>
      </c>
      <c r="U335" s="32" t="n">
        <f>1640881</f>
        <v>1640881.0</v>
      </c>
      <c r="V335" s="32" t="n">
        <f>57315108125</f>
        <v>5.7315108125E10</v>
      </c>
      <c r="W335" s="32" t="n">
        <f>6104783635</f>
        <v>6.104783635E9</v>
      </c>
      <c r="X335" s="36" t="n">
        <f>21</f>
        <v>21.0</v>
      </c>
    </row>
    <row r="336">
      <c r="A336" s="27" t="s">
        <v>42</v>
      </c>
      <c r="B336" s="27" t="s">
        <v>1062</v>
      </c>
      <c r="C336" s="27" t="s">
        <v>1063</v>
      </c>
      <c r="D336" s="27" t="s">
        <v>1064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2157</f>
        <v>2157.0</v>
      </c>
      <c r="L336" s="34" t="s">
        <v>48</v>
      </c>
      <c r="M336" s="33" t="n">
        <f>2280</f>
        <v>2280.0</v>
      </c>
      <c r="N336" s="34" t="s">
        <v>153</v>
      </c>
      <c r="O336" s="33" t="n">
        <f>1804</f>
        <v>1804.0</v>
      </c>
      <c r="P336" s="34" t="s">
        <v>214</v>
      </c>
      <c r="Q336" s="33" t="n">
        <f>2280</f>
        <v>2280.0</v>
      </c>
      <c r="R336" s="34" t="s">
        <v>50</v>
      </c>
      <c r="S336" s="35" t="n">
        <f>2133.19</f>
        <v>2133.19</v>
      </c>
      <c r="T336" s="32" t="n">
        <f>20819</f>
        <v>20819.0</v>
      </c>
      <c r="U336" s="32" t="n">
        <f>100</f>
        <v>100.0</v>
      </c>
      <c r="V336" s="32" t="n">
        <f>42224930</f>
        <v>4.222493E7</v>
      </c>
      <c r="W336" s="32" t="n">
        <f>185520</f>
        <v>185520.0</v>
      </c>
      <c r="X336" s="36" t="n">
        <f>21</f>
        <v>21.0</v>
      </c>
    </row>
    <row r="337">
      <c r="A337" s="27" t="s">
        <v>42</v>
      </c>
      <c r="B337" s="27" t="s">
        <v>1065</v>
      </c>
      <c r="C337" s="27" t="s">
        <v>1066</v>
      </c>
      <c r="D337" s="27" t="s">
        <v>1067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1816</f>
        <v>1816.0</v>
      </c>
      <c r="L337" s="34" t="s">
        <v>48</v>
      </c>
      <c r="M337" s="33" t="n">
        <f>1820</f>
        <v>1820.0</v>
      </c>
      <c r="N337" s="34" t="s">
        <v>231</v>
      </c>
      <c r="O337" s="33" t="n">
        <f>1400</f>
        <v>1400.0</v>
      </c>
      <c r="P337" s="34" t="s">
        <v>49</v>
      </c>
      <c r="Q337" s="33" t="n">
        <f>1710</f>
        <v>1710.0</v>
      </c>
      <c r="R337" s="34" t="s">
        <v>50</v>
      </c>
      <c r="S337" s="35" t="n">
        <f>1650.48</f>
        <v>1650.48</v>
      </c>
      <c r="T337" s="32" t="n">
        <f>7548</f>
        <v>7548.0</v>
      </c>
      <c r="U337" s="32" t="str">
        <f>"－"</f>
        <v>－</v>
      </c>
      <c r="V337" s="32" t="n">
        <f>12295087</f>
        <v>1.2295087E7</v>
      </c>
      <c r="W337" s="32" t="str">
        <f>"－"</f>
        <v>－</v>
      </c>
      <c r="X337" s="36" t="n">
        <f>21</f>
        <v>21.0</v>
      </c>
    </row>
    <row r="338">
      <c r="A338" s="27" t="s">
        <v>42</v>
      </c>
      <c r="B338" s="27" t="s">
        <v>1068</v>
      </c>
      <c r="C338" s="27" t="s">
        <v>1069</v>
      </c>
      <c r="D338" s="27" t="s">
        <v>1070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5641</f>
        <v>5641.0</v>
      </c>
      <c r="L338" s="34" t="s">
        <v>48</v>
      </c>
      <c r="M338" s="33" t="n">
        <f>5742</f>
        <v>5742.0</v>
      </c>
      <c r="N338" s="34" t="s">
        <v>231</v>
      </c>
      <c r="O338" s="33" t="n">
        <f>5500</f>
        <v>5500.0</v>
      </c>
      <c r="P338" s="34" t="s">
        <v>49</v>
      </c>
      <c r="Q338" s="33" t="n">
        <f>5560</f>
        <v>5560.0</v>
      </c>
      <c r="R338" s="34" t="s">
        <v>50</v>
      </c>
      <c r="S338" s="35" t="n">
        <f>5597.89</f>
        <v>5597.89</v>
      </c>
      <c r="T338" s="32" t="n">
        <f>122790</f>
        <v>122790.0</v>
      </c>
      <c r="U338" s="32" t="n">
        <f>117000</f>
        <v>117000.0</v>
      </c>
      <c r="V338" s="32" t="n">
        <f>692814369</f>
        <v>6.92814369E8</v>
      </c>
      <c r="W338" s="32" t="n">
        <f>660421149</f>
        <v>6.60421149E8</v>
      </c>
      <c r="X338" s="36" t="n">
        <f>19</f>
        <v>19.0</v>
      </c>
    </row>
    <row r="339">
      <c r="A339" s="27" t="s">
        <v>42</v>
      </c>
      <c r="B339" s="27" t="s">
        <v>1071</v>
      </c>
      <c r="C339" s="27" t="s">
        <v>1072</v>
      </c>
      <c r="D339" s="27" t="s">
        <v>1073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3767</f>
        <v>3767.0</v>
      </c>
      <c r="L339" s="34" t="s">
        <v>48</v>
      </c>
      <c r="M339" s="33" t="n">
        <f>3853</f>
        <v>3853.0</v>
      </c>
      <c r="N339" s="34" t="s">
        <v>49</v>
      </c>
      <c r="O339" s="33" t="n">
        <f>3757</f>
        <v>3757.0</v>
      </c>
      <c r="P339" s="34" t="s">
        <v>48</v>
      </c>
      <c r="Q339" s="33" t="n">
        <f>3804</f>
        <v>3804.0</v>
      </c>
      <c r="R339" s="34" t="s">
        <v>50</v>
      </c>
      <c r="S339" s="35" t="n">
        <f>3806.42</f>
        <v>3806.42</v>
      </c>
      <c r="T339" s="32" t="n">
        <f>1417560</f>
        <v>1417560.0</v>
      </c>
      <c r="U339" s="32" t="n">
        <f>1262770</f>
        <v>1262770.0</v>
      </c>
      <c r="V339" s="32" t="n">
        <f>5392261088</f>
        <v>5.392261088E9</v>
      </c>
      <c r="W339" s="32" t="n">
        <f>4802982418</f>
        <v>4.802982418E9</v>
      </c>
      <c r="X339" s="36" t="n">
        <f>19</f>
        <v>19.0</v>
      </c>
    </row>
    <row r="340">
      <c r="A340" s="27" t="s">
        <v>42</v>
      </c>
      <c r="B340" s="27" t="s">
        <v>1074</v>
      </c>
      <c r="C340" s="27" t="s">
        <v>1075</v>
      </c>
      <c r="D340" s="27" t="s">
        <v>1076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10.0</v>
      </c>
      <c r="K340" s="33" t="n">
        <f>630</f>
        <v>630.0</v>
      </c>
      <c r="L340" s="34" t="s">
        <v>48</v>
      </c>
      <c r="M340" s="33" t="n">
        <f>643.3</f>
        <v>643.3</v>
      </c>
      <c r="N340" s="34" t="s">
        <v>49</v>
      </c>
      <c r="O340" s="33" t="n">
        <f>629.6</f>
        <v>629.6</v>
      </c>
      <c r="P340" s="34" t="s">
        <v>48</v>
      </c>
      <c r="Q340" s="33" t="n">
        <f>638.3</f>
        <v>638.3</v>
      </c>
      <c r="R340" s="34" t="s">
        <v>50</v>
      </c>
      <c r="S340" s="35" t="n">
        <f>636.7</f>
        <v>636.7</v>
      </c>
      <c r="T340" s="32" t="n">
        <f>337130</f>
        <v>337130.0</v>
      </c>
      <c r="U340" s="32" t="n">
        <f>319920</f>
        <v>319920.0</v>
      </c>
      <c r="V340" s="32" t="n">
        <f>213846648</f>
        <v>2.13846648E8</v>
      </c>
      <c r="W340" s="32" t="n">
        <f>202877394</f>
        <v>2.02877394E8</v>
      </c>
      <c r="X340" s="36" t="n">
        <f>21</f>
        <v>21.0</v>
      </c>
    </row>
    <row r="341">
      <c r="A341" s="27" t="s">
        <v>42</v>
      </c>
      <c r="B341" s="27" t="s">
        <v>1077</v>
      </c>
      <c r="C341" s="27" t="s">
        <v>1078</v>
      </c>
      <c r="D341" s="27" t="s">
        <v>1079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2437</f>
        <v>2437.0</v>
      </c>
      <c r="L341" s="34" t="s">
        <v>48</v>
      </c>
      <c r="M341" s="33" t="n">
        <f>2522</f>
        <v>2522.0</v>
      </c>
      <c r="N341" s="34" t="s">
        <v>153</v>
      </c>
      <c r="O341" s="33" t="n">
        <f>2050</f>
        <v>2050.0</v>
      </c>
      <c r="P341" s="34" t="s">
        <v>49</v>
      </c>
      <c r="Q341" s="33" t="n">
        <f>2486</f>
        <v>2486.0</v>
      </c>
      <c r="R341" s="34" t="s">
        <v>50</v>
      </c>
      <c r="S341" s="35" t="n">
        <f>2350.29</f>
        <v>2350.29</v>
      </c>
      <c r="T341" s="32" t="n">
        <f>53465</f>
        <v>53465.0</v>
      </c>
      <c r="U341" s="32" t="n">
        <f>50</f>
        <v>50.0</v>
      </c>
      <c r="V341" s="32" t="n">
        <f>128891668</f>
        <v>1.28891668E8</v>
      </c>
      <c r="W341" s="32" t="n">
        <f>110745</f>
        <v>110745.0</v>
      </c>
      <c r="X341" s="36" t="n">
        <f>21</f>
        <v>21.0</v>
      </c>
    </row>
    <row r="342">
      <c r="A342" s="27" t="s">
        <v>42</v>
      </c>
      <c r="B342" s="27" t="s">
        <v>1080</v>
      </c>
      <c r="C342" s="27" t="s">
        <v>1081</v>
      </c>
      <c r="D342" s="27" t="s">
        <v>1082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1.0</v>
      </c>
      <c r="K342" s="33" t="n">
        <f>2212</f>
        <v>2212.0</v>
      </c>
      <c r="L342" s="34" t="s">
        <v>48</v>
      </c>
      <c r="M342" s="33" t="n">
        <f>2292</f>
        <v>2292.0</v>
      </c>
      <c r="N342" s="34" t="s">
        <v>50</v>
      </c>
      <c r="O342" s="33" t="n">
        <f>1920</f>
        <v>1920.0</v>
      </c>
      <c r="P342" s="34" t="s">
        <v>214</v>
      </c>
      <c r="Q342" s="33" t="n">
        <f>2292</f>
        <v>2292.0</v>
      </c>
      <c r="R342" s="34" t="s">
        <v>50</v>
      </c>
      <c r="S342" s="35" t="n">
        <f>2164.43</f>
        <v>2164.43</v>
      </c>
      <c r="T342" s="32" t="n">
        <f>10514</f>
        <v>10514.0</v>
      </c>
      <c r="U342" s="32" t="n">
        <f>34</f>
        <v>34.0</v>
      </c>
      <c r="V342" s="32" t="n">
        <f>22350501</f>
        <v>2.2350501E7</v>
      </c>
      <c r="W342" s="32" t="n">
        <f>74090</f>
        <v>74090.0</v>
      </c>
      <c r="X342" s="36" t="n">
        <f>21</f>
        <v>21.0</v>
      </c>
    </row>
    <row r="343">
      <c r="A343" s="27" t="s">
        <v>42</v>
      </c>
      <c r="B343" s="27" t="s">
        <v>1083</v>
      </c>
      <c r="C343" s="27" t="s">
        <v>1084</v>
      </c>
      <c r="D343" s="27" t="s">
        <v>1085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8465</f>
        <v>8465.0</v>
      </c>
      <c r="L343" s="34" t="s">
        <v>48</v>
      </c>
      <c r="M343" s="33" t="n">
        <f>9501</f>
        <v>9501.0</v>
      </c>
      <c r="N343" s="34" t="s">
        <v>231</v>
      </c>
      <c r="O343" s="33" t="n">
        <f>8224</f>
        <v>8224.0</v>
      </c>
      <c r="P343" s="34" t="s">
        <v>261</v>
      </c>
      <c r="Q343" s="33" t="n">
        <f>8255</f>
        <v>8255.0</v>
      </c>
      <c r="R343" s="34" t="s">
        <v>50</v>
      </c>
      <c r="S343" s="35" t="n">
        <f>8469.29</f>
        <v>8469.29</v>
      </c>
      <c r="T343" s="32" t="n">
        <f>93510</f>
        <v>93510.0</v>
      </c>
      <c r="U343" s="32" t="n">
        <f>89900</f>
        <v>89900.0</v>
      </c>
      <c r="V343" s="32" t="n">
        <f>789735777</f>
        <v>7.89735777E8</v>
      </c>
      <c r="W343" s="32" t="n">
        <f>759117092</f>
        <v>7.59117092E8</v>
      </c>
      <c r="X343" s="36" t="n">
        <f>21</f>
        <v>21.0</v>
      </c>
    </row>
    <row r="344">
      <c r="A344" s="27" t="s">
        <v>42</v>
      </c>
      <c r="B344" s="27" t="s">
        <v>1086</v>
      </c>
      <c r="C344" s="27" t="s">
        <v>1087</v>
      </c>
      <c r="D344" s="27" t="s">
        <v>1088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5600</f>
        <v>5600.0</v>
      </c>
      <c r="L344" s="34" t="s">
        <v>48</v>
      </c>
      <c r="M344" s="33" t="n">
        <f>5753</f>
        <v>5753.0</v>
      </c>
      <c r="N344" s="34" t="s">
        <v>49</v>
      </c>
      <c r="O344" s="33" t="n">
        <f>5595</f>
        <v>5595.0</v>
      </c>
      <c r="P344" s="34" t="s">
        <v>247</v>
      </c>
      <c r="Q344" s="33" t="n">
        <f>5643</f>
        <v>5643.0</v>
      </c>
      <c r="R344" s="34" t="s">
        <v>50</v>
      </c>
      <c r="S344" s="35" t="n">
        <f>5651.19</f>
        <v>5651.19</v>
      </c>
      <c r="T344" s="32" t="n">
        <f>74302</f>
        <v>74302.0</v>
      </c>
      <c r="U344" s="32" t="n">
        <f>39000</f>
        <v>39000.0</v>
      </c>
      <c r="V344" s="32" t="n">
        <f>419627923</f>
        <v>4.19627923E8</v>
      </c>
      <c r="W344" s="32" t="n">
        <f>220205200</f>
        <v>2.202052E8</v>
      </c>
      <c r="X344" s="36" t="n">
        <f>21</f>
        <v>21.0</v>
      </c>
    </row>
    <row r="345">
      <c r="A345" s="27" t="s">
        <v>42</v>
      </c>
      <c r="B345" s="27" t="s">
        <v>1089</v>
      </c>
      <c r="C345" s="27" t="s">
        <v>1090</v>
      </c>
      <c r="D345" s="27" t="s">
        <v>1091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27095</f>
        <v>27095.0</v>
      </c>
      <c r="L345" s="34" t="s">
        <v>48</v>
      </c>
      <c r="M345" s="33" t="n">
        <f>27155</f>
        <v>27155.0</v>
      </c>
      <c r="N345" s="34" t="s">
        <v>48</v>
      </c>
      <c r="O345" s="33" t="n">
        <f>22810</f>
        <v>22810.0</v>
      </c>
      <c r="P345" s="34" t="s">
        <v>49</v>
      </c>
      <c r="Q345" s="33" t="n">
        <f>26025</f>
        <v>26025.0</v>
      </c>
      <c r="R345" s="34" t="s">
        <v>50</v>
      </c>
      <c r="S345" s="35" t="n">
        <f>25819.29</f>
        <v>25819.29</v>
      </c>
      <c r="T345" s="32" t="n">
        <f>213955</f>
        <v>213955.0</v>
      </c>
      <c r="U345" s="32" t="n">
        <f>2</f>
        <v>2.0</v>
      </c>
      <c r="V345" s="32" t="n">
        <f>5330507245</f>
        <v>5.330507245E9</v>
      </c>
      <c r="W345" s="32" t="n">
        <f>49610</f>
        <v>49610.0</v>
      </c>
      <c r="X345" s="36" t="n">
        <f>21</f>
        <v>21.0</v>
      </c>
    </row>
    <row r="346">
      <c r="A346" s="27" t="s">
        <v>42</v>
      </c>
      <c r="B346" s="27" t="s">
        <v>1092</v>
      </c>
      <c r="C346" s="27" t="s">
        <v>1093</v>
      </c>
      <c r="D346" s="27" t="s">
        <v>1094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12165</f>
        <v>12165.0</v>
      </c>
      <c r="L346" s="34" t="s">
        <v>48</v>
      </c>
      <c r="M346" s="33" t="n">
        <f>12650</f>
        <v>12650.0</v>
      </c>
      <c r="N346" s="34" t="s">
        <v>88</v>
      </c>
      <c r="O346" s="33" t="n">
        <f>10700</f>
        <v>10700.0</v>
      </c>
      <c r="P346" s="34" t="s">
        <v>49</v>
      </c>
      <c r="Q346" s="33" t="n">
        <f>11995</f>
        <v>11995.0</v>
      </c>
      <c r="R346" s="34" t="s">
        <v>50</v>
      </c>
      <c r="S346" s="35" t="n">
        <f>11867.14</f>
        <v>11867.14</v>
      </c>
      <c r="T346" s="32" t="n">
        <f>597042</f>
        <v>597042.0</v>
      </c>
      <c r="U346" s="32" t="n">
        <f>125006</f>
        <v>125006.0</v>
      </c>
      <c r="V346" s="32" t="n">
        <f>7127861461</f>
        <v>7.127861461E9</v>
      </c>
      <c r="W346" s="32" t="n">
        <f>1512335451</f>
        <v>1.512335451E9</v>
      </c>
      <c r="X346" s="36" t="n">
        <f>21</f>
        <v>21.0</v>
      </c>
    </row>
    <row r="347">
      <c r="A347" s="27" t="s">
        <v>42</v>
      </c>
      <c r="B347" s="27" t="s">
        <v>1095</v>
      </c>
      <c r="C347" s="27" t="s">
        <v>1096</v>
      </c>
      <c r="D347" s="27" t="s">
        <v>1097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19010</f>
        <v>19010.0</v>
      </c>
      <c r="L347" s="34" t="s">
        <v>48</v>
      </c>
      <c r="M347" s="33" t="n">
        <f>21640</f>
        <v>21640.0</v>
      </c>
      <c r="N347" s="34" t="s">
        <v>49</v>
      </c>
      <c r="O347" s="33" t="n">
        <f>18555</f>
        <v>18555.0</v>
      </c>
      <c r="P347" s="34" t="s">
        <v>215</v>
      </c>
      <c r="Q347" s="33" t="n">
        <f>19010</f>
        <v>19010.0</v>
      </c>
      <c r="R347" s="34" t="s">
        <v>50</v>
      </c>
      <c r="S347" s="35" t="n">
        <f>19396.43</f>
        <v>19396.43</v>
      </c>
      <c r="T347" s="32" t="n">
        <f>254240</f>
        <v>254240.0</v>
      </c>
      <c r="U347" s="32" t="n">
        <f>2</f>
        <v>2.0</v>
      </c>
      <c r="V347" s="32" t="n">
        <f>5078556335</f>
        <v>5.078556335E9</v>
      </c>
      <c r="W347" s="32" t="n">
        <f>38935</f>
        <v>38935.0</v>
      </c>
      <c r="X347" s="36" t="n">
        <f>21</f>
        <v>21.0</v>
      </c>
    </row>
    <row r="348">
      <c r="A348" s="27" t="s">
        <v>42</v>
      </c>
      <c r="B348" s="27" t="s">
        <v>1098</v>
      </c>
      <c r="C348" s="27" t="s">
        <v>1099</v>
      </c>
      <c r="D348" s="27" t="s">
        <v>1100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10.0</v>
      </c>
      <c r="K348" s="33" t="n">
        <f>4138</f>
        <v>4138.0</v>
      </c>
      <c r="L348" s="34" t="s">
        <v>48</v>
      </c>
      <c r="M348" s="33" t="n">
        <f>4239</f>
        <v>4239.0</v>
      </c>
      <c r="N348" s="34" t="s">
        <v>214</v>
      </c>
      <c r="O348" s="33" t="n">
        <f>4100</f>
        <v>4100.0</v>
      </c>
      <c r="P348" s="34" t="s">
        <v>60</v>
      </c>
      <c r="Q348" s="33" t="n">
        <f>4166</f>
        <v>4166.0</v>
      </c>
      <c r="R348" s="34" t="s">
        <v>153</v>
      </c>
      <c r="S348" s="35" t="n">
        <f>4165.73</f>
        <v>4165.73</v>
      </c>
      <c r="T348" s="32" t="n">
        <f>1585130</f>
        <v>1585130.0</v>
      </c>
      <c r="U348" s="32" t="n">
        <f>1517440</f>
        <v>1517440.0</v>
      </c>
      <c r="V348" s="32" t="n">
        <f>6594136440</f>
        <v>6.59413644E9</v>
      </c>
      <c r="W348" s="32" t="n">
        <f>6313200390</f>
        <v>6.31320039E9</v>
      </c>
      <c r="X348" s="36" t="n">
        <f>11</f>
        <v>11.0</v>
      </c>
    </row>
    <row r="349">
      <c r="A349" s="27" t="s">
        <v>42</v>
      </c>
      <c r="B349" s="27" t="s">
        <v>1101</v>
      </c>
      <c r="C349" s="27" t="s">
        <v>1102</v>
      </c>
      <c r="D349" s="27" t="s">
        <v>1103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10.0</v>
      </c>
      <c r="K349" s="33" t="n">
        <f>5248</f>
        <v>5248.0</v>
      </c>
      <c r="L349" s="34" t="s">
        <v>48</v>
      </c>
      <c r="M349" s="33" t="n">
        <f>5286</f>
        <v>5286.0</v>
      </c>
      <c r="N349" s="34" t="s">
        <v>84</v>
      </c>
      <c r="O349" s="33" t="n">
        <f>4950</f>
        <v>4950.0</v>
      </c>
      <c r="P349" s="34" t="s">
        <v>49</v>
      </c>
      <c r="Q349" s="33" t="n">
        <f>5255</f>
        <v>5255.0</v>
      </c>
      <c r="R349" s="34" t="s">
        <v>50</v>
      </c>
      <c r="S349" s="35" t="n">
        <f>5187.86</f>
        <v>5187.86</v>
      </c>
      <c r="T349" s="32" t="n">
        <f>476110</f>
        <v>476110.0</v>
      </c>
      <c r="U349" s="32" t="n">
        <f>413840</f>
        <v>413840.0</v>
      </c>
      <c r="V349" s="32" t="n">
        <f>2494743128</f>
        <v>2.494743128E9</v>
      </c>
      <c r="W349" s="32" t="n">
        <f>2171161168</f>
        <v>2.171161168E9</v>
      </c>
      <c r="X349" s="36" t="n">
        <f>21</f>
        <v>21.0</v>
      </c>
    </row>
    <row r="350">
      <c r="A350" s="27" t="s">
        <v>42</v>
      </c>
      <c r="B350" s="27" t="s">
        <v>1104</v>
      </c>
      <c r="C350" s="27" t="s">
        <v>1105</v>
      </c>
      <c r="D350" s="27" t="s">
        <v>1106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2544</f>
        <v>2544.0</v>
      </c>
      <c r="L350" s="34" t="s">
        <v>48</v>
      </c>
      <c r="M350" s="33" t="n">
        <f>2599.5</f>
        <v>2599.5</v>
      </c>
      <c r="N350" s="34" t="s">
        <v>84</v>
      </c>
      <c r="O350" s="33" t="n">
        <f>2200</f>
        <v>2200.0</v>
      </c>
      <c r="P350" s="34" t="s">
        <v>60</v>
      </c>
      <c r="Q350" s="33" t="n">
        <f>2509</f>
        <v>2509.0</v>
      </c>
      <c r="R350" s="34" t="s">
        <v>50</v>
      </c>
      <c r="S350" s="35" t="n">
        <f>2479.81</f>
        <v>2479.81</v>
      </c>
      <c r="T350" s="32" t="n">
        <f>4491120</f>
        <v>4491120.0</v>
      </c>
      <c r="U350" s="32" t="n">
        <f>1735020</f>
        <v>1735020.0</v>
      </c>
      <c r="V350" s="32" t="n">
        <f>11069758860</f>
        <v>1.106975886E10</v>
      </c>
      <c r="W350" s="32" t="n">
        <f>4397017575</f>
        <v>4.397017575E9</v>
      </c>
      <c r="X350" s="36" t="n">
        <f>21</f>
        <v>21.0</v>
      </c>
    </row>
    <row r="351">
      <c r="A351" s="27" t="s">
        <v>42</v>
      </c>
      <c r="B351" s="27" t="s">
        <v>1107</v>
      </c>
      <c r="C351" s="27" t="s">
        <v>1108</v>
      </c>
      <c r="D351" s="27" t="s">
        <v>1109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2153.5</f>
        <v>2153.5</v>
      </c>
      <c r="L351" s="34" t="s">
        <v>48</v>
      </c>
      <c r="M351" s="33" t="n">
        <f>2156.5</f>
        <v>2156.5</v>
      </c>
      <c r="N351" s="34" t="s">
        <v>48</v>
      </c>
      <c r="O351" s="33" t="n">
        <f>2022</f>
        <v>2022.0</v>
      </c>
      <c r="P351" s="34" t="s">
        <v>198</v>
      </c>
      <c r="Q351" s="33" t="n">
        <f>2155</f>
        <v>2155.0</v>
      </c>
      <c r="R351" s="34" t="s">
        <v>50</v>
      </c>
      <c r="S351" s="35" t="n">
        <f>2111.12</f>
        <v>2111.12</v>
      </c>
      <c r="T351" s="32" t="n">
        <f>623500</f>
        <v>623500.0</v>
      </c>
      <c r="U351" s="32" t="n">
        <f>400100</f>
        <v>400100.0</v>
      </c>
      <c r="V351" s="32" t="n">
        <f>1319041060</f>
        <v>1.31904106E9</v>
      </c>
      <c r="W351" s="32" t="n">
        <f>850299180</f>
        <v>8.5029918E8</v>
      </c>
      <c r="X351" s="36" t="n">
        <f>21</f>
        <v>21.0</v>
      </c>
    </row>
    <row r="352">
      <c r="A352" s="27" t="s">
        <v>42</v>
      </c>
      <c r="B352" s="27" t="s">
        <v>1110</v>
      </c>
      <c r="C352" s="27" t="s">
        <v>1111</v>
      </c>
      <c r="D352" s="27" t="s">
        <v>1112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1908</f>
        <v>1908.0</v>
      </c>
      <c r="L352" s="34" t="s">
        <v>48</v>
      </c>
      <c r="M352" s="33" t="n">
        <f>1974</f>
        <v>1974.0</v>
      </c>
      <c r="N352" s="34" t="s">
        <v>231</v>
      </c>
      <c r="O352" s="33" t="n">
        <f>1392</f>
        <v>1392.0</v>
      </c>
      <c r="P352" s="34" t="s">
        <v>49</v>
      </c>
      <c r="Q352" s="33" t="n">
        <f>1901</f>
        <v>1901.0</v>
      </c>
      <c r="R352" s="34" t="s">
        <v>50</v>
      </c>
      <c r="S352" s="35" t="n">
        <f>1822.14</f>
        <v>1822.14</v>
      </c>
      <c r="T352" s="32" t="n">
        <f>19550</f>
        <v>19550.0</v>
      </c>
      <c r="U352" s="32" t="str">
        <f>"－"</f>
        <v>－</v>
      </c>
      <c r="V352" s="32" t="n">
        <f>36441765</f>
        <v>3.6441765E7</v>
      </c>
      <c r="W352" s="32" t="str">
        <f>"－"</f>
        <v>－</v>
      </c>
      <c r="X352" s="36" t="n">
        <f>21</f>
        <v>21.0</v>
      </c>
    </row>
    <row r="353">
      <c r="A353" s="27" t="s">
        <v>42</v>
      </c>
      <c r="B353" s="27" t="s">
        <v>1113</v>
      </c>
      <c r="C353" s="27" t="s">
        <v>1114</v>
      </c>
      <c r="D353" s="27" t="s">
        <v>1115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2082</f>
        <v>2082.0</v>
      </c>
      <c r="L353" s="34" t="s">
        <v>48</v>
      </c>
      <c r="M353" s="33" t="n">
        <f>2368</f>
        <v>2368.0</v>
      </c>
      <c r="N353" s="34" t="s">
        <v>49</v>
      </c>
      <c r="O353" s="33" t="n">
        <f>1817</f>
        <v>1817.0</v>
      </c>
      <c r="P353" s="34" t="s">
        <v>49</v>
      </c>
      <c r="Q353" s="33" t="n">
        <f>2086</f>
        <v>2086.0</v>
      </c>
      <c r="R353" s="34" t="s">
        <v>50</v>
      </c>
      <c r="S353" s="35" t="n">
        <f>2008.1</f>
        <v>2008.1</v>
      </c>
      <c r="T353" s="32" t="n">
        <f>30144</f>
        <v>30144.0</v>
      </c>
      <c r="U353" s="32" t="str">
        <f>"－"</f>
        <v>－</v>
      </c>
      <c r="V353" s="32" t="n">
        <f>60162886</f>
        <v>6.0162886E7</v>
      </c>
      <c r="W353" s="32" t="str">
        <f>"－"</f>
        <v>－</v>
      </c>
      <c r="X353" s="36" t="n">
        <f>21</f>
        <v>21.0</v>
      </c>
    </row>
    <row r="354">
      <c r="A354" s="27" t="s">
        <v>42</v>
      </c>
      <c r="B354" s="27" t="s">
        <v>1116</v>
      </c>
      <c r="C354" s="27" t="s">
        <v>1117</v>
      </c>
      <c r="D354" s="27" t="s">
        <v>1118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4295</f>
        <v>4295.0</v>
      </c>
      <c r="L354" s="34" t="s">
        <v>48</v>
      </c>
      <c r="M354" s="33" t="n">
        <f>4480</f>
        <v>4480.0</v>
      </c>
      <c r="N354" s="34" t="s">
        <v>104</v>
      </c>
      <c r="O354" s="33" t="n">
        <f>3655</f>
        <v>3655.0</v>
      </c>
      <c r="P354" s="34" t="s">
        <v>49</v>
      </c>
      <c r="Q354" s="33" t="n">
        <f>4430</f>
        <v>4430.0</v>
      </c>
      <c r="R354" s="34" t="s">
        <v>50</v>
      </c>
      <c r="S354" s="35" t="n">
        <f>4239.76</f>
        <v>4239.76</v>
      </c>
      <c r="T354" s="32" t="n">
        <f>6653</f>
        <v>6653.0</v>
      </c>
      <c r="U354" s="32" t="n">
        <f>4</f>
        <v>4.0</v>
      </c>
      <c r="V354" s="32" t="n">
        <f>28022875</f>
        <v>2.8022875E7</v>
      </c>
      <c r="W354" s="32" t="n">
        <f>17370</f>
        <v>17370.0</v>
      </c>
      <c r="X354" s="36" t="n">
        <f>21</f>
        <v>21.0</v>
      </c>
    </row>
    <row r="355">
      <c r="A355" s="27" t="s">
        <v>42</v>
      </c>
      <c r="B355" s="27" t="s">
        <v>1119</v>
      </c>
      <c r="C355" s="27" t="s">
        <v>1120</v>
      </c>
      <c r="D355" s="27" t="s">
        <v>1121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10.0</v>
      </c>
      <c r="K355" s="33" t="n">
        <f>2729.5</f>
        <v>2729.5</v>
      </c>
      <c r="L355" s="34" t="s">
        <v>48</v>
      </c>
      <c r="M355" s="33" t="n">
        <f>2776</f>
        <v>2776.0</v>
      </c>
      <c r="N355" s="34" t="s">
        <v>50</v>
      </c>
      <c r="O355" s="33" t="n">
        <f>2371.5</f>
        <v>2371.5</v>
      </c>
      <c r="P355" s="34" t="s">
        <v>49</v>
      </c>
      <c r="Q355" s="33" t="n">
        <f>2776</f>
        <v>2776.0</v>
      </c>
      <c r="R355" s="34" t="s">
        <v>50</v>
      </c>
      <c r="S355" s="35" t="n">
        <f>2673.24</f>
        <v>2673.24</v>
      </c>
      <c r="T355" s="32" t="n">
        <f>36480</f>
        <v>36480.0</v>
      </c>
      <c r="U355" s="32" t="str">
        <f>"－"</f>
        <v>－</v>
      </c>
      <c r="V355" s="32" t="n">
        <f>91621245</f>
        <v>9.1621245E7</v>
      </c>
      <c r="W355" s="32" t="str">
        <f>"－"</f>
        <v>－</v>
      </c>
      <c r="X355" s="36" t="n">
        <f>19</f>
        <v>19.0</v>
      </c>
    </row>
    <row r="356">
      <c r="A356" s="27" t="s">
        <v>42</v>
      </c>
      <c r="B356" s="27" t="s">
        <v>1122</v>
      </c>
      <c r="C356" s="27" t="s">
        <v>1123</v>
      </c>
      <c r="D356" s="27" t="s">
        <v>1124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10.0</v>
      </c>
      <c r="K356" s="33" t="n">
        <f>275.1</f>
        <v>275.1</v>
      </c>
      <c r="L356" s="34" t="s">
        <v>48</v>
      </c>
      <c r="M356" s="33" t="n">
        <f>283</f>
        <v>283.0</v>
      </c>
      <c r="N356" s="34" t="s">
        <v>48</v>
      </c>
      <c r="O356" s="33" t="n">
        <f>221.7</f>
        <v>221.7</v>
      </c>
      <c r="P356" s="34" t="s">
        <v>214</v>
      </c>
      <c r="Q356" s="33" t="n">
        <f>269.8</f>
        <v>269.8</v>
      </c>
      <c r="R356" s="34" t="s">
        <v>50</v>
      </c>
      <c r="S356" s="35" t="n">
        <f>257.13</f>
        <v>257.13</v>
      </c>
      <c r="T356" s="32" t="n">
        <f>19870</f>
        <v>19870.0</v>
      </c>
      <c r="U356" s="32" t="str">
        <f>"－"</f>
        <v>－</v>
      </c>
      <c r="V356" s="32" t="n">
        <f>5119992</f>
        <v>5119992.0</v>
      </c>
      <c r="W356" s="32" t="str">
        <f>"－"</f>
        <v>－</v>
      </c>
      <c r="X356" s="36" t="n">
        <f>21</f>
        <v>21.0</v>
      </c>
    </row>
    <row r="357">
      <c r="A357" s="27" t="s">
        <v>42</v>
      </c>
      <c r="B357" s="27" t="s">
        <v>1125</v>
      </c>
      <c r="C357" s="27" t="s">
        <v>1126</v>
      </c>
      <c r="D357" s="27" t="s">
        <v>1127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10.0</v>
      </c>
      <c r="K357" s="33" t="n">
        <f>170.5</f>
        <v>170.5</v>
      </c>
      <c r="L357" s="34" t="s">
        <v>48</v>
      </c>
      <c r="M357" s="33" t="n">
        <f>178</f>
        <v>178.0</v>
      </c>
      <c r="N357" s="34" t="s">
        <v>104</v>
      </c>
      <c r="O357" s="33" t="n">
        <f>160</f>
        <v>160.0</v>
      </c>
      <c r="P357" s="34" t="s">
        <v>49</v>
      </c>
      <c r="Q357" s="33" t="n">
        <f>174.6</f>
        <v>174.6</v>
      </c>
      <c r="R357" s="34" t="s">
        <v>50</v>
      </c>
      <c r="S357" s="35" t="n">
        <f>171.11</f>
        <v>171.11</v>
      </c>
      <c r="T357" s="32" t="n">
        <f>1469740</f>
        <v>1469740.0</v>
      </c>
      <c r="U357" s="32" t="n">
        <f>1177010</f>
        <v>1177010.0</v>
      </c>
      <c r="V357" s="32" t="n">
        <f>249712017</f>
        <v>2.49712017E8</v>
      </c>
      <c r="W357" s="32" t="n">
        <f>199410296</f>
        <v>1.99410296E8</v>
      </c>
      <c r="X357" s="36" t="n">
        <f>21</f>
        <v>21.0</v>
      </c>
    </row>
    <row r="358">
      <c r="A358" s="27" t="s">
        <v>42</v>
      </c>
      <c r="B358" s="27" t="s">
        <v>1128</v>
      </c>
      <c r="C358" s="27" t="s">
        <v>1129</v>
      </c>
      <c r="D358" s="27" t="s">
        <v>1130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673.3</f>
        <v>673.3</v>
      </c>
      <c r="L358" s="34" t="s">
        <v>214</v>
      </c>
      <c r="M358" s="33" t="n">
        <f>679.1</f>
        <v>679.1</v>
      </c>
      <c r="N358" s="34" t="s">
        <v>846</v>
      </c>
      <c r="O358" s="33" t="n">
        <f>673.3</f>
        <v>673.3</v>
      </c>
      <c r="P358" s="34" t="s">
        <v>214</v>
      </c>
      <c r="Q358" s="33" t="n">
        <f>678.8</f>
        <v>678.8</v>
      </c>
      <c r="R358" s="34" t="s">
        <v>50</v>
      </c>
      <c r="S358" s="35" t="n">
        <f>677.1</f>
        <v>677.1</v>
      </c>
      <c r="T358" s="32" t="n">
        <f>26090</f>
        <v>26090.0</v>
      </c>
      <c r="U358" s="32" t="n">
        <f>25400</f>
        <v>25400.0</v>
      </c>
      <c r="V358" s="32" t="n">
        <f>17668202</f>
        <v>1.7668202E7</v>
      </c>
      <c r="W358" s="32" t="n">
        <f>17199998</f>
        <v>1.7199998E7</v>
      </c>
      <c r="X358" s="36" t="n">
        <f>5</f>
        <v>5.0</v>
      </c>
    </row>
    <row r="359">
      <c r="A359" s="27" t="s">
        <v>42</v>
      </c>
      <c r="B359" s="27" t="s">
        <v>1131</v>
      </c>
      <c r="C359" s="27" t="s">
        <v>1132</v>
      </c>
      <c r="D359" s="27" t="s">
        <v>1133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1519</f>
        <v>1519.0</v>
      </c>
      <c r="L359" s="34" t="s">
        <v>48</v>
      </c>
      <c r="M359" s="33" t="n">
        <f>1526</f>
        <v>1526.0</v>
      </c>
      <c r="N359" s="34" t="s">
        <v>215</v>
      </c>
      <c r="O359" s="33" t="n">
        <f>1170</f>
        <v>1170.0</v>
      </c>
      <c r="P359" s="34" t="s">
        <v>49</v>
      </c>
      <c r="Q359" s="33" t="n">
        <f>1523</f>
        <v>1523.0</v>
      </c>
      <c r="R359" s="34" t="s">
        <v>50</v>
      </c>
      <c r="S359" s="35" t="n">
        <f>1453</f>
        <v>1453.0</v>
      </c>
      <c r="T359" s="32" t="n">
        <f>440591</f>
        <v>440591.0</v>
      </c>
      <c r="U359" s="32" t="n">
        <f>341</f>
        <v>341.0</v>
      </c>
      <c r="V359" s="32" t="n">
        <f>613192704</f>
        <v>6.13192704E8</v>
      </c>
      <c r="W359" s="32" t="n">
        <f>495985</f>
        <v>495985.0</v>
      </c>
      <c r="X359" s="36" t="n">
        <f>21</f>
        <v>21.0</v>
      </c>
    </row>
    <row r="360">
      <c r="A360" s="27" t="s">
        <v>42</v>
      </c>
      <c r="B360" s="27" t="s">
        <v>1134</v>
      </c>
      <c r="C360" s="27" t="s">
        <v>1135</v>
      </c>
      <c r="D360" s="27" t="s">
        <v>1136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884</f>
        <v>884.0</v>
      </c>
      <c r="L360" s="34" t="s">
        <v>48</v>
      </c>
      <c r="M360" s="33" t="n">
        <f>932</f>
        <v>932.0</v>
      </c>
      <c r="N360" s="34" t="s">
        <v>104</v>
      </c>
      <c r="O360" s="33" t="n">
        <f>826</f>
        <v>826.0</v>
      </c>
      <c r="P360" s="34" t="s">
        <v>214</v>
      </c>
      <c r="Q360" s="33" t="n">
        <f>912</f>
        <v>912.0</v>
      </c>
      <c r="R360" s="34" t="s">
        <v>50</v>
      </c>
      <c r="S360" s="35" t="n">
        <f>895.14</f>
        <v>895.14</v>
      </c>
      <c r="T360" s="32" t="n">
        <f>46639</f>
        <v>46639.0</v>
      </c>
      <c r="U360" s="32" t="n">
        <f>10</f>
        <v>10.0</v>
      </c>
      <c r="V360" s="32" t="n">
        <f>41192143</f>
        <v>4.1192143E7</v>
      </c>
      <c r="W360" s="32" t="n">
        <f>9051</f>
        <v>9051.0</v>
      </c>
      <c r="X360" s="36" t="n">
        <f>21</f>
        <v>21.0</v>
      </c>
    </row>
    <row r="361">
      <c r="A361" s="27" t="s">
        <v>42</v>
      </c>
      <c r="B361" s="27" t="s">
        <v>1137</v>
      </c>
      <c r="C361" s="27" t="s">
        <v>1138</v>
      </c>
      <c r="D361" s="27" t="s">
        <v>1139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10.0</v>
      </c>
      <c r="K361" s="33" t="n">
        <f>705</f>
        <v>705.0</v>
      </c>
      <c r="L361" s="34" t="s">
        <v>48</v>
      </c>
      <c r="M361" s="33" t="n">
        <f>718.6</f>
        <v>718.6</v>
      </c>
      <c r="N361" s="34" t="s">
        <v>49</v>
      </c>
      <c r="O361" s="33" t="n">
        <f>705</f>
        <v>705.0</v>
      </c>
      <c r="P361" s="34" t="s">
        <v>48</v>
      </c>
      <c r="Q361" s="33" t="n">
        <f>711.6</f>
        <v>711.6</v>
      </c>
      <c r="R361" s="34" t="s">
        <v>50</v>
      </c>
      <c r="S361" s="35" t="n">
        <f>712.16</f>
        <v>712.16</v>
      </c>
      <c r="T361" s="32" t="n">
        <f>2637430</f>
        <v>2637430.0</v>
      </c>
      <c r="U361" s="32" t="n">
        <f>700500</f>
        <v>700500.0</v>
      </c>
      <c r="V361" s="32" t="n">
        <f>1876387768</f>
        <v>1.876387768E9</v>
      </c>
      <c r="W361" s="32" t="n">
        <f>498685771</f>
        <v>4.98685771E8</v>
      </c>
      <c r="X361" s="36" t="n">
        <f>21</f>
        <v>21.0</v>
      </c>
    </row>
    <row r="362">
      <c r="A362" s="27" t="s">
        <v>42</v>
      </c>
      <c r="B362" s="27" t="s">
        <v>1140</v>
      </c>
      <c r="C362" s="27" t="s">
        <v>1141</v>
      </c>
      <c r="D362" s="27" t="s">
        <v>1142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10.0</v>
      </c>
      <c r="K362" s="33" t="n">
        <f>690</f>
        <v>690.0</v>
      </c>
      <c r="L362" s="34" t="s">
        <v>48</v>
      </c>
      <c r="M362" s="33" t="n">
        <f>699.9</f>
        <v>699.9</v>
      </c>
      <c r="N362" s="34" t="s">
        <v>49</v>
      </c>
      <c r="O362" s="33" t="n">
        <f>686.2</f>
        <v>686.2</v>
      </c>
      <c r="P362" s="34" t="s">
        <v>153</v>
      </c>
      <c r="Q362" s="33" t="n">
        <f>690.6</f>
        <v>690.6</v>
      </c>
      <c r="R362" s="34" t="s">
        <v>50</v>
      </c>
      <c r="S362" s="35" t="n">
        <f>692.87</f>
        <v>692.87</v>
      </c>
      <c r="T362" s="32" t="n">
        <f>10338910</f>
        <v>1.033891E7</v>
      </c>
      <c r="U362" s="32" t="n">
        <f>10318870</f>
        <v>1.031887E7</v>
      </c>
      <c r="V362" s="32" t="n">
        <f>7178945296</f>
        <v>7.178945296E9</v>
      </c>
      <c r="W362" s="32" t="n">
        <f>7165048094</f>
        <v>7.165048094E9</v>
      </c>
      <c r="X362" s="36" t="n">
        <f>20</f>
        <v>20.0</v>
      </c>
    </row>
    <row r="363">
      <c r="A363" s="27" t="s">
        <v>42</v>
      </c>
      <c r="B363" s="27" t="s">
        <v>1143</v>
      </c>
      <c r="C363" s="27" t="s">
        <v>1144</v>
      </c>
      <c r="D363" s="27" t="s">
        <v>1145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1201</f>
        <v>1201.0</v>
      </c>
      <c r="L363" s="34" t="s">
        <v>48</v>
      </c>
      <c r="M363" s="33" t="n">
        <f>1223</f>
        <v>1223.0</v>
      </c>
      <c r="N363" s="34" t="s">
        <v>231</v>
      </c>
      <c r="O363" s="33" t="n">
        <f>960</f>
        <v>960.0</v>
      </c>
      <c r="P363" s="34" t="s">
        <v>49</v>
      </c>
      <c r="Q363" s="33" t="n">
        <f>1139</f>
        <v>1139.0</v>
      </c>
      <c r="R363" s="34" t="s">
        <v>50</v>
      </c>
      <c r="S363" s="35" t="n">
        <f>1117.62</f>
        <v>1117.62</v>
      </c>
      <c r="T363" s="32" t="n">
        <f>170049</f>
        <v>170049.0</v>
      </c>
      <c r="U363" s="32" t="str">
        <f>"－"</f>
        <v>－</v>
      </c>
      <c r="V363" s="32" t="n">
        <f>189820944</f>
        <v>1.89820944E8</v>
      </c>
      <c r="W363" s="32" t="str">
        <f>"－"</f>
        <v>－</v>
      </c>
      <c r="X363" s="36" t="n">
        <f>21</f>
        <v>21.0</v>
      </c>
    </row>
    <row r="364">
      <c r="A364" s="27" t="s">
        <v>42</v>
      </c>
      <c r="B364" s="27" t="s">
        <v>1146</v>
      </c>
      <c r="C364" s="27" t="s">
        <v>1147</v>
      </c>
      <c r="D364" s="27" t="s">
        <v>1148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10.0</v>
      </c>
      <c r="K364" s="33" t="n">
        <f>2570.5</f>
        <v>2570.5</v>
      </c>
      <c r="L364" s="34" t="s">
        <v>48</v>
      </c>
      <c r="M364" s="33" t="n">
        <f>2594</f>
        <v>2594.0</v>
      </c>
      <c r="N364" s="34" t="s">
        <v>50</v>
      </c>
      <c r="O364" s="33" t="n">
        <f>2378</f>
        <v>2378.0</v>
      </c>
      <c r="P364" s="34" t="s">
        <v>49</v>
      </c>
      <c r="Q364" s="33" t="n">
        <f>2592</f>
        <v>2592.0</v>
      </c>
      <c r="R364" s="34" t="s">
        <v>50</v>
      </c>
      <c r="S364" s="35" t="n">
        <f>2513.24</f>
        <v>2513.24</v>
      </c>
      <c r="T364" s="32" t="n">
        <f>83530</f>
        <v>83530.0</v>
      </c>
      <c r="U364" s="32" t="n">
        <f>120</f>
        <v>120.0</v>
      </c>
      <c r="V364" s="32" t="n">
        <f>209730520</f>
        <v>2.0973052E8</v>
      </c>
      <c r="W364" s="32" t="n">
        <f>290400</f>
        <v>290400.0</v>
      </c>
      <c r="X364" s="36" t="n">
        <f>21</f>
        <v>21.0</v>
      </c>
    </row>
    <row r="365">
      <c r="A365" s="27" t="s">
        <v>42</v>
      </c>
      <c r="B365" s="27" t="s">
        <v>1149</v>
      </c>
      <c r="C365" s="27" t="s">
        <v>1150</v>
      </c>
      <c r="D365" s="27" t="s">
        <v>1151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10.0</v>
      </c>
      <c r="K365" s="33" t="n">
        <f>2543.5</f>
        <v>2543.5</v>
      </c>
      <c r="L365" s="34" t="s">
        <v>48</v>
      </c>
      <c r="M365" s="33" t="n">
        <f>2607.5</f>
        <v>2607.5</v>
      </c>
      <c r="N365" s="34" t="s">
        <v>50</v>
      </c>
      <c r="O365" s="33" t="n">
        <f>2379.5</f>
        <v>2379.5</v>
      </c>
      <c r="P365" s="34" t="s">
        <v>49</v>
      </c>
      <c r="Q365" s="33" t="n">
        <f>2587.5</f>
        <v>2587.5</v>
      </c>
      <c r="R365" s="34" t="s">
        <v>50</v>
      </c>
      <c r="S365" s="35" t="n">
        <f>2499.02</f>
        <v>2499.02</v>
      </c>
      <c r="T365" s="32" t="n">
        <f>41810</f>
        <v>41810.0</v>
      </c>
      <c r="U365" s="32" t="str">
        <f>"－"</f>
        <v>－</v>
      </c>
      <c r="V365" s="32" t="n">
        <f>105167770</f>
        <v>1.0516777E8</v>
      </c>
      <c r="W365" s="32" t="str">
        <f>"－"</f>
        <v>－</v>
      </c>
      <c r="X365" s="36" t="n">
        <f>21</f>
        <v>21.0</v>
      </c>
    </row>
    <row r="366">
      <c r="A366" s="27" t="s">
        <v>42</v>
      </c>
      <c r="B366" s="27" t="s">
        <v>1152</v>
      </c>
      <c r="C366" s="27" t="s">
        <v>1153</v>
      </c>
      <c r="D366" s="27" t="s">
        <v>1154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10.0</v>
      </c>
      <c r="K366" s="33" t="n">
        <f>5310</f>
        <v>5310.0</v>
      </c>
      <c r="L366" s="34" t="s">
        <v>48</v>
      </c>
      <c r="M366" s="33" t="n">
        <f>5378</f>
        <v>5378.0</v>
      </c>
      <c r="N366" s="34" t="s">
        <v>215</v>
      </c>
      <c r="O366" s="33" t="n">
        <f>5240</f>
        <v>5240.0</v>
      </c>
      <c r="P366" s="34" t="s">
        <v>198</v>
      </c>
      <c r="Q366" s="33" t="n">
        <f>5321</f>
        <v>5321.0</v>
      </c>
      <c r="R366" s="34" t="s">
        <v>50</v>
      </c>
      <c r="S366" s="35" t="n">
        <f>5314.89</f>
        <v>5314.89</v>
      </c>
      <c r="T366" s="32" t="n">
        <f>120750</f>
        <v>120750.0</v>
      </c>
      <c r="U366" s="32" t="n">
        <f>80000</f>
        <v>80000.0</v>
      </c>
      <c r="V366" s="32" t="n">
        <f>636659530</f>
        <v>6.3665953E8</v>
      </c>
      <c r="W366" s="32" t="n">
        <f>422612000</f>
        <v>4.22612E8</v>
      </c>
      <c r="X366" s="36" t="n">
        <f>9</f>
        <v>9.0</v>
      </c>
    </row>
    <row r="367">
      <c r="A367" s="27" t="s">
        <v>42</v>
      </c>
      <c r="B367" s="27" t="s">
        <v>1155</v>
      </c>
      <c r="C367" s="27" t="s">
        <v>1156</v>
      </c>
      <c r="D367" s="27" t="s">
        <v>1157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10.0</v>
      </c>
      <c r="K367" s="33" t="n">
        <f>4266</f>
        <v>4266.0</v>
      </c>
      <c r="L367" s="34" t="s">
        <v>48</v>
      </c>
      <c r="M367" s="33" t="n">
        <f>4636</f>
        <v>4636.0</v>
      </c>
      <c r="N367" s="34" t="s">
        <v>214</v>
      </c>
      <c r="O367" s="33" t="n">
        <f>4230</f>
        <v>4230.0</v>
      </c>
      <c r="P367" s="34" t="s">
        <v>153</v>
      </c>
      <c r="Q367" s="33" t="n">
        <f>4235</f>
        <v>4235.0</v>
      </c>
      <c r="R367" s="34" t="s">
        <v>50</v>
      </c>
      <c r="S367" s="35" t="n">
        <f>4250.45</f>
        <v>4250.45</v>
      </c>
      <c r="T367" s="32" t="n">
        <f>1320</f>
        <v>1320.0</v>
      </c>
      <c r="U367" s="32" t="str">
        <f>"－"</f>
        <v>－</v>
      </c>
      <c r="V367" s="32" t="n">
        <f>5618060</f>
        <v>5618060.0</v>
      </c>
      <c r="W367" s="32" t="str">
        <f>"－"</f>
        <v>－</v>
      </c>
      <c r="X367" s="36" t="n">
        <f>11</f>
        <v>11.0</v>
      </c>
    </row>
    <row r="368">
      <c r="A368" s="27" t="s">
        <v>42</v>
      </c>
      <c r="B368" s="27" t="s">
        <v>1158</v>
      </c>
      <c r="C368" s="27" t="s">
        <v>1159</v>
      </c>
      <c r="D368" s="27" t="s">
        <v>1160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10.0</v>
      </c>
      <c r="K368" s="33" t="n">
        <f>1941</f>
        <v>1941.0</v>
      </c>
      <c r="L368" s="34" t="s">
        <v>48</v>
      </c>
      <c r="M368" s="33" t="n">
        <f>1974.5</f>
        <v>1974.5</v>
      </c>
      <c r="N368" s="34" t="s">
        <v>261</v>
      </c>
      <c r="O368" s="33" t="n">
        <f>1926.5</f>
        <v>1926.5</v>
      </c>
      <c r="P368" s="34" t="s">
        <v>198</v>
      </c>
      <c r="Q368" s="33" t="n">
        <f>1960.5</f>
        <v>1960.5</v>
      </c>
      <c r="R368" s="34" t="s">
        <v>50</v>
      </c>
      <c r="S368" s="35" t="n">
        <f>1947.22</f>
        <v>1947.22</v>
      </c>
      <c r="T368" s="32" t="n">
        <f>1650</f>
        <v>1650.0</v>
      </c>
      <c r="U368" s="32" t="str">
        <f>"－"</f>
        <v>－</v>
      </c>
      <c r="V368" s="32" t="n">
        <f>3207160</f>
        <v>3207160.0</v>
      </c>
      <c r="W368" s="32" t="str">
        <f>"－"</f>
        <v>－</v>
      </c>
      <c r="X368" s="36" t="n">
        <f>9</f>
        <v>9.0</v>
      </c>
    </row>
    <row r="369">
      <c r="A369" s="27" t="s">
        <v>42</v>
      </c>
      <c r="B369" s="27" t="s">
        <v>1161</v>
      </c>
      <c r="C369" s="27" t="s">
        <v>1162</v>
      </c>
      <c r="D369" s="27" t="s">
        <v>1163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1418</f>
        <v>1418.0</v>
      </c>
      <c r="L369" s="34" t="s">
        <v>48</v>
      </c>
      <c r="M369" s="33" t="n">
        <f>1421</f>
        <v>1421.0</v>
      </c>
      <c r="N369" s="34" t="s">
        <v>48</v>
      </c>
      <c r="O369" s="33" t="n">
        <f>1278</f>
        <v>1278.0</v>
      </c>
      <c r="P369" s="34" t="s">
        <v>49</v>
      </c>
      <c r="Q369" s="33" t="n">
        <f>1368</f>
        <v>1368.0</v>
      </c>
      <c r="R369" s="34" t="s">
        <v>50</v>
      </c>
      <c r="S369" s="35" t="n">
        <f>1355.57</f>
        <v>1355.57</v>
      </c>
      <c r="T369" s="32" t="n">
        <f>18924</f>
        <v>18924.0</v>
      </c>
      <c r="U369" s="32" t="str">
        <f>"－"</f>
        <v>－</v>
      </c>
      <c r="V369" s="32" t="n">
        <f>25450349</f>
        <v>2.5450349E7</v>
      </c>
      <c r="W369" s="32" t="str">
        <f>"－"</f>
        <v>－</v>
      </c>
      <c r="X369" s="36" t="n">
        <f>21</f>
        <v>21.0</v>
      </c>
    </row>
    <row r="370">
      <c r="A370" s="27" t="s">
        <v>42</v>
      </c>
      <c r="B370" s="27" t="s">
        <v>1164</v>
      </c>
      <c r="C370" s="27" t="s">
        <v>1165</v>
      </c>
      <c r="D370" s="27" t="s">
        <v>1166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1155</f>
        <v>1155.0</v>
      </c>
      <c r="L370" s="34" t="s">
        <v>48</v>
      </c>
      <c r="M370" s="33" t="n">
        <f>1165</f>
        <v>1165.0</v>
      </c>
      <c r="N370" s="34" t="s">
        <v>67</v>
      </c>
      <c r="O370" s="33" t="n">
        <f>1005</f>
        <v>1005.0</v>
      </c>
      <c r="P370" s="34" t="s">
        <v>49</v>
      </c>
      <c r="Q370" s="33" t="n">
        <f>1132</f>
        <v>1132.0</v>
      </c>
      <c r="R370" s="34" t="s">
        <v>50</v>
      </c>
      <c r="S370" s="35" t="n">
        <f>1117.76</f>
        <v>1117.76</v>
      </c>
      <c r="T370" s="32" t="n">
        <f>3831084</f>
        <v>3831084.0</v>
      </c>
      <c r="U370" s="32" t="n">
        <f>19007</f>
        <v>19007.0</v>
      </c>
      <c r="V370" s="32" t="n">
        <f>4209048626</f>
        <v>4.209048626E9</v>
      </c>
      <c r="W370" s="32" t="n">
        <f>21352900</f>
        <v>2.13529E7</v>
      </c>
      <c r="X370" s="36" t="n">
        <f>21</f>
        <v>21.0</v>
      </c>
    </row>
    <row r="371">
      <c r="A371" s="27" t="s">
        <v>42</v>
      </c>
      <c r="B371" s="27" t="s">
        <v>1167</v>
      </c>
      <c r="C371" s="27" t="s">
        <v>1168</v>
      </c>
      <c r="D371" s="27" t="s">
        <v>1169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1000</f>
        <v>1000.0</v>
      </c>
      <c r="L371" s="34" t="s">
        <v>48</v>
      </c>
      <c r="M371" s="33" t="n">
        <f>1005</f>
        <v>1005.0</v>
      </c>
      <c r="N371" s="34" t="s">
        <v>48</v>
      </c>
      <c r="O371" s="33" t="n">
        <f>945</f>
        <v>945.0</v>
      </c>
      <c r="P371" s="34" t="s">
        <v>49</v>
      </c>
      <c r="Q371" s="33" t="n">
        <f>991</f>
        <v>991.0</v>
      </c>
      <c r="R371" s="34" t="s">
        <v>50</v>
      </c>
      <c r="S371" s="35" t="n">
        <f>979.71</f>
        <v>979.71</v>
      </c>
      <c r="T371" s="32" t="n">
        <f>1609705</f>
        <v>1609705.0</v>
      </c>
      <c r="U371" s="32" t="n">
        <f>50809</f>
        <v>50809.0</v>
      </c>
      <c r="V371" s="32" t="n">
        <f>1568215548</f>
        <v>1.568215548E9</v>
      </c>
      <c r="W371" s="32" t="n">
        <f>50093683</f>
        <v>5.0093683E7</v>
      </c>
      <c r="X371" s="36" t="n">
        <f>21</f>
        <v>21.0</v>
      </c>
    </row>
    <row r="372">
      <c r="A372" s="27" t="s">
        <v>42</v>
      </c>
      <c r="B372" s="27" t="s">
        <v>1170</v>
      </c>
      <c r="C372" s="27" t="s">
        <v>1171</v>
      </c>
      <c r="D372" s="27" t="s">
        <v>1172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1112</f>
        <v>1112.0</v>
      </c>
      <c r="L372" s="34" t="s">
        <v>48</v>
      </c>
      <c r="M372" s="33" t="n">
        <f>1121</f>
        <v>1121.0</v>
      </c>
      <c r="N372" s="34" t="s">
        <v>48</v>
      </c>
      <c r="O372" s="33" t="n">
        <f>905</f>
        <v>905.0</v>
      </c>
      <c r="P372" s="34" t="s">
        <v>49</v>
      </c>
      <c r="Q372" s="33" t="n">
        <f>1030</f>
        <v>1030.0</v>
      </c>
      <c r="R372" s="34" t="s">
        <v>50</v>
      </c>
      <c r="S372" s="35" t="n">
        <f>1014.62</f>
        <v>1014.62</v>
      </c>
      <c r="T372" s="32" t="n">
        <f>18549</f>
        <v>18549.0</v>
      </c>
      <c r="U372" s="32" t="str">
        <f>"－"</f>
        <v>－</v>
      </c>
      <c r="V372" s="32" t="n">
        <f>18526009</f>
        <v>1.8526009E7</v>
      </c>
      <c r="W372" s="32" t="str">
        <f>"－"</f>
        <v>－</v>
      </c>
      <c r="X372" s="36" t="n">
        <f>21</f>
        <v>21.0</v>
      </c>
    </row>
    <row r="373">
      <c r="A373" s="27" t="s">
        <v>42</v>
      </c>
      <c r="B373" s="27" t="s">
        <v>1173</v>
      </c>
      <c r="C373" s="27" t="s">
        <v>1174</v>
      </c>
      <c r="D373" s="27" t="s">
        <v>1175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1054</f>
        <v>1054.0</v>
      </c>
      <c r="L373" s="34" t="s">
        <v>48</v>
      </c>
      <c r="M373" s="33" t="n">
        <f>1057</f>
        <v>1057.0</v>
      </c>
      <c r="N373" s="34" t="s">
        <v>48</v>
      </c>
      <c r="O373" s="33" t="n">
        <f>948</f>
        <v>948.0</v>
      </c>
      <c r="P373" s="34" t="s">
        <v>49</v>
      </c>
      <c r="Q373" s="33" t="n">
        <f>1035</f>
        <v>1035.0</v>
      </c>
      <c r="R373" s="34" t="s">
        <v>50</v>
      </c>
      <c r="S373" s="35" t="n">
        <f>1021.19</f>
        <v>1021.19</v>
      </c>
      <c r="T373" s="32" t="n">
        <f>599504</f>
        <v>599504.0</v>
      </c>
      <c r="U373" s="32" t="n">
        <f>19502</f>
        <v>19502.0</v>
      </c>
      <c r="V373" s="32" t="n">
        <f>607025537</f>
        <v>6.07025537E8</v>
      </c>
      <c r="W373" s="32" t="n">
        <f>20092884</f>
        <v>2.0092884E7</v>
      </c>
      <c r="X373" s="36" t="n">
        <f>21</f>
        <v>21.0</v>
      </c>
    </row>
    <row r="374">
      <c r="A374" s="27" t="s">
        <v>42</v>
      </c>
      <c r="B374" s="27" t="s">
        <v>1176</v>
      </c>
      <c r="C374" s="27" t="s">
        <v>1177</v>
      </c>
      <c r="D374" s="27" t="s">
        <v>1178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42960</f>
        <v>42960.0</v>
      </c>
      <c r="L374" s="34" t="s">
        <v>48</v>
      </c>
      <c r="M374" s="33" t="n">
        <f>43970</f>
        <v>43970.0</v>
      </c>
      <c r="N374" s="34" t="s">
        <v>215</v>
      </c>
      <c r="O374" s="33" t="n">
        <f>33000</f>
        <v>33000.0</v>
      </c>
      <c r="P374" s="34" t="s">
        <v>49</v>
      </c>
      <c r="Q374" s="33" t="n">
        <f>41740</f>
        <v>41740.0</v>
      </c>
      <c r="R374" s="34" t="s">
        <v>50</v>
      </c>
      <c r="S374" s="35" t="n">
        <f>40734.76</f>
        <v>40734.76</v>
      </c>
      <c r="T374" s="32" t="n">
        <f>375176</f>
        <v>375176.0</v>
      </c>
      <c r="U374" s="32" t="n">
        <f>105</f>
        <v>105.0</v>
      </c>
      <c r="V374" s="32" t="n">
        <f>14884361940</f>
        <v>1.488436194E10</v>
      </c>
      <c r="W374" s="32" t="n">
        <f>4376030</f>
        <v>4376030.0</v>
      </c>
      <c r="X374" s="36" t="n">
        <f>21</f>
        <v>21.0</v>
      </c>
    </row>
    <row r="375">
      <c r="A375" s="27" t="s">
        <v>42</v>
      </c>
      <c r="B375" s="27" t="s">
        <v>1179</v>
      </c>
      <c r="C375" s="27" t="s">
        <v>1180</v>
      </c>
      <c r="D375" s="27" t="s">
        <v>1181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20645</f>
        <v>20645.0</v>
      </c>
      <c r="L375" s="34" t="s">
        <v>48</v>
      </c>
      <c r="M375" s="33" t="n">
        <f>26540</f>
        <v>26540.0</v>
      </c>
      <c r="N375" s="34" t="s">
        <v>49</v>
      </c>
      <c r="O375" s="33" t="n">
        <f>19795</f>
        <v>19795.0</v>
      </c>
      <c r="P375" s="34" t="s">
        <v>215</v>
      </c>
      <c r="Q375" s="33" t="n">
        <f>20755</f>
        <v>20755.0</v>
      </c>
      <c r="R375" s="34" t="s">
        <v>50</v>
      </c>
      <c r="S375" s="35" t="n">
        <f>21615.24</f>
        <v>21615.24</v>
      </c>
      <c r="T375" s="32" t="n">
        <f>494861</f>
        <v>494861.0</v>
      </c>
      <c r="U375" s="32" t="n">
        <f>186</f>
        <v>186.0</v>
      </c>
      <c r="V375" s="32" t="n">
        <f>11137147490</f>
        <v>1.113714749E10</v>
      </c>
      <c r="W375" s="32" t="n">
        <f>4185325</f>
        <v>4185325.0</v>
      </c>
      <c r="X375" s="36" t="n">
        <f>21</f>
        <v>21.0</v>
      </c>
    </row>
    <row r="376">
      <c r="A376" s="27" t="s">
        <v>42</v>
      </c>
      <c r="B376" s="27" t="s">
        <v>1182</v>
      </c>
      <c r="C376" s="27" t="s">
        <v>1183</v>
      </c>
      <c r="D376" s="27" t="s">
        <v>1184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117900</f>
        <v>117900.0</v>
      </c>
      <c r="L376" s="34" t="s">
        <v>48</v>
      </c>
      <c r="M376" s="33" t="n">
        <f>122000</f>
        <v>122000.0</v>
      </c>
      <c r="N376" s="34" t="s">
        <v>104</v>
      </c>
      <c r="O376" s="33" t="n">
        <f>110600</f>
        <v>110600.0</v>
      </c>
      <c r="P376" s="34" t="s">
        <v>49</v>
      </c>
      <c r="Q376" s="33" t="n">
        <f>120100</f>
        <v>120100.0</v>
      </c>
      <c r="R376" s="34" t="s">
        <v>50</v>
      </c>
      <c r="S376" s="35" t="n">
        <f>117771.43</f>
        <v>117771.43</v>
      </c>
      <c r="T376" s="32" t="n">
        <f>24677</f>
        <v>24677.0</v>
      </c>
      <c r="U376" s="32" t="n">
        <f>3709</f>
        <v>3709.0</v>
      </c>
      <c r="V376" s="32" t="n">
        <f>2874815040</f>
        <v>2.87481504E9</v>
      </c>
      <c r="W376" s="32" t="n">
        <f>434393140</f>
        <v>4.3439314E8</v>
      </c>
      <c r="X376" s="36" t="n">
        <f>21</f>
        <v>21.0</v>
      </c>
    </row>
    <row r="377">
      <c r="A377" s="27" t="s">
        <v>42</v>
      </c>
      <c r="B377" s="27" t="s">
        <v>1185</v>
      </c>
      <c r="C377" s="27" t="s">
        <v>1186</v>
      </c>
      <c r="D377" s="27" t="s">
        <v>1187</v>
      </c>
      <c r="E377" s="28" t="s">
        <v>46</v>
      </c>
      <c r="F377" s="29" t="s">
        <v>46</v>
      </c>
      <c r="G377" s="30" t="s">
        <v>46</v>
      </c>
      <c r="H377" s="31"/>
      <c r="I377" s="31" t="s">
        <v>425</v>
      </c>
      <c r="J377" s="32" t="n">
        <v>1.0</v>
      </c>
      <c r="K377" s="33" t="n">
        <f>84700</f>
        <v>84700.0</v>
      </c>
      <c r="L377" s="34" t="s">
        <v>48</v>
      </c>
      <c r="M377" s="33" t="n">
        <f>86600</f>
        <v>86600.0</v>
      </c>
      <c r="N377" s="34" t="s">
        <v>153</v>
      </c>
      <c r="O377" s="33" t="n">
        <f>78700</f>
        <v>78700.0</v>
      </c>
      <c r="P377" s="34" t="s">
        <v>49</v>
      </c>
      <c r="Q377" s="33" t="n">
        <f>82300</f>
        <v>82300.0</v>
      </c>
      <c r="R377" s="34" t="s">
        <v>50</v>
      </c>
      <c r="S377" s="35" t="n">
        <f>84085.71</f>
        <v>84085.71</v>
      </c>
      <c r="T377" s="32" t="n">
        <f>37189</f>
        <v>37189.0</v>
      </c>
      <c r="U377" s="32" t="n">
        <f>6288</f>
        <v>6288.0</v>
      </c>
      <c r="V377" s="32" t="n">
        <f>3112060019</f>
        <v>3.112060019E9</v>
      </c>
      <c r="W377" s="32" t="n">
        <f>527653119</f>
        <v>5.27653119E8</v>
      </c>
      <c r="X377" s="36" t="n">
        <f>21</f>
        <v>21.0</v>
      </c>
    </row>
    <row r="378">
      <c r="A378" s="27" t="s">
        <v>42</v>
      </c>
      <c r="B378" s="27" t="s">
        <v>1188</v>
      </c>
      <c r="C378" s="27" t="s">
        <v>1189</v>
      </c>
      <c r="D378" s="27" t="s">
        <v>1190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115900</f>
        <v>115900.0</v>
      </c>
      <c r="L378" s="34" t="s">
        <v>48</v>
      </c>
      <c r="M378" s="33" t="n">
        <f>119000</f>
        <v>119000.0</v>
      </c>
      <c r="N378" s="34" t="s">
        <v>104</v>
      </c>
      <c r="O378" s="33" t="n">
        <f>107200</f>
        <v>107200.0</v>
      </c>
      <c r="P378" s="34" t="s">
        <v>49</v>
      </c>
      <c r="Q378" s="33" t="n">
        <f>117300</f>
        <v>117300.0</v>
      </c>
      <c r="R378" s="34" t="s">
        <v>50</v>
      </c>
      <c r="S378" s="35" t="n">
        <f>115390.48</f>
        <v>115390.48</v>
      </c>
      <c r="T378" s="32" t="n">
        <f>49551</f>
        <v>49551.0</v>
      </c>
      <c r="U378" s="32" t="n">
        <f>7910</f>
        <v>7910.0</v>
      </c>
      <c r="V378" s="32" t="n">
        <f>5675644113</f>
        <v>5.675644113E9</v>
      </c>
      <c r="W378" s="32" t="n">
        <f>910960113</f>
        <v>9.10960113E8</v>
      </c>
      <c r="X378" s="36" t="n">
        <f>21</f>
        <v>21.0</v>
      </c>
    </row>
    <row r="379">
      <c r="A379" s="27" t="s">
        <v>42</v>
      </c>
      <c r="B379" s="27" t="s">
        <v>1191</v>
      </c>
      <c r="C379" s="27" t="s">
        <v>1192</v>
      </c>
      <c r="D379" s="27" t="s">
        <v>1193</v>
      </c>
      <c r="E379" s="28" t="s">
        <v>46</v>
      </c>
      <c r="F379" s="29" t="s">
        <v>46</v>
      </c>
      <c r="G379" s="30" t="s">
        <v>46</v>
      </c>
      <c r="H379" s="31"/>
      <c r="I379" s="31" t="s">
        <v>425</v>
      </c>
      <c r="J379" s="32" t="n">
        <v>1.0</v>
      </c>
      <c r="K379" s="33" t="n">
        <f>119000</f>
        <v>119000.0</v>
      </c>
      <c r="L379" s="34" t="s">
        <v>48</v>
      </c>
      <c r="M379" s="33" t="n">
        <f>119100</f>
        <v>119100.0</v>
      </c>
      <c r="N379" s="34" t="s">
        <v>48</v>
      </c>
      <c r="O379" s="33" t="n">
        <f>107900</f>
        <v>107900.0</v>
      </c>
      <c r="P379" s="34" t="s">
        <v>49</v>
      </c>
      <c r="Q379" s="33" t="n">
        <f>116800</f>
        <v>116800.0</v>
      </c>
      <c r="R379" s="34" t="s">
        <v>50</v>
      </c>
      <c r="S379" s="35" t="n">
        <f>115800</f>
        <v>115800.0</v>
      </c>
      <c r="T379" s="32" t="n">
        <f>24520</f>
        <v>24520.0</v>
      </c>
      <c r="U379" s="32" t="n">
        <f>2235</f>
        <v>2235.0</v>
      </c>
      <c r="V379" s="32" t="n">
        <f>2828139397</f>
        <v>2.828139397E9</v>
      </c>
      <c r="W379" s="32" t="n">
        <f>258932797</f>
        <v>2.58932797E8</v>
      </c>
      <c r="X379" s="36" t="n">
        <f>21</f>
        <v>21.0</v>
      </c>
    </row>
    <row r="380">
      <c r="A380" s="27" t="s">
        <v>42</v>
      </c>
      <c r="B380" s="27" t="s">
        <v>1194</v>
      </c>
      <c r="C380" s="27" t="s">
        <v>1195</v>
      </c>
      <c r="D380" s="27" t="s">
        <v>1196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641000</f>
        <v>641000.0</v>
      </c>
      <c r="L380" s="34" t="s">
        <v>48</v>
      </c>
      <c r="M380" s="33" t="n">
        <f>677000</f>
        <v>677000.0</v>
      </c>
      <c r="N380" s="34" t="s">
        <v>153</v>
      </c>
      <c r="O380" s="33" t="n">
        <f>611000</f>
        <v>611000.0</v>
      </c>
      <c r="P380" s="34" t="s">
        <v>49</v>
      </c>
      <c r="Q380" s="33" t="n">
        <f>659000</f>
        <v>659000.0</v>
      </c>
      <c r="R380" s="34" t="s">
        <v>50</v>
      </c>
      <c r="S380" s="35" t="n">
        <f>653095.24</f>
        <v>653095.24</v>
      </c>
      <c r="T380" s="32" t="n">
        <f>36664</f>
        <v>36664.0</v>
      </c>
      <c r="U380" s="32" t="n">
        <f>5924</f>
        <v>5924.0</v>
      </c>
      <c r="V380" s="32" t="n">
        <f>23798829106</f>
        <v>2.3798829106E10</v>
      </c>
      <c r="W380" s="32" t="n">
        <f>3846894106</f>
        <v>3.846894106E9</v>
      </c>
      <c r="X380" s="36" t="n">
        <f>21</f>
        <v>21.0</v>
      </c>
    </row>
    <row r="381">
      <c r="A381" s="27" t="s">
        <v>42</v>
      </c>
      <c r="B381" s="27" t="s">
        <v>1197</v>
      </c>
      <c r="C381" s="27" t="s">
        <v>1198</v>
      </c>
      <c r="D381" s="27" t="s">
        <v>1199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128400</f>
        <v>128400.0</v>
      </c>
      <c r="L381" s="34" t="s">
        <v>48</v>
      </c>
      <c r="M381" s="33" t="n">
        <f>132200</f>
        <v>132200.0</v>
      </c>
      <c r="N381" s="34" t="s">
        <v>104</v>
      </c>
      <c r="O381" s="33" t="n">
        <f>120500</f>
        <v>120500.0</v>
      </c>
      <c r="P381" s="34" t="s">
        <v>49</v>
      </c>
      <c r="Q381" s="33" t="n">
        <f>129800</f>
        <v>129800.0</v>
      </c>
      <c r="R381" s="34" t="s">
        <v>50</v>
      </c>
      <c r="S381" s="35" t="n">
        <f>127695.24</f>
        <v>127695.24</v>
      </c>
      <c r="T381" s="32" t="n">
        <f>133219</f>
        <v>133219.0</v>
      </c>
      <c r="U381" s="32" t="n">
        <f>28907</f>
        <v>28907.0</v>
      </c>
      <c r="V381" s="32" t="n">
        <f>16986000873</f>
        <v>1.6986000873E10</v>
      </c>
      <c r="W381" s="32" t="n">
        <f>3699699473</f>
        <v>3.699699473E9</v>
      </c>
      <c r="X381" s="36" t="n">
        <f>21</f>
        <v>21.0</v>
      </c>
    </row>
    <row r="382">
      <c r="A382" s="27" t="s">
        <v>42</v>
      </c>
      <c r="B382" s="27" t="s">
        <v>1200</v>
      </c>
      <c r="C382" s="27" t="s">
        <v>1201</v>
      </c>
      <c r="D382" s="27" t="s">
        <v>1202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123000</f>
        <v>123000.0</v>
      </c>
      <c r="L382" s="34" t="s">
        <v>48</v>
      </c>
      <c r="M382" s="33" t="n">
        <f>126400</f>
        <v>126400.0</v>
      </c>
      <c r="N382" s="34" t="s">
        <v>104</v>
      </c>
      <c r="O382" s="33" t="n">
        <f>114800</f>
        <v>114800.0</v>
      </c>
      <c r="P382" s="34" t="s">
        <v>49</v>
      </c>
      <c r="Q382" s="33" t="n">
        <f>124200</f>
        <v>124200.0</v>
      </c>
      <c r="R382" s="34" t="s">
        <v>50</v>
      </c>
      <c r="S382" s="35" t="n">
        <f>122638.1</f>
        <v>122638.1</v>
      </c>
      <c r="T382" s="32" t="n">
        <f>235680</f>
        <v>235680.0</v>
      </c>
      <c r="U382" s="32" t="n">
        <f>41762</f>
        <v>41762.0</v>
      </c>
      <c r="V382" s="32" t="n">
        <f>28747510529</f>
        <v>2.8747510529E10</v>
      </c>
      <c r="W382" s="32" t="n">
        <f>5116812129</f>
        <v>5.116812129E9</v>
      </c>
      <c r="X382" s="36" t="n">
        <f>21</f>
        <v>21.0</v>
      </c>
    </row>
    <row r="383">
      <c r="A383" s="27" t="s">
        <v>42</v>
      </c>
      <c r="B383" s="27" t="s">
        <v>1203</v>
      </c>
      <c r="C383" s="27" t="s">
        <v>1204</v>
      </c>
      <c r="D383" s="27" t="s">
        <v>1205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314500</f>
        <v>314500.0</v>
      </c>
      <c r="L383" s="34" t="s">
        <v>48</v>
      </c>
      <c r="M383" s="33" t="n">
        <f>340000</f>
        <v>340000.0</v>
      </c>
      <c r="N383" s="34" t="s">
        <v>153</v>
      </c>
      <c r="O383" s="33" t="n">
        <f>302000</f>
        <v>302000.0</v>
      </c>
      <c r="P383" s="34" t="s">
        <v>49</v>
      </c>
      <c r="Q383" s="33" t="n">
        <f>331000</f>
        <v>331000.0</v>
      </c>
      <c r="R383" s="34" t="s">
        <v>50</v>
      </c>
      <c r="S383" s="35" t="n">
        <f>328023.81</f>
        <v>328023.81</v>
      </c>
      <c r="T383" s="32" t="n">
        <f>98188</f>
        <v>98188.0</v>
      </c>
      <c r="U383" s="32" t="n">
        <f>17932</f>
        <v>17932.0</v>
      </c>
      <c r="V383" s="32" t="n">
        <f>31992455759</f>
        <v>3.1992455759E10</v>
      </c>
      <c r="W383" s="32" t="n">
        <f>5873007759</f>
        <v>5.873007759E9</v>
      </c>
      <c r="X383" s="36" t="n">
        <f>21</f>
        <v>21.0</v>
      </c>
    </row>
    <row r="384">
      <c r="A384" s="27" t="s">
        <v>42</v>
      </c>
      <c r="B384" s="27" t="s">
        <v>1206</v>
      </c>
      <c r="C384" s="27" t="s">
        <v>1207</v>
      </c>
      <c r="D384" s="27" t="s">
        <v>1208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353500</f>
        <v>353500.0</v>
      </c>
      <c r="L384" s="34" t="s">
        <v>48</v>
      </c>
      <c r="M384" s="33" t="n">
        <f>355500</f>
        <v>355500.0</v>
      </c>
      <c r="N384" s="34" t="s">
        <v>153</v>
      </c>
      <c r="O384" s="33" t="n">
        <f>328000</f>
        <v>328000.0</v>
      </c>
      <c r="P384" s="34" t="s">
        <v>49</v>
      </c>
      <c r="Q384" s="33" t="n">
        <f>344500</f>
        <v>344500.0</v>
      </c>
      <c r="R384" s="34" t="s">
        <v>50</v>
      </c>
      <c r="S384" s="35" t="n">
        <f>345857.14</f>
        <v>345857.14</v>
      </c>
      <c r="T384" s="32" t="n">
        <f>73423</f>
        <v>73423.0</v>
      </c>
      <c r="U384" s="32" t="n">
        <f>17730</f>
        <v>17730.0</v>
      </c>
      <c r="V384" s="32" t="n">
        <f>25399148499</f>
        <v>2.5399148499E10</v>
      </c>
      <c r="W384" s="32" t="n">
        <f>6153531999</f>
        <v>6.153531999E9</v>
      </c>
      <c r="X384" s="36" t="n">
        <f>21</f>
        <v>21.0</v>
      </c>
    </row>
    <row r="385">
      <c r="A385" s="27" t="s">
        <v>42</v>
      </c>
      <c r="B385" s="27" t="s">
        <v>1209</v>
      </c>
      <c r="C385" s="27" t="s">
        <v>1210</v>
      </c>
      <c r="D385" s="27" t="s">
        <v>1211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130700</f>
        <v>130700.0</v>
      </c>
      <c r="L385" s="34" t="s">
        <v>48</v>
      </c>
      <c r="M385" s="33" t="n">
        <f>138000</f>
        <v>138000.0</v>
      </c>
      <c r="N385" s="34" t="s">
        <v>153</v>
      </c>
      <c r="O385" s="33" t="n">
        <f>124400</f>
        <v>124400.0</v>
      </c>
      <c r="P385" s="34" t="s">
        <v>214</v>
      </c>
      <c r="Q385" s="33" t="n">
        <f>133600</f>
        <v>133600.0</v>
      </c>
      <c r="R385" s="34" t="s">
        <v>50</v>
      </c>
      <c r="S385" s="35" t="n">
        <f>131842.86</f>
        <v>131842.86</v>
      </c>
      <c r="T385" s="32" t="n">
        <f>406167</f>
        <v>406167.0</v>
      </c>
      <c r="U385" s="32" t="n">
        <f>76746</f>
        <v>76746.0</v>
      </c>
      <c r="V385" s="32" t="n">
        <f>53437329111</f>
        <v>5.3437329111E10</v>
      </c>
      <c r="W385" s="32" t="n">
        <f>10092546311</f>
        <v>1.0092546311E10</v>
      </c>
      <c r="X385" s="36" t="n">
        <f>21</f>
        <v>21.0</v>
      </c>
    </row>
    <row r="386">
      <c r="A386" s="27" t="s">
        <v>42</v>
      </c>
      <c r="B386" s="27" t="s">
        <v>1212</v>
      </c>
      <c r="C386" s="27" t="s">
        <v>1213</v>
      </c>
      <c r="D386" s="27" t="s">
        <v>1214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311000</f>
        <v>311000.0</v>
      </c>
      <c r="L386" s="34" t="s">
        <v>48</v>
      </c>
      <c r="M386" s="33" t="n">
        <f>327500</f>
        <v>327500.0</v>
      </c>
      <c r="N386" s="34" t="s">
        <v>104</v>
      </c>
      <c r="O386" s="33" t="n">
        <f>295400</f>
        <v>295400.0</v>
      </c>
      <c r="P386" s="34" t="s">
        <v>49</v>
      </c>
      <c r="Q386" s="33" t="n">
        <f>320000</f>
        <v>320000.0</v>
      </c>
      <c r="R386" s="34" t="s">
        <v>50</v>
      </c>
      <c r="S386" s="35" t="n">
        <f>312428.57</f>
        <v>312428.57</v>
      </c>
      <c r="T386" s="32" t="n">
        <f>83455</f>
        <v>83455.0</v>
      </c>
      <c r="U386" s="32" t="n">
        <f>17526</f>
        <v>17526.0</v>
      </c>
      <c r="V386" s="32" t="n">
        <f>25937179415</f>
        <v>2.5937179415E10</v>
      </c>
      <c r="W386" s="32" t="n">
        <f>5495042415</f>
        <v>5.495042415E9</v>
      </c>
      <c r="X386" s="36" t="n">
        <f>21</f>
        <v>21.0</v>
      </c>
    </row>
    <row r="387">
      <c r="A387" s="27" t="s">
        <v>42</v>
      </c>
      <c r="B387" s="27" t="s">
        <v>1215</v>
      </c>
      <c r="C387" s="27" t="s">
        <v>1216</v>
      </c>
      <c r="D387" s="27" t="s">
        <v>1217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246500</f>
        <v>246500.0</v>
      </c>
      <c r="L387" s="34" t="s">
        <v>48</v>
      </c>
      <c r="M387" s="33" t="n">
        <f>267900</f>
        <v>267900.0</v>
      </c>
      <c r="N387" s="34" t="s">
        <v>153</v>
      </c>
      <c r="O387" s="33" t="n">
        <f>237700</f>
        <v>237700.0</v>
      </c>
      <c r="P387" s="34" t="s">
        <v>49</v>
      </c>
      <c r="Q387" s="33" t="n">
        <f>257400</f>
        <v>257400.0</v>
      </c>
      <c r="R387" s="34" t="s">
        <v>50</v>
      </c>
      <c r="S387" s="35" t="n">
        <f>256957.14</f>
        <v>256957.14</v>
      </c>
      <c r="T387" s="32" t="n">
        <f>314539</f>
        <v>314539.0</v>
      </c>
      <c r="U387" s="32" t="n">
        <f>79514</f>
        <v>79514.0</v>
      </c>
      <c r="V387" s="32" t="n">
        <f>80640691611</f>
        <v>8.0640691611E10</v>
      </c>
      <c r="W387" s="32" t="n">
        <f>20526621711</f>
        <v>2.0526621711E10</v>
      </c>
      <c r="X387" s="36" t="n">
        <f>21</f>
        <v>21.0</v>
      </c>
    </row>
    <row r="388">
      <c r="A388" s="27" t="s">
        <v>42</v>
      </c>
      <c r="B388" s="27" t="s">
        <v>1218</v>
      </c>
      <c r="C388" s="27" t="s">
        <v>1219</v>
      </c>
      <c r="D388" s="27" t="s">
        <v>1220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518000</f>
        <v>518000.0</v>
      </c>
      <c r="L388" s="34" t="s">
        <v>48</v>
      </c>
      <c r="M388" s="33" t="n">
        <f>518000</f>
        <v>518000.0</v>
      </c>
      <c r="N388" s="34" t="s">
        <v>48</v>
      </c>
      <c r="O388" s="33" t="n">
        <f>472500</f>
        <v>472500.0</v>
      </c>
      <c r="P388" s="34" t="s">
        <v>49</v>
      </c>
      <c r="Q388" s="33" t="n">
        <f>507000</f>
        <v>507000.0</v>
      </c>
      <c r="R388" s="34" t="s">
        <v>50</v>
      </c>
      <c r="S388" s="35" t="n">
        <f>504357.14</f>
        <v>504357.14</v>
      </c>
      <c r="T388" s="32" t="n">
        <f>27612</f>
        <v>27612.0</v>
      </c>
      <c r="U388" s="32" t="n">
        <f>5008</f>
        <v>5008.0</v>
      </c>
      <c r="V388" s="32" t="n">
        <f>13896952779</f>
        <v>1.3896952779E10</v>
      </c>
      <c r="W388" s="32" t="n">
        <f>2529617279</f>
        <v>2.529617279E9</v>
      </c>
      <c r="X388" s="36" t="n">
        <f>21</f>
        <v>21.0</v>
      </c>
    </row>
    <row r="389">
      <c r="A389" s="27" t="s">
        <v>42</v>
      </c>
      <c r="B389" s="27" t="s">
        <v>1221</v>
      </c>
      <c r="C389" s="27" t="s">
        <v>1222</v>
      </c>
      <c r="D389" s="27" t="s">
        <v>1223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259000</f>
        <v>259000.0</v>
      </c>
      <c r="L389" s="34" t="s">
        <v>48</v>
      </c>
      <c r="M389" s="33" t="n">
        <f>267500</f>
        <v>267500.0</v>
      </c>
      <c r="N389" s="34" t="s">
        <v>846</v>
      </c>
      <c r="O389" s="33" t="n">
        <f>241100</f>
        <v>241100.0</v>
      </c>
      <c r="P389" s="34" t="s">
        <v>49</v>
      </c>
      <c r="Q389" s="33" t="n">
        <f>252300</f>
        <v>252300.0</v>
      </c>
      <c r="R389" s="34" t="s">
        <v>50</v>
      </c>
      <c r="S389" s="35" t="n">
        <f>258419.05</f>
        <v>258419.05</v>
      </c>
      <c r="T389" s="32" t="n">
        <f>19350</f>
        <v>19350.0</v>
      </c>
      <c r="U389" s="32" t="n">
        <f>3207</f>
        <v>3207.0</v>
      </c>
      <c r="V389" s="32" t="n">
        <f>4964975191</f>
        <v>4.964975191E9</v>
      </c>
      <c r="W389" s="32" t="n">
        <f>822361291</f>
        <v>8.22361291E8</v>
      </c>
      <c r="X389" s="36" t="n">
        <f>21</f>
        <v>21.0</v>
      </c>
    </row>
    <row r="390">
      <c r="A390" s="27" t="s">
        <v>42</v>
      </c>
      <c r="B390" s="27" t="s">
        <v>1224</v>
      </c>
      <c r="C390" s="27" t="s">
        <v>1225</v>
      </c>
      <c r="D390" s="27" t="s">
        <v>1226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129600</f>
        <v>129600.0</v>
      </c>
      <c r="L390" s="34" t="s">
        <v>48</v>
      </c>
      <c r="M390" s="33" t="n">
        <f>136000</f>
        <v>136000.0</v>
      </c>
      <c r="N390" s="34" t="s">
        <v>104</v>
      </c>
      <c r="O390" s="33" t="n">
        <f>123000</f>
        <v>123000.0</v>
      </c>
      <c r="P390" s="34" t="s">
        <v>49</v>
      </c>
      <c r="Q390" s="33" t="n">
        <f>134000</f>
        <v>134000.0</v>
      </c>
      <c r="R390" s="34" t="s">
        <v>50</v>
      </c>
      <c r="S390" s="35" t="n">
        <f>131152.38</f>
        <v>131152.38</v>
      </c>
      <c r="T390" s="32" t="n">
        <f>163472</f>
        <v>163472.0</v>
      </c>
      <c r="U390" s="32" t="n">
        <f>30793</f>
        <v>30793.0</v>
      </c>
      <c r="V390" s="32" t="n">
        <f>21347052372</f>
        <v>2.1347052372E10</v>
      </c>
      <c r="W390" s="32" t="n">
        <f>4039034672</f>
        <v>4.039034672E9</v>
      </c>
      <c r="X390" s="36" t="n">
        <f>21</f>
        <v>21.0</v>
      </c>
    </row>
    <row r="391">
      <c r="A391" s="27" t="s">
        <v>42</v>
      </c>
      <c r="B391" s="27" t="s">
        <v>1227</v>
      </c>
      <c r="C391" s="27" t="s">
        <v>1228</v>
      </c>
      <c r="D391" s="27" t="s">
        <v>1229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142700</f>
        <v>142700.0</v>
      </c>
      <c r="L391" s="34" t="s">
        <v>48</v>
      </c>
      <c r="M391" s="33" t="n">
        <f>144500</f>
        <v>144500.0</v>
      </c>
      <c r="N391" s="34" t="s">
        <v>153</v>
      </c>
      <c r="O391" s="33" t="n">
        <f>134100</f>
        <v>134100.0</v>
      </c>
      <c r="P391" s="34" t="s">
        <v>49</v>
      </c>
      <c r="Q391" s="33" t="n">
        <f>141200</f>
        <v>141200.0</v>
      </c>
      <c r="R391" s="34" t="s">
        <v>50</v>
      </c>
      <c r="S391" s="35" t="n">
        <f>141366.67</f>
        <v>141366.67</v>
      </c>
      <c r="T391" s="32" t="n">
        <f>123916</f>
        <v>123916.0</v>
      </c>
      <c r="U391" s="32" t="n">
        <f>18353</f>
        <v>18353.0</v>
      </c>
      <c r="V391" s="32" t="n">
        <f>17470111826</f>
        <v>1.7470111826E10</v>
      </c>
      <c r="W391" s="32" t="n">
        <f>2587427826</f>
        <v>2.587427826E9</v>
      </c>
      <c r="X391" s="36" t="n">
        <f>21</f>
        <v>21.0</v>
      </c>
    </row>
    <row r="392">
      <c r="A392" s="27" t="s">
        <v>42</v>
      </c>
      <c r="B392" s="27" t="s">
        <v>1230</v>
      </c>
      <c r="C392" s="27" t="s">
        <v>1231</v>
      </c>
      <c r="D392" s="27" t="s">
        <v>1232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329000</f>
        <v>329000.0</v>
      </c>
      <c r="L392" s="34" t="s">
        <v>48</v>
      </c>
      <c r="M392" s="33" t="n">
        <f>333000</f>
        <v>333000.0</v>
      </c>
      <c r="N392" s="34" t="s">
        <v>67</v>
      </c>
      <c r="O392" s="33" t="n">
        <f>306000</f>
        <v>306000.0</v>
      </c>
      <c r="P392" s="34" t="s">
        <v>49</v>
      </c>
      <c r="Q392" s="33" t="n">
        <f>325500</f>
        <v>325500.0</v>
      </c>
      <c r="R392" s="34" t="s">
        <v>50</v>
      </c>
      <c r="S392" s="35" t="n">
        <f>324642.86</f>
        <v>324642.86</v>
      </c>
      <c r="T392" s="32" t="n">
        <f>39244</f>
        <v>39244.0</v>
      </c>
      <c r="U392" s="32" t="n">
        <f>7812</f>
        <v>7812.0</v>
      </c>
      <c r="V392" s="32" t="n">
        <f>12722053560</f>
        <v>1.272205356E10</v>
      </c>
      <c r="W392" s="32" t="n">
        <f>2536915060</f>
        <v>2.53691506E9</v>
      </c>
      <c r="X392" s="36" t="n">
        <f>21</f>
        <v>21.0</v>
      </c>
    </row>
    <row r="393">
      <c r="A393" s="27" t="s">
        <v>42</v>
      </c>
      <c r="B393" s="27" t="s">
        <v>1233</v>
      </c>
      <c r="C393" s="27" t="s">
        <v>1234</v>
      </c>
      <c r="D393" s="27" t="s">
        <v>1235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79400</f>
        <v>79400.0</v>
      </c>
      <c r="L393" s="34" t="s">
        <v>48</v>
      </c>
      <c r="M393" s="33" t="n">
        <f>84800</f>
        <v>84800.0</v>
      </c>
      <c r="N393" s="34" t="s">
        <v>104</v>
      </c>
      <c r="O393" s="33" t="n">
        <f>74400</f>
        <v>74400.0</v>
      </c>
      <c r="P393" s="34" t="s">
        <v>49</v>
      </c>
      <c r="Q393" s="33" t="n">
        <f>84000</f>
        <v>84000.0</v>
      </c>
      <c r="R393" s="34" t="s">
        <v>50</v>
      </c>
      <c r="S393" s="35" t="n">
        <f>81171.43</f>
        <v>81171.43</v>
      </c>
      <c r="T393" s="32" t="n">
        <f>303634</f>
        <v>303634.0</v>
      </c>
      <c r="U393" s="32" t="n">
        <f>69201</f>
        <v>69201.0</v>
      </c>
      <c r="V393" s="32" t="n">
        <f>24469129580</f>
        <v>2.446912958E10</v>
      </c>
      <c r="W393" s="32" t="n">
        <f>5598964680</f>
        <v>5.59896468E9</v>
      </c>
      <c r="X393" s="36" t="n">
        <f>21</f>
        <v>21.0</v>
      </c>
    </row>
    <row r="394">
      <c r="A394" s="27" t="s">
        <v>42</v>
      </c>
      <c r="B394" s="27" t="s">
        <v>1236</v>
      </c>
      <c r="C394" s="27" t="s">
        <v>1237</v>
      </c>
      <c r="D394" s="27" t="s">
        <v>1238</v>
      </c>
      <c r="E394" s="28" t="s">
        <v>46</v>
      </c>
      <c r="F394" s="29" t="s">
        <v>46</v>
      </c>
      <c r="G394" s="30" t="s">
        <v>46</v>
      </c>
      <c r="H394" s="31"/>
      <c r="I394" s="31" t="s">
        <v>425</v>
      </c>
      <c r="J394" s="32" t="n">
        <v>1.0</v>
      </c>
      <c r="K394" s="33" t="n">
        <f>141800</f>
        <v>141800.0</v>
      </c>
      <c r="L394" s="34" t="s">
        <v>48</v>
      </c>
      <c r="M394" s="33" t="n">
        <f>141800</f>
        <v>141800.0</v>
      </c>
      <c r="N394" s="34" t="s">
        <v>48</v>
      </c>
      <c r="O394" s="33" t="n">
        <f>121100</f>
        <v>121100.0</v>
      </c>
      <c r="P394" s="34" t="s">
        <v>49</v>
      </c>
      <c r="Q394" s="33" t="n">
        <f>139000</f>
        <v>139000.0</v>
      </c>
      <c r="R394" s="34" t="s">
        <v>50</v>
      </c>
      <c r="S394" s="35" t="n">
        <f>136261.9</f>
        <v>136261.9</v>
      </c>
      <c r="T394" s="32" t="n">
        <f>24408</f>
        <v>24408.0</v>
      </c>
      <c r="U394" s="32" t="n">
        <f>4818</f>
        <v>4818.0</v>
      </c>
      <c r="V394" s="32" t="n">
        <f>3311583867</f>
        <v>3.311583867E9</v>
      </c>
      <c r="W394" s="32" t="n">
        <f>660813167</f>
        <v>6.60813167E8</v>
      </c>
      <c r="X394" s="36" t="n">
        <f>21</f>
        <v>21.0</v>
      </c>
    </row>
    <row r="395">
      <c r="A395" s="27" t="s">
        <v>42</v>
      </c>
      <c r="B395" s="27" t="s">
        <v>1239</v>
      </c>
      <c r="C395" s="27" t="s">
        <v>1240</v>
      </c>
      <c r="D395" s="27" t="s">
        <v>1241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124500</f>
        <v>124500.0</v>
      </c>
      <c r="L395" s="34" t="s">
        <v>48</v>
      </c>
      <c r="M395" s="33" t="n">
        <f>124700</f>
        <v>124700.0</v>
      </c>
      <c r="N395" s="34" t="s">
        <v>316</v>
      </c>
      <c r="O395" s="33" t="n">
        <f>112800</f>
        <v>112800.0</v>
      </c>
      <c r="P395" s="34" t="s">
        <v>49</v>
      </c>
      <c r="Q395" s="33" t="n">
        <f>122400</f>
        <v>122400.0</v>
      </c>
      <c r="R395" s="34" t="s">
        <v>50</v>
      </c>
      <c r="S395" s="35" t="n">
        <f>121595.24</f>
        <v>121595.24</v>
      </c>
      <c r="T395" s="32" t="n">
        <f>26344</f>
        <v>26344.0</v>
      </c>
      <c r="U395" s="32" t="n">
        <f>5073</f>
        <v>5073.0</v>
      </c>
      <c r="V395" s="32" t="n">
        <f>3188439952</f>
        <v>3.188439952E9</v>
      </c>
      <c r="W395" s="32" t="n">
        <f>618282552</f>
        <v>6.18282552E8</v>
      </c>
      <c r="X395" s="36" t="n">
        <f>21</f>
        <v>21.0</v>
      </c>
    </row>
    <row r="396">
      <c r="A396" s="27" t="s">
        <v>42</v>
      </c>
      <c r="B396" s="27" t="s">
        <v>1242</v>
      </c>
      <c r="C396" s="27" t="s">
        <v>1243</v>
      </c>
      <c r="D396" s="27" t="s">
        <v>1244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102500</f>
        <v>102500.0</v>
      </c>
      <c r="L396" s="34" t="s">
        <v>48</v>
      </c>
      <c r="M396" s="33" t="n">
        <f>105000</f>
        <v>105000.0</v>
      </c>
      <c r="N396" s="34" t="s">
        <v>104</v>
      </c>
      <c r="O396" s="33" t="n">
        <f>96600</f>
        <v>96600.0</v>
      </c>
      <c r="P396" s="34" t="s">
        <v>49</v>
      </c>
      <c r="Q396" s="33" t="n">
        <f>102900</f>
        <v>102900.0</v>
      </c>
      <c r="R396" s="34" t="s">
        <v>50</v>
      </c>
      <c r="S396" s="35" t="n">
        <f>101861.9</f>
        <v>101861.9</v>
      </c>
      <c r="T396" s="32" t="n">
        <f>24475</f>
        <v>24475.0</v>
      </c>
      <c r="U396" s="32" t="n">
        <f>4301</f>
        <v>4301.0</v>
      </c>
      <c r="V396" s="32" t="n">
        <f>2476971492</f>
        <v>2.476971492E9</v>
      </c>
      <c r="W396" s="32" t="n">
        <f>438463692</f>
        <v>4.38463692E8</v>
      </c>
      <c r="X396" s="36" t="n">
        <f>21</f>
        <v>21.0</v>
      </c>
    </row>
    <row r="397">
      <c r="A397" s="27" t="s">
        <v>42</v>
      </c>
      <c r="B397" s="27" t="s">
        <v>1245</v>
      </c>
      <c r="C397" s="27" t="s">
        <v>1246</v>
      </c>
      <c r="D397" s="27" t="s">
        <v>1247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147700</f>
        <v>147700.0</v>
      </c>
      <c r="L397" s="34" t="s">
        <v>48</v>
      </c>
      <c r="M397" s="33" t="n">
        <f>154500</f>
        <v>154500.0</v>
      </c>
      <c r="N397" s="34" t="s">
        <v>316</v>
      </c>
      <c r="O397" s="33" t="n">
        <f>140100</f>
        <v>140100.0</v>
      </c>
      <c r="P397" s="34" t="s">
        <v>49</v>
      </c>
      <c r="Q397" s="33" t="n">
        <f>147700</f>
        <v>147700.0</v>
      </c>
      <c r="R397" s="34" t="s">
        <v>50</v>
      </c>
      <c r="S397" s="35" t="n">
        <f>147576.19</f>
        <v>147576.19</v>
      </c>
      <c r="T397" s="32" t="n">
        <f>1217107</f>
        <v>1217107.0</v>
      </c>
      <c r="U397" s="32" t="n">
        <f>328990</f>
        <v>328990.0</v>
      </c>
      <c r="V397" s="32" t="n">
        <f>179654493291</f>
        <v>1.79654493291E11</v>
      </c>
      <c r="W397" s="32" t="n">
        <f>48504167291</f>
        <v>4.8504167291E10</v>
      </c>
      <c r="X397" s="36" t="n">
        <f>21</f>
        <v>21.0</v>
      </c>
    </row>
    <row r="398">
      <c r="A398" s="27" t="s">
        <v>42</v>
      </c>
      <c r="B398" s="27" t="s">
        <v>1248</v>
      </c>
      <c r="C398" s="27" t="s">
        <v>1249</v>
      </c>
      <c r="D398" s="27" t="s">
        <v>1250</v>
      </c>
      <c r="E398" s="28" t="s">
        <v>46</v>
      </c>
      <c r="F398" s="29" t="s">
        <v>46</v>
      </c>
      <c r="G398" s="30" t="s">
        <v>46</v>
      </c>
      <c r="H398" s="31"/>
      <c r="I398" s="31" t="s">
        <v>425</v>
      </c>
      <c r="J398" s="32" t="n">
        <v>1.0</v>
      </c>
      <c r="K398" s="33" t="n">
        <f>114400</f>
        <v>114400.0</v>
      </c>
      <c r="L398" s="34" t="s">
        <v>48</v>
      </c>
      <c r="M398" s="33" t="n">
        <f>128200</f>
        <v>128200.0</v>
      </c>
      <c r="N398" s="34" t="s">
        <v>50</v>
      </c>
      <c r="O398" s="33" t="n">
        <f>107000</f>
        <v>107000.0</v>
      </c>
      <c r="P398" s="34" t="s">
        <v>49</v>
      </c>
      <c r="Q398" s="33" t="n">
        <f>127500</f>
        <v>127500.0</v>
      </c>
      <c r="R398" s="34" t="s">
        <v>50</v>
      </c>
      <c r="S398" s="35" t="n">
        <f>119319.05</f>
        <v>119319.05</v>
      </c>
      <c r="T398" s="32" t="n">
        <f>83187</f>
        <v>83187.0</v>
      </c>
      <c r="U398" s="32" t="n">
        <f>6082</f>
        <v>6082.0</v>
      </c>
      <c r="V398" s="32" t="n">
        <f>9777159297</f>
        <v>9.777159297E9</v>
      </c>
      <c r="W398" s="32" t="n">
        <f>722877697</f>
        <v>7.22877697E8</v>
      </c>
      <c r="X398" s="36" t="n">
        <f>21</f>
        <v>21.0</v>
      </c>
    </row>
    <row r="399">
      <c r="A399" s="27" t="s">
        <v>42</v>
      </c>
      <c r="B399" s="27" t="s">
        <v>1251</v>
      </c>
      <c r="C399" s="27" t="s">
        <v>1252</v>
      </c>
      <c r="D399" s="27" t="s">
        <v>1253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148000</f>
        <v>148000.0</v>
      </c>
      <c r="L399" s="34" t="s">
        <v>48</v>
      </c>
      <c r="M399" s="33" t="n">
        <f>150400</f>
        <v>150400.0</v>
      </c>
      <c r="N399" s="34" t="s">
        <v>153</v>
      </c>
      <c r="O399" s="33" t="n">
        <f>138100</f>
        <v>138100.0</v>
      </c>
      <c r="P399" s="34" t="s">
        <v>49</v>
      </c>
      <c r="Q399" s="33" t="n">
        <f>146500</f>
        <v>146500.0</v>
      </c>
      <c r="R399" s="34" t="s">
        <v>50</v>
      </c>
      <c r="S399" s="35" t="n">
        <f>146228.57</f>
        <v>146228.57</v>
      </c>
      <c r="T399" s="32" t="n">
        <f>154830</f>
        <v>154830.0</v>
      </c>
      <c r="U399" s="32" t="n">
        <f>31018</f>
        <v>31018.0</v>
      </c>
      <c r="V399" s="32" t="n">
        <f>22562720406</f>
        <v>2.2562720406E10</v>
      </c>
      <c r="W399" s="32" t="n">
        <f>4520136806</f>
        <v>4.520136806E9</v>
      </c>
      <c r="X399" s="36" t="n">
        <f>21</f>
        <v>21.0</v>
      </c>
    </row>
    <row r="400">
      <c r="A400" s="27" t="s">
        <v>42</v>
      </c>
      <c r="B400" s="27" t="s">
        <v>1254</v>
      </c>
      <c r="C400" s="27" t="s">
        <v>1255</v>
      </c>
      <c r="D400" s="27" t="s">
        <v>1256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56900</f>
        <v>56900.0</v>
      </c>
      <c r="L400" s="34" t="s">
        <v>48</v>
      </c>
      <c r="M400" s="33" t="n">
        <f>57800</f>
        <v>57800.0</v>
      </c>
      <c r="N400" s="34" t="s">
        <v>153</v>
      </c>
      <c r="O400" s="33" t="n">
        <f>52600</f>
        <v>52600.0</v>
      </c>
      <c r="P400" s="34" t="s">
        <v>49</v>
      </c>
      <c r="Q400" s="33" t="n">
        <f>55000</f>
        <v>55000.0</v>
      </c>
      <c r="R400" s="34" t="s">
        <v>50</v>
      </c>
      <c r="S400" s="35" t="n">
        <f>55385.71</f>
        <v>55385.71</v>
      </c>
      <c r="T400" s="32" t="n">
        <f>705759</f>
        <v>705759.0</v>
      </c>
      <c r="U400" s="32" t="n">
        <f>126645</f>
        <v>126645.0</v>
      </c>
      <c r="V400" s="32" t="n">
        <f>39303988091</f>
        <v>3.9303988091E10</v>
      </c>
      <c r="W400" s="32" t="n">
        <f>7156569891</f>
        <v>7.156569891E9</v>
      </c>
      <c r="X400" s="36" t="n">
        <f>21</f>
        <v>21.0</v>
      </c>
    </row>
    <row r="401">
      <c r="A401" s="27" t="s">
        <v>42</v>
      </c>
      <c r="B401" s="27" t="s">
        <v>1257</v>
      </c>
      <c r="C401" s="27" t="s">
        <v>1258</v>
      </c>
      <c r="D401" s="27" t="s">
        <v>1259</v>
      </c>
      <c r="E401" s="28" t="s">
        <v>46</v>
      </c>
      <c r="F401" s="29" t="s">
        <v>46</v>
      </c>
      <c r="G401" s="30" t="s">
        <v>46</v>
      </c>
      <c r="H401" s="31"/>
      <c r="I401" s="31" t="s">
        <v>425</v>
      </c>
      <c r="J401" s="32" t="n">
        <v>1.0</v>
      </c>
      <c r="K401" s="33" t="n">
        <f>127400</f>
        <v>127400.0</v>
      </c>
      <c r="L401" s="34" t="s">
        <v>48</v>
      </c>
      <c r="M401" s="33" t="n">
        <f>127400</f>
        <v>127400.0</v>
      </c>
      <c r="N401" s="34" t="s">
        <v>48</v>
      </c>
      <c r="O401" s="33" t="n">
        <f>112800</f>
        <v>112800.0</v>
      </c>
      <c r="P401" s="34" t="s">
        <v>49</v>
      </c>
      <c r="Q401" s="33" t="n">
        <f>123900</f>
        <v>123900.0</v>
      </c>
      <c r="R401" s="34" t="s">
        <v>50</v>
      </c>
      <c r="S401" s="35" t="n">
        <f>122433.33</f>
        <v>122433.33</v>
      </c>
      <c r="T401" s="32" t="n">
        <f>32203</f>
        <v>32203.0</v>
      </c>
      <c r="U401" s="32" t="n">
        <f>2688</f>
        <v>2688.0</v>
      </c>
      <c r="V401" s="32" t="n">
        <f>3947631275</f>
        <v>3.947631275E9</v>
      </c>
      <c r="W401" s="32" t="n">
        <f>330659275</f>
        <v>3.30659275E8</v>
      </c>
      <c r="X401" s="36" t="n">
        <f>21</f>
        <v>21.0</v>
      </c>
    </row>
    <row r="402">
      <c r="A402" s="27" t="s">
        <v>42</v>
      </c>
      <c r="B402" s="27" t="s">
        <v>1260</v>
      </c>
      <c r="C402" s="27" t="s">
        <v>1261</v>
      </c>
      <c r="D402" s="27" t="s">
        <v>1262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421000</f>
        <v>421000.0</v>
      </c>
      <c r="L402" s="34" t="s">
        <v>48</v>
      </c>
      <c r="M402" s="33" t="n">
        <f>454500</f>
        <v>454500.0</v>
      </c>
      <c r="N402" s="34" t="s">
        <v>153</v>
      </c>
      <c r="O402" s="33" t="n">
        <f>393500</f>
        <v>393500.0</v>
      </c>
      <c r="P402" s="34" t="s">
        <v>49</v>
      </c>
      <c r="Q402" s="33" t="n">
        <f>439500</f>
        <v>439500.0</v>
      </c>
      <c r="R402" s="34" t="s">
        <v>50</v>
      </c>
      <c r="S402" s="35" t="n">
        <f>438380.95</f>
        <v>438380.95</v>
      </c>
      <c r="T402" s="32" t="n">
        <f>65756</f>
        <v>65756.0</v>
      </c>
      <c r="U402" s="32" t="n">
        <f>11675</f>
        <v>11675.0</v>
      </c>
      <c r="V402" s="32" t="n">
        <f>28534353337</f>
        <v>2.8534353337E10</v>
      </c>
      <c r="W402" s="32" t="n">
        <f>5040962837</f>
        <v>5.040962837E9</v>
      </c>
      <c r="X402" s="36" t="n">
        <f>21</f>
        <v>21.0</v>
      </c>
    </row>
    <row r="403">
      <c r="A403" s="27" t="s">
        <v>42</v>
      </c>
      <c r="B403" s="27" t="s">
        <v>1263</v>
      </c>
      <c r="C403" s="27" t="s">
        <v>1264</v>
      </c>
      <c r="D403" s="27" t="s">
        <v>1265</v>
      </c>
      <c r="E403" s="28" t="s">
        <v>46</v>
      </c>
      <c r="F403" s="29" t="s">
        <v>46</v>
      </c>
      <c r="G403" s="30" t="s">
        <v>46</v>
      </c>
      <c r="H403" s="31"/>
      <c r="I403" s="31" t="s">
        <v>425</v>
      </c>
      <c r="J403" s="32" t="n">
        <v>1.0</v>
      </c>
      <c r="K403" s="33" t="n">
        <f>76400</f>
        <v>76400.0</v>
      </c>
      <c r="L403" s="34" t="s">
        <v>48</v>
      </c>
      <c r="M403" s="33" t="n">
        <f>76400</f>
        <v>76400.0</v>
      </c>
      <c r="N403" s="34" t="s">
        <v>48</v>
      </c>
      <c r="O403" s="33" t="n">
        <f>67000</f>
        <v>67000.0</v>
      </c>
      <c r="P403" s="34" t="s">
        <v>49</v>
      </c>
      <c r="Q403" s="33" t="n">
        <f>73000</f>
        <v>73000.0</v>
      </c>
      <c r="R403" s="34" t="s">
        <v>50</v>
      </c>
      <c r="S403" s="35" t="n">
        <f>71785.71</f>
        <v>71785.71</v>
      </c>
      <c r="T403" s="32" t="n">
        <f>20378</f>
        <v>20378.0</v>
      </c>
      <c r="U403" s="32" t="n">
        <f>3002</f>
        <v>3002.0</v>
      </c>
      <c r="V403" s="32" t="n">
        <f>1460793987</f>
        <v>1.460793987E9</v>
      </c>
      <c r="W403" s="32" t="n">
        <f>216160987</f>
        <v>2.16160987E8</v>
      </c>
      <c r="X403" s="36" t="n">
        <f>21</f>
        <v>21.0</v>
      </c>
    </row>
    <row r="404">
      <c r="A404" s="27" t="s">
        <v>42</v>
      </c>
      <c r="B404" s="27" t="s">
        <v>1266</v>
      </c>
      <c r="C404" s="27" t="s">
        <v>1267</v>
      </c>
      <c r="D404" s="27" t="s">
        <v>1268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44600</f>
        <v>44600.0</v>
      </c>
      <c r="L404" s="34" t="s">
        <v>48</v>
      </c>
      <c r="M404" s="33" t="n">
        <f>45000</f>
        <v>45000.0</v>
      </c>
      <c r="N404" s="34" t="s">
        <v>104</v>
      </c>
      <c r="O404" s="33" t="n">
        <f>41000</f>
        <v>41000.0</v>
      </c>
      <c r="P404" s="34" t="s">
        <v>49</v>
      </c>
      <c r="Q404" s="33" t="n">
        <f>44650</f>
        <v>44650.0</v>
      </c>
      <c r="R404" s="34" t="s">
        <v>50</v>
      </c>
      <c r="S404" s="35" t="n">
        <f>44052.38</f>
        <v>44052.38</v>
      </c>
      <c r="T404" s="32" t="n">
        <f>127012</f>
        <v>127012.0</v>
      </c>
      <c r="U404" s="32" t="n">
        <f>19660</f>
        <v>19660.0</v>
      </c>
      <c r="V404" s="32" t="n">
        <f>5565542917</f>
        <v>5.565542917E9</v>
      </c>
      <c r="W404" s="32" t="n">
        <f>864954267</f>
        <v>8.64954267E8</v>
      </c>
      <c r="X404" s="36" t="n">
        <f>21</f>
        <v>21.0</v>
      </c>
    </row>
    <row r="405">
      <c r="A405" s="27" t="s">
        <v>42</v>
      </c>
      <c r="B405" s="27" t="s">
        <v>1269</v>
      </c>
      <c r="C405" s="27" t="s">
        <v>1270</v>
      </c>
      <c r="D405" s="27" t="s">
        <v>1271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378500</f>
        <v>378500.0</v>
      </c>
      <c r="L405" s="34" t="s">
        <v>48</v>
      </c>
      <c r="M405" s="33" t="n">
        <f>392500</f>
        <v>392500.0</v>
      </c>
      <c r="N405" s="34" t="s">
        <v>153</v>
      </c>
      <c r="O405" s="33" t="n">
        <f>355500</f>
        <v>355500.0</v>
      </c>
      <c r="P405" s="34" t="s">
        <v>49</v>
      </c>
      <c r="Q405" s="33" t="n">
        <f>378000</f>
        <v>378000.0</v>
      </c>
      <c r="R405" s="34" t="s">
        <v>50</v>
      </c>
      <c r="S405" s="35" t="n">
        <f>379428.57</f>
        <v>379428.57</v>
      </c>
      <c r="T405" s="32" t="n">
        <f>55070</f>
        <v>55070.0</v>
      </c>
      <c r="U405" s="32" t="n">
        <f>9192</f>
        <v>9192.0</v>
      </c>
      <c r="V405" s="32" t="n">
        <f>20827334529</f>
        <v>2.0827334529E10</v>
      </c>
      <c r="W405" s="32" t="n">
        <f>3472391529</f>
        <v>3.472391529E9</v>
      </c>
      <c r="X405" s="36" t="n">
        <f>21</f>
        <v>21.0</v>
      </c>
    </row>
    <row r="406">
      <c r="A406" s="27" t="s">
        <v>42</v>
      </c>
      <c r="B406" s="27" t="s">
        <v>1272</v>
      </c>
      <c r="C406" s="27" t="s">
        <v>1273</v>
      </c>
      <c r="D406" s="27" t="s">
        <v>1274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144700</f>
        <v>144700.0</v>
      </c>
      <c r="L406" s="34" t="s">
        <v>48</v>
      </c>
      <c r="M406" s="33" t="n">
        <f>155900</f>
        <v>155900.0</v>
      </c>
      <c r="N406" s="34" t="s">
        <v>316</v>
      </c>
      <c r="O406" s="33" t="n">
        <f>133100</f>
        <v>133100.0</v>
      </c>
      <c r="P406" s="34" t="s">
        <v>49</v>
      </c>
      <c r="Q406" s="33" t="n">
        <f>149600</f>
        <v>149600.0</v>
      </c>
      <c r="R406" s="34" t="s">
        <v>50</v>
      </c>
      <c r="S406" s="35" t="n">
        <f>147338.1</f>
        <v>147338.1</v>
      </c>
      <c r="T406" s="32" t="n">
        <f>80335</f>
        <v>80335.0</v>
      </c>
      <c r="U406" s="32" t="n">
        <f>18813</f>
        <v>18813.0</v>
      </c>
      <c r="V406" s="32" t="n">
        <f>11753417094</f>
        <v>1.1753417094E10</v>
      </c>
      <c r="W406" s="32" t="n">
        <f>2761133694</f>
        <v>2.761133694E9</v>
      </c>
      <c r="X406" s="36" t="n">
        <f>21</f>
        <v>21.0</v>
      </c>
    </row>
    <row r="407">
      <c r="A407" s="27" t="s">
        <v>42</v>
      </c>
      <c r="B407" s="27" t="s">
        <v>1275</v>
      </c>
      <c r="C407" s="27" t="s">
        <v>1276</v>
      </c>
      <c r="D407" s="27" t="s">
        <v>1277</v>
      </c>
      <c r="E407" s="28" t="s">
        <v>46</v>
      </c>
      <c r="F407" s="29" t="s">
        <v>46</v>
      </c>
      <c r="G407" s="30" t="s">
        <v>46</v>
      </c>
      <c r="H407" s="31"/>
      <c r="I407" s="31" t="s">
        <v>425</v>
      </c>
      <c r="J407" s="32" t="n">
        <v>1.0</v>
      </c>
      <c r="K407" s="33" t="n">
        <f>120800</f>
        <v>120800.0</v>
      </c>
      <c r="L407" s="34" t="s">
        <v>48</v>
      </c>
      <c r="M407" s="33" t="n">
        <f>121000</f>
        <v>121000.0</v>
      </c>
      <c r="N407" s="34" t="s">
        <v>153</v>
      </c>
      <c r="O407" s="33" t="n">
        <f>109000</f>
        <v>109000.0</v>
      </c>
      <c r="P407" s="34" t="s">
        <v>49</v>
      </c>
      <c r="Q407" s="33" t="n">
        <f>116000</f>
        <v>116000.0</v>
      </c>
      <c r="R407" s="34" t="s">
        <v>50</v>
      </c>
      <c r="S407" s="35" t="n">
        <f>117238.1</f>
        <v>117238.1</v>
      </c>
      <c r="T407" s="32" t="n">
        <f>28930</f>
        <v>28930.0</v>
      </c>
      <c r="U407" s="32" t="n">
        <f>3132</f>
        <v>3132.0</v>
      </c>
      <c r="V407" s="32" t="n">
        <f>3377797309</f>
        <v>3.377797309E9</v>
      </c>
      <c r="W407" s="32" t="n">
        <f>365883009</f>
        <v>3.65883009E8</v>
      </c>
      <c r="X407" s="36" t="n">
        <f>21</f>
        <v>21.0</v>
      </c>
    </row>
    <row r="408">
      <c r="A408" s="27" t="s">
        <v>42</v>
      </c>
      <c r="B408" s="27" t="s">
        <v>1278</v>
      </c>
      <c r="C408" s="27" t="s">
        <v>1279</v>
      </c>
      <c r="D408" s="27" t="s">
        <v>1280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99600</f>
        <v>99600.0</v>
      </c>
      <c r="L408" s="34" t="s">
        <v>48</v>
      </c>
      <c r="M408" s="33" t="n">
        <f>99700</f>
        <v>99700.0</v>
      </c>
      <c r="N408" s="34" t="s">
        <v>48</v>
      </c>
      <c r="O408" s="33" t="n">
        <f>91600</f>
        <v>91600.0</v>
      </c>
      <c r="P408" s="34" t="s">
        <v>49</v>
      </c>
      <c r="Q408" s="33" t="n">
        <f>94100</f>
        <v>94100.0</v>
      </c>
      <c r="R408" s="34" t="s">
        <v>50</v>
      </c>
      <c r="S408" s="35" t="n">
        <f>96395.24</f>
        <v>96395.24</v>
      </c>
      <c r="T408" s="32" t="n">
        <f>115680</f>
        <v>115680.0</v>
      </c>
      <c r="U408" s="32" t="n">
        <f>11082</f>
        <v>11082.0</v>
      </c>
      <c r="V408" s="32" t="n">
        <f>11132296990</f>
        <v>1.113229699E10</v>
      </c>
      <c r="W408" s="32" t="n">
        <f>1065024690</f>
        <v>1.06502469E9</v>
      </c>
      <c r="X408" s="36" t="n">
        <f>21</f>
        <v>21.0</v>
      </c>
    </row>
    <row r="409">
      <c r="A409" s="27" t="s">
        <v>42</v>
      </c>
      <c r="B409" s="27" t="s">
        <v>1281</v>
      </c>
      <c r="C409" s="27" t="s">
        <v>1282</v>
      </c>
      <c r="D409" s="27" t="s">
        <v>1283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119800</f>
        <v>119800.0</v>
      </c>
      <c r="L409" s="34" t="s">
        <v>48</v>
      </c>
      <c r="M409" s="33" t="n">
        <f>133400</f>
        <v>133400.0</v>
      </c>
      <c r="N409" s="34" t="s">
        <v>153</v>
      </c>
      <c r="O409" s="33" t="n">
        <f>109900</f>
        <v>109900.0</v>
      </c>
      <c r="P409" s="34" t="s">
        <v>49</v>
      </c>
      <c r="Q409" s="33" t="n">
        <f>124500</f>
        <v>124500.0</v>
      </c>
      <c r="R409" s="34" t="s">
        <v>50</v>
      </c>
      <c r="S409" s="35" t="n">
        <f>127104.76</f>
        <v>127104.76</v>
      </c>
      <c r="T409" s="32" t="n">
        <f>99180</f>
        <v>99180.0</v>
      </c>
      <c r="U409" s="32" t="n">
        <f>11687</f>
        <v>11687.0</v>
      </c>
      <c r="V409" s="32" t="n">
        <f>12597598210</f>
        <v>1.259759821E10</v>
      </c>
      <c r="W409" s="32" t="n">
        <f>1486420210</f>
        <v>1.48642021E9</v>
      </c>
      <c r="X409" s="36" t="n">
        <f>21</f>
        <v>21.0</v>
      </c>
    </row>
    <row r="410">
      <c r="A410" s="27" t="s">
        <v>42</v>
      </c>
      <c r="B410" s="27" t="s">
        <v>1284</v>
      </c>
      <c r="C410" s="27" t="s">
        <v>1285</v>
      </c>
      <c r="D410" s="27" t="s">
        <v>1286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582000</f>
        <v>582000.0</v>
      </c>
      <c r="L410" s="34" t="s">
        <v>48</v>
      </c>
      <c r="M410" s="33" t="n">
        <f>668000</f>
        <v>668000.0</v>
      </c>
      <c r="N410" s="34" t="s">
        <v>153</v>
      </c>
      <c r="O410" s="33" t="n">
        <f>563000</f>
        <v>563000.0</v>
      </c>
      <c r="P410" s="34" t="s">
        <v>49</v>
      </c>
      <c r="Q410" s="33" t="n">
        <f>656000</f>
        <v>656000.0</v>
      </c>
      <c r="R410" s="34" t="s">
        <v>50</v>
      </c>
      <c r="S410" s="35" t="n">
        <f>618857.14</f>
        <v>618857.14</v>
      </c>
      <c r="T410" s="32" t="n">
        <f>200883</f>
        <v>200883.0</v>
      </c>
      <c r="U410" s="32" t="n">
        <f>50630</f>
        <v>50630.0</v>
      </c>
      <c r="V410" s="32" t="n">
        <f>123329039249</f>
        <v>1.23329039249E11</v>
      </c>
      <c r="W410" s="32" t="n">
        <f>31103899249</f>
        <v>3.1103899249E10</v>
      </c>
      <c r="X410" s="36" t="n">
        <f>21</f>
        <v>21.0</v>
      </c>
    </row>
    <row r="411">
      <c r="A411" s="27" t="s">
        <v>42</v>
      </c>
      <c r="B411" s="27" t="s">
        <v>1287</v>
      </c>
      <c r="C411" s="27" t="s">
        <v>1288</v>
      </c>
      <c r="D411" s="27" t="s">
        <v>1289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523000</f>
        <v>523000.0</v>
      </c>
      <c r="L411" s="34" t="s">
        <v>48</v>
      </c>
      <c r="M411" s="33" t="n">
        <f>600000</f>
        <v>600000.0</v>
      </c>
      <c r="N411" s="34" t="s">
        <v>104</v>
      </c>
      <c r="O411" s="33" t="n">
        <f>499000</f>
        <v>499000.0</v>
      </c>
      <c r="P411" s="34" t="s">
        <v>49</v>
      </c>
      <c r="Q411" s="33" t="n">
        <f>587000</f>
        <v>587000.0</v>
      </c>
      <c r="R411" s="34" t="s">
        <v>50</v>
      </c>
      <c r="S411" s="35" t="n">
        <f>548904.76</f>
        <v>548904.76</v>
      </c>
      <c r="T411" s="32" t="n">
        <f>187898</f>
        <v>187898.0</v>
      </c>
      <c r="U411" s="32" t="n">
        <f>45346</f>
        <v>45346.0</v>
      </c>
      <c r="V411" s="32" t="n">
        <f>102249156974</f>
        <v>1.02249156974E11</v>
      </c>
      <c r="W411" s="32" t="n">
        <f>24641639474</f>
        <v>2.4641639474E10</v>
      </c>
      <c r="X411" s="36" t="n">
        <f>21</f>
        <v>21.0</v>
      </c>
    </row>
    <row r="412">
      <c r="A412" s="27" t="s">
        <v>42</v>
      </c>
      <c r="B412" s="27" t="s">
        <v>1290</v>
      </c>
      <c r="C412" s="27" t="s">
        <v>1291</v>
      </c>
      <c r="D412" s="27" t="s">
        <v>1292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93100</f>
        <v>93100.0</v>
      </c>
      <c r="L412" s="34" t="s">
        <v>48</v>
      </c>
      <c r="M412" s="33" t="n">
        <f>96400</f>
        <v>96400.0</v>
      </c>
      <c r="N412" s="34" t="s">
        <v>153</v>
      </c>
      <c r="O412" s="33" t="n">
        <f>86800</f>
        <v>86800.0</v>
      </c>
      <c r="P412" s="34" t="s">
        <v>49</v>
      </c>
      <c r="Q412" s="33" t="n">
        <f>92400</f>
        <v>92400.0</v>
      </c>
      <c r="R412" s="34" t="s">
        <v>50</v>
      </c>
      <c r="S412" s="35" t="n">
        <f>92119.05</f>
        <v>92119.05</v>
      </c>
      <c r="T412" s="32" t="n">
        <f>690268</f>
        <v>690268.0</v>
      </c>
      <c r="U412" s="32" t="n">
        <f>176030</f>
        <v>176030.0</v>
      </c>
      <c r="V412" s="32" t="n">
        <f>63388052827</f>
        <v>6.3388052827E10</v>
      </c>
      <c r="W412" s="32" t="n">
        <f>16124167027</f>
        <v>1.6124167027E10</v>
      </c>
      <c r="X412" s="36" t="n">
        <f>21</f>
        <v>21.0</v>
      </c>
    </row>
    <row r="413">
      <c r="A413" s="27" t="s">
        <v>42</v>
      </c>
      <c r="B413" s="27" t="s">
        <v>1293</v>
      </c>
      <c r="C413" s="27" t="s">
        <v>1294</v>
      </c>
      <c r="D413" s="27" t="s">
        <v>1295</v>
      </c>
      <c r="E413" s="28" t="s">
        <v>46</v>
      </c>
      <c r="F413" s="29" t="s">
        <v>46</v>
      </c>
      <c r="G413" s="30" t="s">
        <v>46</v>
      </c>
      <c r="H413" s="31"/>
      <c r="I413" s="31" t="s">
        <v>47</v>
      </c>
      <c r="J413" s="32" t="n">
        <v>1.0</v>
      </c>
      <c r="K413" s="33" t="n">
        <f>155700</f>
        <v>155700.0</v>
      </c>
      <c r="L413" s="34" t="s">
        <v>48</v>
      </c>
      <c r="M413" s="33" t="n">
        <f>158600</f>
        <v>158600.0</v>
      </c>
      <c r="N413" s="34" t="s">
        <v>153</v>
      </c>
      <c r="O413" s="33" t="n">
        <f>144600</f>
        <v>144600.0</v>
      </c>
      <c r="P413" s="34" t="s">
        <v>49</v>
      </c>
      <c r="Q413" s="33" t="n">
        <f>151700</f>
        <v>151700.0</v>
      </c>
      <c r="R413" s="34" t="s">
        <v>50</v>
      </c>
      <c r="S413" s="35" t="n">
        <f>153471.43</f>
        <v>153471.43</v>
      </c>
      <c r="T413" s="32" t="n">
        <f>202274</f>
        <v>202274.0</v>
      </c>
      <c r="U413" s="32" t="n">
        <f>37152</f>
        <v>37152.0</v>
      </c>
      <c r="V413" s="32" t="n">
        <f>30977863651</f>
        <v>3.0977863651E10</v>
      </c>
      <c r="W413" s="32" t="n">
        <f>5690395551</f>
        <v>5.690395551E9</v>
      </c>
      <c r="X413" s="36" t="n">
        <f>21</f>
        <v>21.0</v>
      </c>
    </row>
    <row r="414">
      <c r="A414" s="27" t="s">
        <v>42</v>
      </c>
      <c r="B414" s="27" t="s">
        <v>1296</v>
      </c>
      <c r="C414" s="27" t="s">
        <v>1297</v>
      </c>
      <c r="D414" s="27" t="s">
        <v>1298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326000</f>
        <v>326000.0</v>
      </c>
      <c r="L414" s="34" t="s">
        <v>48</v>
      </c>
      <c r="M414" s="33" t="n">
        <f>341000</f>
        <v>341000.0</v>
      </c>
      <c r="N414" s="34" t="s">
        <v>104</v>
      </c>
      <c r="O414" s="33" t="n">
        <f>305000</f>
        <v>305000.0</v>
      </c>
      <c r="P414" s="34" t="s">
        <v>49</v>
      </c>
      <c r="Q414" s="33" t="n">
        <f>329500</f>
        <v>329500.0</v>
      </c>
      <c r="R414" s="34" t="s">
        <v>50</v>
      </c>
      <c r="S414" s="35" t="n">
        <f>326880.95</f>
        <v>326880.95</v>
      </c>
      <c r="T414" s="32" t="n">
        <f>69512</f>
        <v>69512.0</v>
      </c>
      <c r="U414" s="32" t="n">
        <f>16114</f>
        <v>16114.0</v>
      </c>
      <c r="V414" s="32" t="n">
        <f>22649070247</f>
        <v>2.2649070247E10</v>
      </c>
      <c r="W414" s="32" t="n">
        <f>5266366747</f>
        <v>5.266366747E9</v>
      </c>
      <c r="X414" s="36" t="n">
        <f>21</f>
        <v>21.0</v>
      </c>
    </row>
    <row r="415">
      <c r="A415" s="27" t="s">
        <v>42</v>
      </c>
      <c r="B415" s="27" t="s">
        <v>1299</v>
      </c>
      <c r="C415" s="27" t="s">
        <v>1300</v>
      </c>
      <c r="D415" s="27" t="s">
        <v>1301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116100</f>
        <v>116100.0</v>
      </c>
      <c r="L415" s="34" t="s">
        <v>48</v>
      </c>
      <c r="M415" s="33" t="n">
        <f>120300</f>
        <v>120300.0</v>
      </c>
      <c r="N415" s="34" t="s">
        <v>104</v>
      </c>
      <c r="O415" s="33" t="n">
        <f>109100</f>
        <v>109100.0</v>
      </c>
      <c r="P415" s="34" t="s">
        <v>49</v>
      </c>
      <c r="Q415" s="33" t="n">
        <f>117400</f>
        <v>117400.0</v>
      </c>
      <c r="R415" s="34" t="s">
        <v>50</v>
      </c>
      <c r="S415" s="35" t="n">
        <f>115219.05</f>
        <v>115219.05</v>
      </c>
      <c r="T415" s="32" t="n">
        <f>82233</f>
        <v>82233.0</v>
      </c>
      <c r="U415" s="32" t="n">
        <f>18539</f>
        <v>18539.0</v>
      </c>
      <c r="V415" s="32" t="n">
        <f>9441779165</f>
        <v>9.441779165E9</v>
      </c>
      <c r="W415" s="32" t="n">
        <f>2134240465</f>
        <v>2.134240465E9</v>
      </c>
      <c r="X415" s="36" t="n">
        <f>21</f>
        <v>21.0</v>
      </c>
    </row>
    <row r="416">
      <c r="A416" s="27" t="s">
        <v>42</v>
      </c>
      <c r="B416" s="27" t="s">
        <v>1302</v>
      </c>
      <c r="C416" s="27" t="s">
        <v>1303</v>
      </c>
      <c r="D416" s="27" t="s">
        <v>1304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151900</f>
        <v>151900.0</v>
      </c>
      <c r="L416" s="34" t="s">
        <v>48</v>
      </c>
      <c r="M416" s="33" t="n">
        <f>156700</f>
        <v>156700.0</v>
      </c>
      <c r="N416" s="34" t="s">
        <v>153</v>
      </c>
      <c r="O416" s="33" t="n">
        <f>141300</f>
        <v>141300.0</v>
      </c>
      <c r="P416" s="34" t="s">
        <v>49</v>
      </c>
      <c r="Q416" s="33" t="n">
        <f>151900</f>
        <v>151900.0</v>
      </c>
      <c r="R416" s="34" t="s">
        <v>50</v>
      </c>
      <c r="S416" s="35" t="n">
        <f>150709.52</f>
        <v>150709.52</v>
      </c>
      <c r="T416" s="32" t="n">
        <f>75845</f>
        <v>75845.0</v>
      </c>
      <c r="U416" s="32" t="n">
        <f>14068</f>
        <v>14068.0</v>
      </c>
      <c r="V416" s="32" t="n">
        <f>11384075908</f>
        <v>1.1384075908E10</v>
      </c>
      <c r="W416" s="32" t="n">
        <f>2108578308</f>
        <v>2.108578308E9</v>
      </c>
      <c r="X416" s="36" t="n">
        <f>21</f>
        <v>21.0</v>
      </c>
    </row>
    <row r="417">
      <c r="A417" s="27" t="s">
        <v>42</v>
      </c>
      <c r="B417" s="27" t="s">
        <v>1305</v>
      </c>
      <c r="C417" s="27" t="s">
        <v>1306</v>
      </c>
      <c r="D417" s="27" t="s">
        <v>1307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101500</f>
        <v>101500.0</v>
      </c>
      <c r="L417" s="34" t="s">
        <v>48</v>
      </c>
      <c r="M417" s="33" t="n">
        <f>105500</f>
        <v>105500.0</v>
      </c>
      <c r="N417" s="34" t="s">
        <v>153</v>
      </c>
      <c r="O417" s="33" t="n">
        <f>93300</f>
        <v>93300.0</v>
      </c>
      <c r="P417" s="34" t="s">
        <v>49</v>
      </c>
      <c r="Q417" s="33" t="n">
        <f>102200</f>
        <v>102200.0</v>
      </c>
      <c r="R417" s="34" t="s">
        <v>50</v>
      </c>
      <c r="S417" s="35" t="n">
        <f>101804.76</f>
        <v>101804.76</v>
      </c>
      <c r="T417" s="32" t="n">
        <f>104419</f>
        <v>104419.0</v>
      </c>
      <c r="U417" s="32" t="n">
        <f>17499</f>
        <v>17499.0</v>
      </c>
      <c r="V417" s="32" t="n">
        <f>10607048720</f>
        <v>1.060704872E10</v>
      </c>
      <c r="W417" s="32" t="n">
        <f>1783730820</f>
        <v>1.78373082E9</v>
      </c>
      <c r="X417" s="36" t="n">
        <f>21</f>
        <v>21.0</v>
      </c>
    </row>
    <row r="418">
      <c r="A418" s="27" t="s">
        <v>42</v>
      </c>
      <c r="B418" s="27" t="s">
        <v>1308</v>
      </c>
      <c r="C418" s="27" t="s">
        <v>1309</v>
      </c>
      <c r="D418" s="27" t="s">
        <v>1310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143000</f>
        <v>143000.0</v>
      </c>
      <c r="L418" s="34" t="s">
        <v>48</v>
      </c>
      <c r="M418" s="33" t="n">
        <f>148400</f>
        <v>148400.0</v>
      </c>
      <c r="N418" s="34" t="s">
        <v>153</v>
      </c>
      <c r="O418" s="33" t="n">
        <f>131300</f>
        <v>131300.0</v>
      </c>
      <c r="P418" s="34" t="s">
        <v>49</v>
      </c>
      <c r="Q418" s="33" t="n">
        <f>143900</f>
        <v>143900.0</v>
      </c>
      <c r="R418" s="34" t="s">
        <v>50</v>
      </c>
      <c r="S418" s="35" t="n">
        <f>141914.29</f>
        <v>141914.29</v>
      </c>
      <c r="T418" s="32" t="n">
        <f>262013</f>
        <v>262013.0</v>
      </c>
      <c r="U418" s="32" t="n">
        <f>65498</f>
        <v>65498.0</v>
      </c>
      <c r="V418" s="32" t="n">
        <f>36983009062</f>
        <v>3.6983009062E10</v>
      </c>
      <c r="W418" s="32" t="n">
        <f>9272563762</f>
        <v>9.272563762E9</v>
      </c>
      <c r="X418" s="36" t="n">
        <f>21</f>
        <v>21.0</v>
      </c>
    </row>
    <row r="419">
      <c r="A419" s="27" t="s">
        <v>42</v>
      </c>
      <c r="B419" s="27" t="s">
        <v>1311</v>
      </c>
      <c r="C419" s="27" t="s">
        <v>1312</v>
      </c>
      <c r="D419" s="27" t="s">
        <v>1313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69700</f>
        <v>69700.0</v>
      </c>
      <c r="L419" s="34" t="s">
        <v>48</v>
      </c>
      <c r="M419" s="33" t="n">
        <f>69700</f>
        <v>69700.0</v>
      </c>
      <c r="N419" s="34" t="s">
        <v>48</v>
      </c>
      <c r="O419" s="33" t="n">
        <f>65600</f>
        <v>65600.0</v>
      </c>
      <c r="P419" s="34" t="s">
        <v>49</v>
      </c>
      <c r="Q419" s="33" t="n">
        <f>66300</f>
        <v>66300.0</v>
      </c>
      <c r="R419" s="34" t="s">
        <v>50</v>
      </c>
      <c r="S419" s="35" t="n">
        <f>67900</f>
        <v>67900.0</v>
      </c>
      <c r="T419" s="32" t="n">
        <f>204382</f>
        <v>204382.0</v>
      </c>
      <c r="U419" s="32" t="n">
        <f>42393</f>
        <v>42393.0</v>
      </c>
      <c r="V419" s="32" t="n">
        <f>13858922906</f>
        <v>1.3858922906E10</v>
      </c>
      <c r="W419" s="32" t="n">
        <f>2867557806</f>
        <v>2.867557806E9</v>
      </c>
      <c r="X419" s="36" t="n">
        <f>21</f>
        <v>21.0</v>
      </c>
    </row>
    <row r="420">
      <c r="A420" s="27" t="s">
        <v>42</v>
      </c>
      <c r="B420" s="27" t="s">
        <v>1314</v>
      </c>
      <c r="C420" s="27" t="s">
        <v>1315</v>
      </c>
      <c r="D420" s="27" t="s">
        <v>1316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1.0</v>
      </c>
      <c r="K420" s="33" t="n">
        <f>67100</f>
        <v>67100.0</v>
      </c>
      <c r="L420" s="34" t="s">
        <v>48</v>
      </c>
      <c r="M420" s="33" t="n">
        <f>67400</f>
        <v>67400.0</v>
      </c>
      <c r="N420" s="34" t="s">
        <v>48</v>
      </c>
      <c r="O420" s="33" t="n">
        <f>59300</f>
        <v>59300.0</v>
      </c>
      <c r="P420" s="34" t="s">
        <v>49</v>
      </c>
      <c r="Q420" s="33" t="n">
        <f>64600</f>
        <v>64600.0</v>
      </c>
      <c r="R420" s="34" t="s">
        <v>50</v>
      </c>
      <c r="S420" s="35" t="n">
        <f>63242.86</f>
        <v>63242.86</v>
      </c>
      <c r="T420" s="32" t="n">
        <f>1171669</f>
        <v>1171669.0</v>
      </c>
      <c r="U420" s="32" t="n">
        <f>255505</f>
        <v>255505.0</v>
      </c>
      <c r="V420" s="32" t="n">
        <f>74256502402</f>
        <v>7.4256502402E10</v>
      </c>
      <c r="W420" s="32" t="n">
        <f>16158777102</f>
        <v>1.6158777102E10</v>
      </c>
      <c r="X420" s="36" t="n">
        <f>21</f>
        <v>21.0</v>
      </c>
    </row>
    <row r="421">
      <c r="A421" s="27" t="s">
        <v>42</v>
      </c>
      <c r="B421" s="27" t="s">
        <v>1317</v>
      </c>
      <c r="C421" s="27" t="s">
        <v>1318</v>
      </c>
      <c r="D421" s="27" t="s">
        <v>1319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434000</f>
        <v>434000.0</v>
      </c>
      <c r="L421" s="34" t="s">
        <v>48</v>
      </c>
      <c r="M421" s="33" t="n">
        <f>441000</f>
        <v>441000.0</v>
      </c>
      <c r="N421" s="34" t="s">
        <v>153</v>
      </c>
      <c r="O421" s="33" t="n">
        <f>406500</f>
        <v>406500.0</v>
      </c>
      <c r="P421" s="34" t="s">
        <v>49</v>
      </c>
      <c r="Q421" s="33" t="n">
        <f>428500</f>
        <v>428500.0</v>
      </c>
      <c r="R421" s="34" t="s">
        <v>50</v>
      </c>
      <c r="S421" s="35" t="n">
        <f>429190.48</f>
        <v>429190.48</v>
      </c>
      <c r="T421" s="32" t="n">
        <f>37337</f>
        <v>37337.0</v>
      </c>
      <c r="U421" s="32" t="n">
        <f>7281</f>
        <v>7281.0</v>
      </c>
      <c r="V421" s="32" t="n">
        <f>15971406089</f>
        <v>1.5971406089E10</v>
      </c>
      <c r="W421" s="32" t="n">
        <f>3118505589</f>
        <v>3.118505589E9</v>
      </c>
      <c r="X421" s="36" t="n">
        <f>21</f>
        <v>21.0</v>
      </c>
    </row>
    <row r="422">
      <c r="A422" s="27" t="s">
        <v>42</v>
      </c>
      <c r="B422" s="27" t="s">
        <v>1320</v>
      </c>
      <c r="C422" s="27" t="s">
        <v>1321</v>
      </c>
      <c r="D422" s="27" t="s">
        <v>1322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1.0</v>
      </c>
      <c r="K422" s="33" t="n">
        <f>131100</f>
        <v>131100.0</v>
      </c>
      <c r="L422" s="34" t="s">
        <v>48</v>
      </c>
      <c r="M422" s="33" t="n">
        <f>135500</f>
        <v>135500.0</v>
      </c>
      <c r="N422" s="34" t="s">
        <v>104</v>
      </c>
      <c r="O422" s="33" t="n">
        <f>122100</f>
        <v>122100.0</v>
      </c>
      <c r="P422" s="34" t="s">
        <v>49</v>
      </c>
      <c r="Q422" s="33" t="n">
        <f>133000</f>
        <v>133000.0</v>
      </c>
      <c r="R422" s="34" t="s">
        <v>50</v>
      </c>
      <c r="S422" s="35" t="n">
        <f>130642.86</f>
        <v>130642.86</v>
      </c>
      <c r="T422" s="32" t="n">
        <f>91468</f>
        <v>91468.0</v>
      </c>
      <c r="U422" s="32" t="n">
        <f>17818</f>
        <v>17818.0</v>
      </c>
      <c r="V422" s="32" t="n">
        <f>11868385345</f>
        <v>1.1868385345E10</v>
      </c>
      <c r="W422" s="32" t="n">
        <f>2321279645</f>
        <v>2.321279645E9</v>
      </c>
      <c r="X422" s="36" t="n">
        <f>21</f>
        <v>21.0</v>
      </c>
    </row>
    <row r="423">
      <c r="A423" s="27" t="s">
        <v>42</v>
      </c>
      <c r="B423" s="27" t="s">
        <v>1323</v>
      </c>
      <c r="C423" s="27" t="s">
        <v>1324</v>
      </c>
      <c r="D423" s="27" t="s">
        <v>1325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255000</f>
        <v>255000.0</v>
      </c>
      <c r="L423" s="34" t="s">
        <v>48</v>
      </c>
      <c r="M423" s="33" t="n">
        <f>270600</f>
        <v>270600.0</v>
      </c>
      <c r="N423" s="34" t="s">
        <v>104</v>
      </c>
      <c r="O423" s="33" t="n">
        <f>240100</f>
        <v>240100.0</v>
      </c>
      <c r="P423" s="34" t="s">
        <v>49</v>
      </c>
      <c r="Q423" s="33" t="n">
        <f>261900</f>
        <v>261900.0</v>
      </c>
      <c r="R423" s="34" t="s">
        <v>50</v>
      </c>
      <c r="S423" s="35" t="n">
        <f>258376.19</f>
        <v>258376.19</v>
      </c>
      <c r="T423" s="32" t="n">
        <f>79070</f>
        <v>79070.0</v>
      </c>
      <c r="U423" s="32" t="n">
        <f>20695</f>
        <v>20695.0</v>
      </c>
      <c r="V423" s="32" t="n">
        <f>20279831753</f>
        <v>2.0279831753E10</v>
      </c>
      <c r="W423" s="32" t="n">
        <f>5295900453</f>
        <v>5.295900453E9</v>
      </c>
      <c r="X423" s="36" t="n">
        <f>21</f>
        <v>21.0</v>
      </c>
    </row>
    <row r="424">
      <c r="A424" s="27" t="s">
        <v>42</v>
      </c>
      <c r="B424" s="27" t="s">
        <v>1326</v>
      </c>
      <c r="C424" s="27" t="s">
        <v>1327</v>
      </c>
      <c r="D424" s="27" t="s">
        <v>1328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157000</f>
        <v>157000.0</v>
      </c>
      <c r="L424" s="34" t="s">
        <v>48</v>
      </c>
      <c r="M424" s="33" t="n">
        <f>157800</f>
        <v>157800.0</v>
      </c>
      <c r="N424" s="34" t="s">
        <v>67</v>
      </c>
      <c r="O424" s="33" t="n">
        <f>147800</f>
        <v>147800.0</v>
      </c>
      <c r="P424" s="34" t="s">
        <v>49</v>
      </c>
      <c r="Q424" s="33" t="n">
        <f>148400</f>
        <v>148400.0</v>
      </c>
      <c r="R424" s="34" t="s">
        <v>50</v>
      </c>
      <c r="S424" s="35" t="n">
        <f>154190.48</f>
        <v>154190.48</v>
      </c>
      <c r="T424" s="32" t="n">
        <f>77448</f>
        <v>77448.0</v>
      </c>
      <c r="U424" s="32" t="n">
        <f>15367</f>
        <v>15367.0</v>
      </c>
      <c r="V424" s="32" t="n">
        <f>11880935820</f>
        <v>1.188093582E10</v>
      </c>
      <c r="W424" s="32" t="n">
        <f>2366307720</f>
        <v>2.36630772E9</v>
      </c>
      <c r="X424" s="36" t="n">
        <f>21</f>
        <v>21.0</v>
      </c>
    </row>
    <row r="425">
      <c r="A425" s="27" t="s">
        <v>42</v>
      </c>
      <c r="B425" s="27" t="s">
        <v>1329</v>
      </c>
      <c r="C425" s="27" t="s">
        <v>1330</v>
      </c>
      <c r="D425" s="27" t="s">
        <v>1331</v>
      </c>
      <c r="E425" s="28" t="s">
        <v>46</v>
      </c>
      <c r="F425" s="29" t="s">
        <v>46</v>
      </c>
      <c r="G425" s="30" t="s">
        <v>46</v>
      </c>
      <c r="H425" s="31"/>
      <c r="I425" s="31" t="s">
        <v>47</v>
      </c>
      <c r="J425" s="32" t="n">
        <v>1.0</v>
      </c>
      <c r="K425" s="33" t="n">
        <f>154400</f>
        <v>154400.0</v>
      </c>
      <c r="L425" s="34" t="s">
        <v>48</v>
      </c>
      <c r="M425" s="33" t="n">
        <f>163800</f>
        <v>163800.0</v>
      </c>
      <c r="N425" s="34" t="s">
        <v>153</v>
      </c>
      <c r="O425" s="33" t="n">
        <f>145000</f>
        <v>145000.0</v>
      </c>
      <c r="P425" s="34" t="s">
        <v>49</v>
      </c>
      <c r="Q425" s="33" t="n">
        <f>161600</f>
        <v>161600.0</v>
      </c>
      <c r="R425" s="34" t="s">
        <v>50</v>
      </c>
      <c r="S425" s="35" t="n">
        <f>155738.1</f>
        <v>155738.1</v>
      </c>
      <c r="T425" s="32" t="n">
        <f>447007</f>
        <v>447007.0</v>
      </c>
      <c r="U425" s="32" t="n">
        <f>127629</f>
        <v>127629.0</v>
      </c>
      <c r="V425" s="32" t="n">
        <f>69434254764</f>
        <v>6.9434254764E10</v>
      </c>
      <c r="W425" s="32" t="n">
        <f>19814414664</f>
        <v>1.9814414664E10</v>
      </c>
      <c r="X425" s="36" t="n">
        <f>21</f>
        <v>21.0</v>
      </c>
    </row>
    <row r="426">
      <c r="A426" s="27" t="s">
        <v>42</v>
      </c>
      <c r="B426" s="27" t="s">
        <v>1332</v>
      </c>
      <c r="C426" s="27" t="s">
        <v>1333</v>
      </c>
      <c r="D426" s="27" t="s">
        <v>1334</v>
      </c>
      <c r="E426" s="28" t="s">
        <v>46</v>
      </c>
      <c r="F426" s="29" t="s">
        <v>46</v>
      </c>
      <c r="G426" s="30" t="s">
        <v>46</v>
      </c>
      <c r="H426" s="31"/>
      <c r="I426" s="31" t="s">
        <v>47</v>
      </c>
      <c r="J426" s="32" t="n">
        <v>1.0</v>
      </c>
      <c r="K426" s="33" t="n">
        <f>83500</f>
        <v>83500.0</v>
      </c>
      <c r="L426" s="34" t="s">
        <v>48</v>
      </c>
      <c r="M426" s="33" t="n">
        <f>86000</f>
        <v>86000.0</v>
      </c>
      <c r="N426" s="34" t="s">
        <v>104</v>
      </c>
      <c r="O426" s="33" t="n">
        <f>76000</f>
        <v>76000.0</v>
      </c>
      <c r="P426" s="34" t="s">
        <v>49</v>
      </c>
      <c r="Q426" s="33" t="n">
        <f>85200</f>
        <v>85200.0</v>
      </c>
      <c r="R426" s="34" t="s">
        <v>50</v>
      </c>
      <c r="S426" s="35" t="n">
        <f>82690.48</f>
        <v>82690.48</v>
      </c>
      <c r="T426" s="32" t="n">
        <f>115504</f>
        <v>115504.0</v>
      </c>
      <c r="U426" s="32" t="n">
        <f>24408</f>
        <v>24408.0</v>
      </c>
      <c r="V426" s="32" t="n">
        <f>9524947717</f>
        <v>9.524947717E9</v>
      </c>
      <c r="W426" s="32" t="n">
        <f>2029934617</f>
        <v>2.029934617E9</v>
      </c>
      <c r="X426" s="36" t="n">
        <f>21</f>
        <v>21.0</v>
      </c>
    </row>
    <row r="427">
      <c r="A427" s="27" t="s">
        <v>42</v>
      </c>
      <c r="B427" s="27" t="s">
        <v>1335</v>
      </c>
      <c r="C427" s="27" t="s">
        <v>1336</v>
      </c>
      <c r="D427" s="27" t="s">
        <v>1337</v>
      </c>
      <c r="E427" s="28" t="s">
        <v>46</v>
      </c>
      <c r="F427" s="29" t="s">
        <v>46</v>
      </c>
      <c r="G427" s="30" t="s">
        <v>46</v>
      </c>
      <c r="H427" s="31"/>
      <c r="I427" s="31" t="s">
        <v>47</v>
      </c>
      <c r="J427" s="32" t="n">
        <v>1.0</v>
      </c>
      <c r="K427" s="33" t="n">
        <f>294400</f>
        <v>294400.0</v>
      </c>
      <c r="L427" s="34" t="s">
        <v>48</v>
      </c>
      <c r="M427" s="33" t="n">
        <f>320000</f>
        <v>320000.0</v>
      </c>
      <c r="N427" s="34" t="s">
        <v>153</v>
      </c>
      <c r="O427" s="33" t="n">
        <f>278600</f>
        <v>278600.0</v>
      </c>
      <c r="P427" s="34" t="s">
        <v>49</v>
      </c>
      <c r="Q427" s="33" t="n">
        <f>307000</f>
        <v>307000.0</v>
      </c>
      <c r="R427" s="34" t="s">
        <v>50</v>
      </c>
      <c r="S427" s="35" t="n">
        <f>302223.81</f>
        <v>302223.81</v>
      </c>
      <c r="T427" s="32" t="n">
        <f>68281</f>
        <v>68281.0</v>
      </c>
      <c r="U427" s="32" t="n">
        <f>14683</f>
        <v>14683.0</v>
      </c>
      <c r="V427" s="32" t="n">
        <f>20505223267</f>
        <v>2.0505223267E10</v>
      </c>
      <c r="W427" s="32" t="n">
        <f>4427889467</f>
        <v>4.427889467E9</v>
      </c>
      <c r="X427" s="36" t="n">
        <f>21</f>
        <v>21.0</v>
      </c>
    </row>
    <row r="428">
      <c r="A428" s="27" t="s">
        <v>42</v>
      </c>
      <c r="B428" s="27" t="s">
        <v>1338</v>
      </c>
      <c r="C428" s="27" t="s">
        <v>1339</v>
      </c>
      <c r="D428" s="27" t="s">
        <v>1340</v>
      </c>
      <c r="E428" s="28" t="s">
        <v>46</v>
      </c>
      <c r="F428" s="29" t="s">
        <v>46</v>
      </c>
      <c r="G428" s="30" t="s">
        <v>46</v>
      </c>
      <c r="H428" s="31"/>
      <c r="I428" s="31" t="s">
        <v>47</v>
      </c>
      <c r="J428" s="32" t="n">
        <v>1.0</v>
      </c>
      <c r="K428" s="33" t="n">
        <f>132800</f>
        <v>132800.0</v>
      </c>
      <c r="L428" s="34" t="s">
        <v>48</v>
      </c>
      <c r="M428" s="33" t="n">
        <f>132800</f>
        <v>132800.0</v>
      </c>
      <c r="N428" s="34" t="s">
        <v>48</v>
      </c>
      <c r="O428" s="33" t="n">
        <f>123900</f>
        <v>123900.0</v>
      </c>
      <c r="P428" s="34" t="s">
        <v>49</v>
      </c>
      <c r="Q428" s="33" t="n">
        <f>130000</f>
        <v>130000.0</v>
      </c>
      <c r="R428" s="34" t="s">
        <v>50</v>
      </c>
      <c r="S428" s="35" t="n">
        <f>129757.14</f>
        <v>129757.14</v>
      </c>
      <c r="T428" s="32" t="n">
        <f>50242</f>
        <v>50242.0</v>
      </c>
      <c r="U428" s="32" t="n">
        <f>8978</f>
        <v>8978.0</v>
      </c>
      <c r="V428" s="32" t="n">
        <f>6505406880</f>
        <v>6.50540688E9</v>
      </c>
      <c r="W428" s="32" t="n">
        <f>1164114480</f>
        <v>1.16411448E9</v>
      </c>
      <c r="X428" s="36" t="n">
        <f>21</f>
        <v>21.0</v>
      </c>
    </row>
    <row r="429">
      <c r="A429" s="27" t="s">
        <v>42</v>
      </c>
      <c r="B429" s="27" t="s">
        <v>1341</v>
      </c>
      <c r="C429" s="27" t="s">
        <v>1342</v>
      </c>
      <c r="D429" s="27" t="s">
        <v>1343</v>
      </c>
      <c r="E429" s="28" t="s">
        <v>46</v>
      </c>
      <c r="F429" s="29" t="s">
        <v>46</v>
      </c>
      <c r="G429" s="30" t="s">
        <v>46</v>
      </c>
      <c r="H429" s="31"/>
      <c r="I429" s="31" t="s">
        <v>425</v>
      </c>
      <c r="J429" s="32" t="n">
        <v>1.0</v>
      </c>
      <c r="K429" s="33" t="n">
        <f>193400</f>
        <v>193400.0</v>
      </c>
      <c r="L429" s="34" t="s">
        <v>48</v>
      </c>
      <c r="M429" s="33" t="n">
        <f>204800</f>
        <v>204800.0</v>
      </c>
      <c r="N429" s="34" t="s">
        <v>104</v>
      </c>
      <c r="O429" s="33" t="n">
        <f>182500</f>
        <v>182500.0</v>
      </c>
      <c r="P429" s="34" t="s">
        <v>49</v>
      </c>
      <c r="Q429" s="33" t="n">
        <f>197000</f>
        <v>197000.0</v>
      </c>
      <c r="R429" s="34" t="s">
        <v>50</v>
      </c>
      <c r="S429" s="35" t="n">
        <f>194890.48</f>
        <v>194890.48</v>
      </c>
      <c r="T429" s="32" t="n">
        <f>32697</f>
        <v>32697.0</v>
      </c>
      <c r="U429" s="32" t="n">
        <f>7545</f>
        <v>7545.0</v>
      </c>
      <c r="V429" s="32" t="n">
        <f>6400841274</f>
        <v>6.400841274E9</v>
      </c>
      <c r="W429" s="32" t="n">
        <f>1479473774</f>
        <v>1.479473774E9</v>
      </c>
      <c r="X429" s="36" t="n">
        <f>21</f>
        <v>21.0</v>
      </c>
    </row>
    <row r="430">
      <c r="A430" s="27" t="s">
        <v>42</v>
      </c>
      <c r="B430" s="27" t="s">
        <v>1344</v>
      </c>
      <c r="C430" s="27" t="s">
        <v>1345</v>
      </c>
      <c r="D430" s="27" t="s">
        <v>1346</v>
      </c>
      <c r="E430" s="28" t="s">
        <v>46</v>
      </c>
      <c r="F430" s="29" t="s">
        <v>46</v>
      </c>
      <c r="G430" s="30" t="s">
        <v>46</v>
      </c>
      <c r="H430" s="31"/>
      <c r="I430" s="31" t="s">
        <v>47</v>
      </c>
      <c r="J430" s="32" t="n">
        <v>1.0</v>
      </c>
      <c r="K430" s="33" t="n">
        <f>241500</f>
        <v>241500.0</v>
      </c>
      <c r="L430" s="34" t="s">
        <v>48</v>
      </c>
      <c r="M430" s="33" t="n">
        <f>244000</f>
        <v>244000.0</v>
      </c>
      <c r="N430" s="34" t="s">
        <v>153</v>
      </c>
      <c r="O430" s="33" t="n">
        <f>229300</f>
        <v>229300.0</v>
      </c>
      <c r="P430" s="34" t="s">
        <v>49</v>
      </c>
      <c r="Q430" s="33" t="n">
        <f>235900</f>
        <v>235900.0</v>
      </c>
      <c r="R430" s="34" t="s">
        <v>50</v>
      </c>
      <c r="S430" s="35" t="n">
        <f>239176.19</f>
        <v>239176.19</v>
      </c>
      <c r="T430" s="32" t="n">
        <f>199379</f>
        <v>199379.0</v>
      </c>
      <c r="U430" s="32" t="n">
        <f>34348</f>
        <v>34348.0</v>
      </c>
      <c r="V430" s="32" t="n">
        <f>47616983425</f>
        <v>4.7616983425E10</v>
      </c>
      <c r="W430" s="32" t="n">
        <f>8210956725</f>
        <v>8.210956725E9</v>
      </c>
      <c r="X430" s="36" t="n">
        <f>21</f>
        <v>21.0</v>
      </c>
    </row>
    <row r="431">
      <c r="A431" s="27" t="s">
        <v>42</v>
      </c>
      <c r="B431" s="27" t="s">
        <v>1347</v>
      </c>
      <c r="C431" s="27" t="s">
        <v>1348</v>
      </c>
      <c r="D431" s="27" t="s">
        <v>1349</v>
      </c>
      <c r="E431" s="28" t="s">
        <v>46</v>
      </c>
      <c r="F431" s="29" t="s">
        <v>46</v>
      </c>
      <c r="G431" s="30" t="s">
        <v>46</v>
      </c>
      <c r="H431" s="31"/>
      <c r="I431" s="31" t="s">
        <v>47</v>
      </c>
      <c r="J431" s="32" t="n">
        <v>1.0</v>
      </c>
      <c r="K431" s="33" t="n">
        <f>76800</f>
        <v>76800.0</v>
      </c>
      <c r="L431" s="34" t="s">
        <v>48</v>
      </c>
      <c r="M431" s="33" t="n">
        <f>76900</f>
        <v>76900.0</v>
      </c>
      <c r="N431" s="34" t="s">
        <v>48</v>
      </c>
      <c r="O431" s="33" t="n">
        <f>68800</f>
        <v>68800.0</v>
      </c>
      <c r="P431" s="34" t="s">
        <v>49</v>
      </c>
      <c r="Q431" s="33" t="n">
        <f>74800</f>
        <v>74800.0</v>
      </c>
      <c r="R431" s="34" t="s">
        <v>50</v>
      </c>
      <c r="S431" s="35" t="n">
        <f>72814.29</f>
        <v>72814.29</v>
      </c>
      <c r="T431" s="32" t="n">
        <f>655772</f>
        <v>655772.0</v>
      </c>
      <c r="U431" s="32" t="n">
        <f>164691</f>
        <v>164691.0</v>
      </c>
      <c r="V431" s="32" t="n">
        <f>47814874136</f>
        <v>4.7814874136E10</v>
      </c>
      <c r="W431" s="32" t="n">
        <f>12019831036</f>
        <v>1.2019831036E10</v>
      </c>
      <c r="X431" s="36" t="n">
        <f>21</f>
        <v>21.0</v>
      </c>
    </row>
    <row r="432">
      <c r="A432" s="27" t="s">
        <v>42</v>
      </c>
      <c r="B432" s="27" t="s">
        <v>1350</v>
      </c>
      <c r="C432" s="27" t="s">
        <v>1351</v>
      </c>
      <c r="D432" s="27" t="s">
        <v>1352</v>
      </c>
      <c r="E432" s="28" t="s">
        <v>46</v>
      </c>
      <c r="F432" s="29" t="s">
        <v>46</v>
      </c>
      <c r="G432" s="30" t="s">
        <v>46</v>
      </c>
      <c r="H432" s="31"/>
      <c r="I432" s="31" t="s">
        <v>47</v>
      </c>
      <c r="J432" s="32" t="n">
        <v>1.0</v>
      </c>
      <c r="K432" s="33" t="n">
        <f>101500</f>
        <v>101500.0</v>
      </c>
      <c r="L432" s="34" t="s">
        <v>48</v>
      </c>
      <c r="M432" s="33" t="n">
        <f>105400</f>
        <v>105400.0</v>
      </c>
      <c r="N432" s="34" t="s">
        <v>104</v>
      </c>
      <c r="O432" s="33" t="n">
        <f>95400</f>
        <v>95400.0</v>
      </c>
      <c r="P432" s="34" t="s">
        <v>49</v>
      </c>
      <c r="Q432" s="33" t="n">
        <f>104000</f>
        <v>104000.0</v>
      </c>
      <c r="R432" s="34" t="s">
        <v>50</v>
      </c>
      <c r="S432" s="35" t="n">
        <f>102066.67</f>
        <v>102066.67</v>
      </c>
      <c r="T432" s="32" t="n">
        <f>145695</f>
        <v>145695.0</v>
      </c>
      <c r="U432" s="32" t="n">
        <f>30622</f>
        <v>30622.0</v>
      </c>
      <c r="V432" s="32" t="n">
        <f>14795717249</f>
        <v>1.4795717249E10</v>
      </c>
      <c r="W432" s="32" t="n">
        <f>3123453649</f>
        <v>3.123453649E9</v>
      </c>
      <c r="X432" s="36" t="n">
        <f>21</f>
        <v>21.0</v>
      </c>
    </row>
    <row r="433">
      <c r="A433" s="27" t="s">
        <v>42</v>
      </c>
      <c r="B433" s="27" t="s">
        <v>1353</v>
      </c>
      <c r="C433" s="27" t="s">
        <v>1354</v>
      </c>
      <c r="D433" s="27" t="s">
        <v>1355</v>
      </c>
      <c r="E433" s="28" t="s">
        <v>46</v>
      </c>
      <c r="F433" s="29" t="s">
        <v>46</v>
      </c>
      <c r="G433" s="30" t="s">
        <v>46</v>
      </c>
      <c r="H433" s="31"/>
      <c r="I433" s="31" t="s">
        <v>47</v>
      </c>
      <c r="J433" s="32" t="n">
        <v>1.0</v>
      </c>
      <c r="K433" s="33" t="n">
        <f>119600</f>
        <v>119600.0</v>
      </c>
      <c r="L433" s="34" t="s">
        <v>48</v>
      </c>
      <c r="M433" s="33" t="n">
        <f>131100</f>
        <v>131100.0</v>
      </c>
      <c r="N433" s="34" t="s">
        <v>104</v>
      </c>
      <c r="O433" s="33" t="n">
        <f>113100</f>
        <v>113100.0</v>
      </c>
      <c r="P433" s="34" t="s">
        <v>49</v>
      </c>
      <c r="Q433" s="33" t="n">
        <f>126600</f>
        <v>126600.0</v>
      </c>
      <c r="R433" s="34" t="s">
        <v>50</v>
      </c>
      <c r="S433" s="35" t="n">
        <f>121900</f>
        <v>121900.0</v>
      </c>
      <c r="T433" s="32" t="n">
        <f>109675</f>
        <v>109675.0</v>
      </c>
      <c r="U433" s="32" t="n">
        <f>24275</f>
        <v>24275.0</v>
      </c>
      <c r="V433" s="32" t="n">
        <f>13441155945</f>
        <v>1.3441155945E10</v>
      </c>
      <c r="W433" s="32" t="n">
        <f>2994029345</f>
        <v>2.994029345E9</v>
      </c>
      <c r="X433" s="36" t="n">
        <f>21</f>
        <v>21.0</v>
      </c>
    </row>
    <row r="434">
      <c r="A434" s="27" t="s">
        <v>42</v>
      </c>
      <c r="B434" s="27" t="s">
        <v>1356</v>
      </c>
      <c r="C434" s="27" t="s">
        <v>1357</v>
      </c>
      <c r="D434" s="27" t="s">
        <v>1358</v>
      </c>
      <c r="E434" s="28" t="s">
        <v>46</v>
      </c>
      <c r="F434" s="29" t="s">
        <v>46</v>
      </c>
      <c r="G434" s="30" t="s">
        <v>46</v>
      </c>
      <c r="H434" s="31"/>
      <c r="I434" s="31" t="s">
        <v>425</v>
      </c>
      <c r="J434" s="32" t="n">
        <v>1.0</v>
      </c>
      <c r="K434" s="33" t="n">
        <f>57400</f>
        <v>57400.0</v>
      </c>
      <c r="L434" s="34" t="s">
        <v>48</v>
      </c>
      <c r="M434" s="33" t="n">
        <f>58500</f>
        <v>58500.0</v>
      </c>
      <c r="N434" s="34" t="s">
        <v>67</v>
      </c>
      <c r="O434" s="33" t="n">
        <f>49900</f>
        <v>49900.0</v>
      </c>
      <c r="P434" s="34" t="s">
        <v>49</v>
      </c>
      <c r="Q434" s="33" t="n">
        <f>55500</f>
        <v>55500.0</v>
      </c>
      <c r="R434" s="34" t="s">
        <v>50</v>
      </c>
      <c r="S434" s="35" t="n">
        <f>56104.76</f>
        <v>56104.76</v>
      </c>
      <c r="T434" s="32" t="n">
        <f>4527</f>
        <v>4527.0</v>
      </c>
      <c r="U434" s="32" t="str">
        <f>"－"</f>
        <v>－</v>
      </c>
      <c r="V434" s="32" t="n">
        <f>250182950</f>
        <v>2.5018295E8</v>
      </c>
      <c r="W434" s="32" t="str">
        <f>"－"</f>
        <v>－</v>
      </c>
      <c r="X434" s="36" t="n">
        <f>21</f>
        <v>21.0</v>
      </c>
    </row>
    <row r="435">
      <c r="A435" s="27" t="s">
        <v>42</v>
      </c>
      <c r="B435" s="27" t="s">
        <v>1359</v>
      </c>
      <c r="C435" s="27" t="s">
        <v>1360</v>
      </c>
      <c r="D435" s="27" t="s">
        <v>1361</v>
      </c>
      <c r="E435" s="28" t="s">
        <v>46</v>
      </c>
      <c r="F435" s="29" t="s">
        <v>46</v>
      </c>
      <c r="G435" s="30" t="s">
        <v>46</v>
      </c>
      <c r="H435" s="31"/>
      <c r="I435" s="31" t="s">
        <v>425</v>
      </c>
      <c r="J435" s="32" t="n">
        <v>1.0</v>
      </c>
      <c r="K435" s="33" t="n">
        <f>94000</f>
        <v>94000.0</v>
      </c>
      <c r="L435" s="34" t="s">
        <v>48</v>
      </c>
      <c r="M435" s="33" t="n">
        <f>94200</f>
        <v>94200.0</v>
      </c>
      <c r="N435" s="34" t="s">
        <v>48</v>
      </c>
      <c r="O435" s="33" t="n">
        <f>82100</f>
        <v>82100.0</v>
      </c>
      <c r="P435" s="34" t="s">
        <v>49</v>
      </c>
      <c r="Q435" s="33" t="n">
        <f>91100</f>
        <v>91100.0</v>
      </c>
      <c r="R435" s="34" t="s">
        <v>50</v>
      </c>
      <c r="S435" s="35" t="n">
        <f>90419.05</f>
        <v>90419.05</v>
      </c>
      <c r="T435" s="32" t="n">
        <f>60361</f>
        <v>60361.0</v>
      </c>
      <c r="U435" s="32" t="n">
        <f>7589</f>
        <v>7589.0</v>
      </c>
      <c r="V435" s="32" t="n">
        <f>5399515318</f>
        <v>5.399515318E9</v>
      </c>
      <c r="W435" s="32" t="n">
        <f>686314318</f>
        <v>6.86314318E8</v>
      </c>
      <c r="X435" s="36" t="n">
        <f>21</f>
        <v>21.0</v>
      </c>
    </row>
    <row r="436">
      <c r="A436" s="27" t="s">
        <v>42</v>
      </c>
      <c r="B436" s="27" t="s">
        <v>1362</v>
      </c>
      <c r="C436" s="27" t="s">
        <v>1363</v>
      </c>
      <c r="D436" s="27" t="s">
        <v>1364</v>
      </c>
      <c r="E436" s="28" t="s">
        <v>46</v>
      </c>
      <c r="F436" s="29" t="s">
        <v>46</v>
      </c>
      <c r="G436" s="30" t="s">
        <v>46</v>
      </c>
      <c r="H436" s="31"/>
      <c r="I436" s="31" t="s">
        <v>425</v>
      </c>
      <c r="J436" s="32" t="n">
        <v>1.0</v>
      </c>
      <c r="K436" s="33" t="n">
        <f>71300</f>
        <v>71300.0</v>
      </c>
      <c r="L436" s="34" t="s">
        <v>48</v>
      </c>
      <c r="M436" s="33" t="n">
        <f>71500</f>
        <v>71500.0</v>
      </c>
      <c r="N436" s="34" t="s">
        <v>48</v>
      </c>
      <c r="O436" s="33" t="n">
        <f>64100</f>
        <v>64100.0</v>
      </c>
      <c r="P436" s="34" t="s">
        <v>214</v>
      </c>
      <c r="Q436" s="33" t="n">
        <f>70000</f>
        <v>70000.0</v>
      </c>
      <c r="R436" s="34" t="s">
        <v>50</v>
      </c>
      <c r="S436" s="35" t="n">
        <f>68328.57</f>
        <v>68328.57</v>
      </c>
      <c r="T436" s="32" t="n">
        <f>12194</f>
        <v>12194.0</v>
      </c>
      <c r="U436" s="32" t="n">
        <f>3</f>
        <v>3.0</v>
      </c>
      <c r="V436" s="32" t="n">
        <f>829880300</f>
        <v>8.298803E8</v>
      </c>
      <c r="W436" s="32" t="n">
        <f>208100</f>
        <v>208100.0</v>
      </c>
      <c r="X436" s="36" t="n">
        <f>21</f>
        <v>21.0</v>
      </c>
    </row>
    <row r="437">
      <c r="A437" s="27" t="s">
        <v>42</v>
      </c>
      <c r="B437" s="27" t="s">
        <v>1365</v>
      </c>
      <c r="C437" s="27" t="s">
        <v>1366</v>
      </c>
      <c r="D437" s="27" t="s">
        <v>1367</v>
      </c>
      <c r="E437" s="28" t="s">
        <v>46</v>
      </c>
      <c r="F437" s="29" t="s">
        <v>46</v>
      </c>
      <c r="G437" s="30" t="s">
        <v>46</v>
      </c>
      <c r="H437" s="31"/>
      <c r="I437" s="31" t="s">
        <v>47</v>
      </c>
      <c r="J437" s="32" t="n">
        <v>1.0</v>
      </c>
      <c r="K437" s="33" t="n">
        <f>71600</f>
        <v>71600.0</v>
      </c>
      <c r="L437" s="34" t="s">
        <v>48</v>
      </c>
      <c r="M437" s="33" t="n">
        <f>72100</f>
        <v>72100.0</v>
      </c>
      <c r="N437" s="34" t="s">
        <v>48</v>
      </c>
      <c r="O437" s="33" t="n">
        <f>64500</f>
        <v>64500.0</v>
      </c>
      <c r="P437" s="34" t="s">
        <v>60</v>
      </c>
      <c r="Q437" s="33" t="n">
        <f>70400</f>
        <v>70400.0</v>
      </c>
      <c r="R437" s="34" t="s">
        <v>50</v>
      </c>
      <c r="S437" s="35" t="n">
        <f>68480.95</f>
        <v>68480.95</v>
      </c>
      <c r="T437" s="32" t="n">
        <f>58018</f>
        <v>58018.0</v>
      </c>
      <c r="U437" s="32" t="n">
        <f>828</f>
        <v>828.0</v>
      </c>
      <c r="V437" s="32" t="n">
        <f>3935236679</f>
        <v>3.935236679E9</v>
      </c>
      <c r="W437" s="32" t="n">
        <f>56663479</f>
        <v>5.6663479E7</v>
      </c>
      <c r="X437" s="36" t="n">
        <f>21</f>
        <v>21.0</v>
      </c>
    </row>
    <row r="438">
      <c r="A438" s="27" t="s">
        <v>42</v>
      </c>
      <c r="B438" s="27" t="s">
        <v>1368</v>
      </c>
      <c r="C438" s="27" t="s">
        <v>1369</v>
      </c>
      <c r="D438" s="27" t="s">
        <v>1370</v>
      </c>
      <c r="E438" s="28" t="s">
        <v>46</v>
      </c>
      <c r="F438" s="29" t="s">
        <v>46</v>
      </c>
      <c r="G438" s="30" t="s">
        <v>46</v>
      </c>
      <c r="H438" s="31"/>
      <c r="I438" s="31" t="s">
        <v>425</v>
      </c>
      <c r="J438" s="32" t="n">
        <v>1.0</v>
      </c>
      <c r="K438" s="33" t="n">
        <f>72100</f>
        <v>72100.0</v>
      </c>
      <c r="L438" s="34" t="s">
        <v>48</v>
      </c>
      <c r="M438" s="33" t="n">
        <f>72500</f>
        <v>72500.0</v>
      </c>
      <c r="N438" s="34" t="s">
        <v>48</v>
      </c>
      <c r="O438" s="33" t="n">
        <f>63500</f>
        <v>63500.0</v>
      </c>
      <c r="P438" s="34" t="s">
        <v>49</v>
      </c>
      <c r="Q438" s="33" t="n">
        <f>70200</f>
        <v>70200.0</v>
      </c>
      <c r="R438" s="34" t="s">
        <v>50</v>
      </c>
      <c r="S438" s="35" t="n">
        <f>68304.76</f>
        <v>68304.76</v>
      </c>
      <c r="T438" s="32" t="n">
        <f>34205</f>
        <v>34205.0</v>
      </c>
      <c r="U438" s="32" t="n">
        <f>1405</f>
        <v>1405.0</v>
      </c>
      <c r="V438" s="32" t="n">
        <f>2321316144</f>
        <v>2.321316144E9</v>
      </c>
      <c r="W438" s="32" t="n">
        <f>94142144</f>
        <v>9.4142144E7</v>
      </c>
      <c r="X438" s="36" t="n">
        <f>21</f>
        <v>21.0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