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<sst xmlns="http://schemas.openxmlformats.org/spreadsheetml/2006/main" count="5240" uniqueCount="1367">
  <si>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</si>
  <si>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</si>
  <si>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</si>
  <si>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</si>
  <si>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</si>
  <si>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</si>
  <si>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</si>
  <si>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</si>
  <si>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</si>
  <si>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</si>
  <si>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</si>
  <si>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</si>
  <si>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</si>
  <si>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</si>
  <si>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</si>
  <si>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</si>
  <si>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</si>
  <si>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</si>
  <si>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</si>
  <si>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</si>
  <si>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</si>
  <si>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</si>
  <si>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</si>
  <si>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</si>
  <si>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</si>
  <si>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</si>
  <si>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</si>
  <si>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</si>
  <si>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</si>
  <si>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</si>
  <si>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</si>
  <si>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</si>
  <si>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</si>
  <si>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</si>
  <si>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</si>
  <si>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</si>
  <si>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</si>
  <si>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</si>
  <si>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</si>
  <si>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</si>
  <si>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</si>
  <si>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</si>
  <si>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2024/09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</si>
  <si>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</si>
  <si>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</si>
  <si>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</si>
  <si>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</si>
  <si>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</si>
  <si>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2</t>
  </si>
  <si>
    <t>27</t>
  </si>
  <si>
    <t>11</t>
  </si>
  <si>
    <t>30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</si>
  <si>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</si>
  <si>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</si>
  <si>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</si>
  <si>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</si>
  <si>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</si>
  <si>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</si>
  <si>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</si>
  <si>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</si>
  <si>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</si>
  <si>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17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</si>
  <si>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</si>
  <si>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</si>
  <si>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</si>
  <si>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</si>
  <si>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</si>
  <si>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</si>
  <si>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13</t>
  </si>
  <si>
    <t>1320</t>
  </si>
  <si>
    <t>ｉＦｒｅｅＥＴＦ　日経２２５（年１回決算型）　受益証券</t>
  </si>
  <si>
    <t>iFreeETF Nikkei225 (Yearly Dividend Type)</t>
  </si>
  <si>
    <t>9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</si>
  <si>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</si>
  <si>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</si>
  <si>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</si>
  <si>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</si>
  <si>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</si>
  <si>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</si>
  <si>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1324</t>
  </si>
  <si>
    <t>ＮＥＸＴ　ＦＵＮＤＳ　ロシア株式指数連動型上場投信　受益証券</t>
  </si>
  <si>
    <t>NEXT FUNDS Russian Equity Index Exchange Traded Fund</t>
  </si>
  <si>
    <t>確</t>
  </si>
  <si>
    <t>1325</t>
  </si>
  <si>
    <t>ＮＥＸＴ　ＦＵＮＤＳ　ブラジル株式指数・ボベスパ連動型上場投信　受益証券</t>
  </si>
  <si>
    <t>NEXT FUNDS Ibovespa Linked Exchange Traded Fund</t>
  </si>
  <si>
    <t>19</t>
  </si>
  <si>
    <t>1326</t>
  </si>
  <si>
    <t>ＳＰＤＲゴールド・シェア　受益証券</t>
  </si>
  <si>
    <t>SPDR Gold Shares</t>
  </si>
  <si>
    <t>1328</t>
  </si>
  <si>
    <t>ＮＥＸＴ　ＦＵＮＤＳ　金価格連動型上場投信　受益証券</t>
  </si>
  <si>
    <t>NEXT FUNDS Gold Price Exchange Traded Fund</t>
  </si>
  <si>
    <t>5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</si>
  <si>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</si>
  <si>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</si>
  <si>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</si>
  <si>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</si>
  <si>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</si>
  <si>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</si>
  <si>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</si>
  <si>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</si>
  <si>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</si>
  <si>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3</t>
  </si>
  <si>
    <t>1343</t>
  </si>
  <si>
    <t>ＮＥＸＴ　ＦＵＮＤＳ　東証ＲＥＩＴ　指数連動型上場投信　受益証券</t>
  </si>
  <si>
    <t>NEXT FUNDS REIT INDEX ETF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</si>
  <si>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</si>
  <si>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</si>
  <si>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</si>
  <si>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</si>
  <si>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</si>
  <si>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</si>
  <si>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</si>
  <si>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</si>
  <si>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</si>
  <si>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</si>
  <si>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</si>
  <si>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</si>
  <si>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4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</si>
  <si>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</si>
  <si>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</si>
  <si>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</si>
  <si>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</si>
  <si>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</si>
  <si>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</si>
  <si>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</si>
  <si>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</si>
  <si>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</si>
  <si>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</si>
  <si>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</si>
  <si>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</si>
  <si>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</si>
  <si>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</si>
  <si>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</si>
  <si>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</si>
  <si>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</si>
  <si>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</si>
  <si>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</si>
  <si>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</si>
  <si>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</si>
  <si>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</si>
  <si>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</si>
  <si>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</si>
  <si>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</si>
  <si>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</si>
  <si>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</si>
  <si>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</si>
  <si>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</si>
  <si>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</si>
  <si>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</si>
  <si>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</si>
  <si>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</si>
  <si>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</si>
  <si>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</si>
  <si>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</si>
  <si>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</si>
  <si>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</si>
  <si>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</si>
  <si>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140A</t>
  </si>
  <si>
    <t>ｉＦｒｅｅＥＴＦ　米国１０年国債先物インバース　受益証券</t>
  </si>
  <si>
    <t>iFreeETF 10-Year U.S. Treasury Note Futures Inverse</t>
  </si>
  <si>
    <t>18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</si>
  <si>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</si>
  <si>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</si>
  <si>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</si>
  <si>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</si>
  <si>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</si>
  <si>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</si>
  <si>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</si>
  <si>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</si>
  <si>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</si>
  <si>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</si>
  <si>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</si>
  <si>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</si>
  <si>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</si>
  <si>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</si>
  <si>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</si>
  <si>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</si>
  <si>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</si>
  <si>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</si>
  <si>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</si>
  <si>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</si>
  <si>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</si>
  <si>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</si>
  <si>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</si>
  <si>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</si>
  <si>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</si>
  <si>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</si>
  <si>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</si>
  <si>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</si>
  <si>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</si>
  <si>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</si>
  <si>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</si>
  <si>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</si>
  <si>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</si>
  <si>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</si>
  <si>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</si>
  <si>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</si>
  <si>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</si>
  <si>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</si>
  <si>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</si>
  <si>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</si>
  <si>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</si>
  <si>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</si>
  <si>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</si>
  <si>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</si>
  <si>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</si>
  <si>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</si>
  <si>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</si>
  <si>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</si>
  <si>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</si>
  <si>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</si>
  <si>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</si>
  <si>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</si>
  <si>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</si>
  <si>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</si>
  <si>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</si>
  <si>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</si>
  <si>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</si>
  <si>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</si>
  <si>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</si>
  <si>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</si>
  <si>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</si>
  <si>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</si>
  <si>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</si>
  <si>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24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</si>
  <si>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</si>
  <si>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</si>
  <si>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</si>
  <si>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6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</si>
  <si>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</si>
  <si>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</si>
  <si>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</si>
  <si>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</si>
  <si>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</si>
  <si>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</si>
  <si>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</si>
  <si>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</si>
  <si>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</si>
  <si>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</si>
  <si>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</si>
  <si>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</si>
  <si>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</si>
  <si>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</si>
  <si>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</si>
  <si>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</si>
  <si>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</si>
  <si>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</si>
  <si>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</si>
  <si>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</si>
  <si>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</si>
  <si>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</si>
  <si>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</si>
  <si>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</si>
  <si>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</si>
  <si>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</si>
  <si>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</si>
  <si>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</si>
  <si>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</si>
  <si>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</si>
  <si>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</si>
  <si>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</si>
  <si>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</si>
  <si>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</si>
  <si>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</si>
  <si>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</si>
  <si>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10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</si>
  <si>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</si>
  <si>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</si>
  <si>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</si>
  <si>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</si>
  <si>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</si>
  <si>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</si>
  <si>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</si>
  <si>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</si>
  <si>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</si>
  <si>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</si>
  <si>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</si>
  <si>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</si>
  <si>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</si>
  <si>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</si>
  <si>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</si>
  <si>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</si>
  <si>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</si>
  <si>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</si>
  <si>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</si>
  <si>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</si>
  <si>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</si>
  <si>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</si>
  <si>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</si>
  <si>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</si>
  <si>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</si>
  <si>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</si>
  <si>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</si>
  <si>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</si>
  <si>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</si>
  <si>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</si>
  <si>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</si>
  <si>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</si>
  <si>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</si>
  <si>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</si>
  <si>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</si>
  <si>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</si>
  <si>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</si>
  <si>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</si>
  <si>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</si>
  <si>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</si>
  <si>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</si>
  <si>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</si>
  <si>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</si>
  <si>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</si>
  <si>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</si>
  <si>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</si>
  <si>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</si>
  <si>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</si>
  <si>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</si>
  <si>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</si>
  <si>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</si>
  <si>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</si>
  <si>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</si>
  <si>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</si>
  <si>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</si>
  <si>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</si>
  <si>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</si>
  <si>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</si>
  <si>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</si>
  <si>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</si>
  <si>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</si>
  <si>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</si>
  <si>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</si>
  <si>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</si>
  <si>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</si>
  <si>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</si>
  <si>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</si>
  <si>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</si>
  <si>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</si>
  <si>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</si>
  <si>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</si>
  <si>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</si>
  <si>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</si>
  <si>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</si>
  <si>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</si>
  <si>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</si>
  <si>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</si>
  <si>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</si>
  <si>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</si>
  <si>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</si>
  <si>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</si>
  <si>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</si>
  <si>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</si>
  <si>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</si>
  <si>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</si>
  <si>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</si>
  <si>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</si>
  <si>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</si>
  <si>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</si>
  <si>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</si>
  <si>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</si>
  <si>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</si>
  <si>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</si>
  <si>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</si>
  <si>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</si>
  <si>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</si>
  <si>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</si>
  <si>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</si>
  <si>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</si>
  <si>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</si>
  <si>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</si>
  <si>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</si>
  <si>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</si>
  <si>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</si>
  <si>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</si>
  <si>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</si>
  <si>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</si>
  <si>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</si>
  <si>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</si>
  <si>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</si>
  <si>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</si>
  <si>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</si>
  <si>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</si>
  <si>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</si>
  <si>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</si>
  <si>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</si>
  <si>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</si>
  <si>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</si>
  <si>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</si>
  <si>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</si>
  <si>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</si>
  <si>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</si>
  <si>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</si>
  <si>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</si>
  <si>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</si>
  <si>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</si>
  <si>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</si>
  <si>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</si>
  <si>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</si>
  <si>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</si>
  <si>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</si>
  <si>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</si>
  <si>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</si>
  <si>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</si>
  <si>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</si>
  <si>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</si>
  <si>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</si>
  <si>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</si>
  <si>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</si>
  <si>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</si>
  <si>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</si>
  <si>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</si>
  <si>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</si>
  <si>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</si>
  <si>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</si>
  <si>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</si>
  <si>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</si>
  <si>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</si>
  <si>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</si>
  <si>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</si>
  <si>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</si>
  <si>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</si>
  <si>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</si>
  <si>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</si>
  <si>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</si>
  <si>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</si>
  <si>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</si>
  <si>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</si>
  <si>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</si>
  <si>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</si>
  <si>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</si>
  <si>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</si>
  <si>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</si>
  <si>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</si>
  <si>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</si>
  <si>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</si>
  <si>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</si>
  <si>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</si>
  <si>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</si>
  <si>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</si>
  <si>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</si>
  <si>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</si>
  <si>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</si>
  <si>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</si>
  <si>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</si>
  <si>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</si>
  <si>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</si>
  <si>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</si>
  <si>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</si>
  <si>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</si>
  <si>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</si>
  <si>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</si>
  <si>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</si>
  <si>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</si>
  <si>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</si>
  <si>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</si>
  <si>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</si>
  <si>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</si>
  <si>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</si>
  <si>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</si>
  <si>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</si>
  <si>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</si>
  <si>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</si>
  <si>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</si>
  <si>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</si>
  <si>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</si>
  <si>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26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</si>
  <si>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</si>
  <si>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</si>
  <si>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</si>
  <si>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</si>
  <si>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</si>
  <si>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</si>
  <si>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</si>
  <si>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</si>
  <si>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</si>
  <si>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</si>
  <si>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</si>
  <si>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</si>
  <si>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</si>
  <si>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</si>
  <si>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</si>
  <si>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</si>
  <si>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</si>
  <si>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</si>
  <si>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</si>
  <si>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</si>
  <si>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</si>
  <si>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</si>
  <si>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</si>
  <si>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</si>
  <si>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</si>
  <si>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</si>
  <si>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</si>
  <si>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</si>
  <si>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</si>
  <si>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</si>
  <si>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</si>
  <si>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</si>
  <si>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</si>
  <si>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</si>
  <si>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</si>
  <si>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</si>
  <si>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</si>
  <si>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</si>
  <si>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</si>
  <si>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</si>
  <si>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</si>
  <si>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</si>
  <si>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</si>
  <si>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</si>
  <si>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</si>
  <si>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</si>
  <si>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</si>
  <si>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</si>
  <si>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</si>
  <si>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</si>
  <si>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</si>
  <si>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</si>
  <si>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</si>
  <si>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</si>
  <si>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</si>
  <si>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</si>
  <si>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</si>
  <si>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</si>
  <si>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</si>
  <si>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</si>
  <si>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</si>
  <si>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</si>
  <si>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</si>
  <si>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</si>
  <si>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</si>
  <si>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</si>
  <si>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</si>
  <si>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</si>
  <si>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</si>
  <si>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</si>
  <si>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</si>
  <si>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</si>
  <si>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</si>
  <si>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</si>
  <si>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</si>
  <si>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</si>
  <si>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</si>
  <si>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</si>
  <si>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</si>
  <si>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</si>
  <si>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</si>
  <si>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</si>
  <si>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</si>
  <si>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</si>
  <si>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</si>
  <si>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</si>
  <si>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</si>
  <si>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</si>
  <si>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</si>
  <si>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</si>
  <si>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</si>
  <si>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</si>
  <si>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</si>
  <si>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</si>
  <si>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</si>
  <si>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</si>
  <si>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</si>
  <si>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</si>
  <si>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</si>
  <si>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</si>
  <si>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</si>
  <si>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</si>
  <si>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25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</si>
  <si>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</si>
  <si>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</si>
  <si>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</si>
  <si>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</si>
  <si>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</si>
  <si>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</si>
  <si>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</si>
  <si>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</si>
  <si>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</si>
  <si>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</si>
  <si>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</si>
  <si>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</si>
  <si>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</si>
  <si>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</si>
  <si>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</si>
  <si>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</si>
  <si>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</si>
  <si>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</si>
  <si>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</si>
  <si>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</si>
  <si>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</si>
  <si>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</si>
  <si>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</si>
  <si>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</si>
  <si>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</si>
  <si>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</si>
  <si>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</si>
  <si>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</si>
  <si>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</si>
  <si>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</si>
  <si>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</si>
  <si>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</si>
  <si>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</si>
  <si>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</si>
  <si>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</si>
  <si>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</si>
  <si>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201A</t>
  </si>
  <si>
    <t>ｉシェアーズ　Ｎｉｆｔｙ　５０　インド株　ＥＴＦ　受益証券</t>
  </si>
  <si>
    <t>iShares Nifty 50 ETF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</si>
  <si>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</si>
  <si>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</si>
  <si>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</si>
  <si>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</si>
  <si>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</si>
  <si>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</si>
  <si>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</si>
  <si>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</si>
  <si>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</si>
  <si>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</si>
  <si>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</si>
  <si>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</si>
  <si>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</si>
  <si>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</si>
  <si>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</si>
  <si>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</si>
  <si>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</si>
  <si>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</si>
  <si>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</si>
  <si>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</si>
  <si>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</si>
  <si>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</si>
  <si>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</si>
  <si>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</si>
  <si>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</si>
  <si>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</si>
  <si>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</si>
  <si>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</si>
  <si>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</si>
  <si>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</si>
  <si>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</si>
  <si>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</si>
  <si>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</si>
  <si>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</si>
  <si>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</si>
  <si>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</si>
  <si>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</si>
  <si>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</si>
  <si>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</si>
  <si>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</si>
  <si>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</si>
  <si>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</si>
  <si>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</si>
  <si>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</si>
  <si>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</si>
  <si>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</si>
  <si>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</si>
  <si>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</si>
  <si>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</si>
  <si>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</si>
  <si>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</si>
  <si>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</si>
  <si>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</si>
  <si>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</si>
  <si>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</si>
  <si>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</si>
  <si>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</si>
  <si>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</si>
  <si>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</si>
  <si>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</si>
  <si>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</si>
  <si>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</si>
  <si>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</si>
  <si>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</si>
  <si>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</si>
  <si>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</si>
  <si>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</si>
  <si>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</si>
  <si>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</si>
  <si>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</si>
  <si>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</si>
  <si>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</si>
  <si>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</si>
  <si>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</si>
  <si>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</si>
  <si>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</si>
  <si>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</si>
  <si>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</si>
  <si>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</si>
  <si>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</si>
  <si>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</si>
  <si>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</si>
  <si>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</si>
  <si>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</si>
  <si>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</si>
  <si>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</si>
  <si>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</si>
  <si>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</si>
  <si>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</si>
  <si>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</si>
  <si>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</si>
  <si>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</si>
  <si>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</si>
  <si>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</si>
  <si>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</si>
  <si>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</si>
  <si>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</si>
  <si>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</si>
  <si>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</si>
  <si>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</si>
  <si>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</si>
  <si>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</si>
  <si>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</si>
  <si>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</si>
  <si>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</si>
  <si>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</si>
  <si>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</si>
  <si>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</si>
  <si>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</si>
  <si>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</si>
  <si>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</si>
  <si>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</si>
  <si>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</si>
  <si>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</si>
  <si>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</si>
  <si>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</si>
  <si>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</si>
  <si>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</si>
  <si>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</si>
  <si>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</si>
  <si>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</si>
  <si>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</si>
  <si>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</si>
  <si>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</si>
  <si>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</si>
  <si>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</si>
  <si>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</si>
  <si>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12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</si>
  <si>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</si>
  <si>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</si>
  <si>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</si>
  <si>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</si>
  <si>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</si>
  <si>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</si>
  <si>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</si>
  <si>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</si>
  <si>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</si>
  <si>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</si>
  <si>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</si>
  <si>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</si>
  <si>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210A</t>
  </si>
  <si>
    <t>ｉＦｒｅｅＥＴＦ　日経高利回りＲＥＩＴ指数　受益証券</t>
  </si>
  <si>
    <t>iFreeETF Nikkei High Yield REIT Index</t>
  </si>
  <si>
    <t>213A</t>
  </si>
  <si>
    <t>上場インデックスファンド日経半導体株　受益証券</t>
  </si>
  <si>
    <t>Listed Index Fund Nikkei Semiconductor Stock</t>
  </si>
  <si>
    <t>221A</t>
  </si>
  <si>
    <t>ＭＡＸＩＳ日経半導体株上場投信　受益証券</t>
  </si>
  <si>
    <t>MAXIS Nikkei Semiconductor Stock (Japan)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</si>
  <si>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</si>
  <si>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</si>
  <si>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</si>
  <si>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</si>
  <si>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</si>
  <si>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</si>
  <si>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</si>
  <si>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</si>
  <si>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</si>
  <si>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</si>
  <si>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</si>
  <si>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</si>
  <si>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</si>
  <si>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</si>
  <si>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</si>
  <si>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223A</t>
  </si>
  <si>
    <t>グローバルＸ　ＡＩ＆ビッグデータ　ＥＴＦ　受益証券</t>
  </si>
  <si>
    <t>Global X Artificial Intelligence &amp; Technology ETF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</si>
  <si>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</si>
  <si>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</si>
  <si>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</si>
  <si>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</si>
  <si>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</si>
  <si>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</si>
  <si>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</si>
  <si>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</si>
  <si>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</si>
  <si>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</si>
  <si>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</si>
  <si>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</si>
  <si>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</si>
  <si>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</si>
  <si>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</si>
  <si>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</si>
  <si>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</si>
  <si>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</si>
  <si>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</si>
  <si>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</si>
  <si>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</si>
  <si>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</si>
  <si>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</si>
  <si>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</si>
  <si>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</si>
  <si>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</si>
  <si>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</si>
  <si>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</si>
  <si>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</si>
  <si>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</si>
  <si>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224A</t>
  </si>
  <si>
    <t>グローバルＸ　ウラニウムビジネス　ＥＴＦ　受益証券</t>
  </si>
  <si>
    <t>Global X Uranium ETF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</si>
  <si>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</si>
  <si>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</si>
  <si>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</si>
  <si>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</si>
  <si>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</si>
  <si>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</si>
  <si>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</si>
  <si>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</si>
  <si>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</si>
  <si>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</si>
  <si>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</si>
  <si>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</si>
  <si>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</si>
  <si>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</si>
  <si>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</si>
  <si>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</si>
  <si>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</si>
  <si>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</si>
  <si>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</si>
  <si>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</si>
  <si>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</si>
  <si>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</si>
  <si>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</si>
  <si>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</si>
  <si>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</si>
  <si>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</si>
  <si>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</si>
  <si>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</si>
  <si>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</si>
  <si>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</si>
  <si>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233A</t>
  </si>
  <si>
    <t>ｉＦｒｅｅＥＴＦ　インドＮｉｆｔｙ５０　受益証券</t>
  </si>
  <si>
    <t>iFreeETF Nifty50</t>
  </si>
  <si>
    <t>234A</t>
  </si>
  <si>
    <t>グローバルＸ　ＭＳＣＩ　キャッシュフローキング－日本株式　ＥＴＦ　受益証券</t>
  </si>
  <si>
    <t>Global X MSCI Japan Cash Flow Kings ETF</t>
  </si>
  <si>
    <t>235A</t>
  </si>
  <si>
    <t>グローバルＸ　高配当３０－日本株式　ＥＴＦ　受益証券</t>
  </si>
  <si>
    <t>Global X Japan High Dividend 30 ETF</t>
  </si>
  <si>
    <t>236A</t>
  </si>
  <si>
    <t>ｉシェアーズ　日本国債７－１０年　ＥＴＦ　受益証券</t>
  </si>
  <si>
    <t>iShares 7-10 Year Japan Government Bond ETF</t>
  </si>
  <si>
    <t>237A</t>
  </si>
  <si>
    <t>ｉシェアーズ　米国債２５年超　ロングデュレーション　ＥＴＦ　受益証券</t>
  </si>
  <si>
    <t>iShares 25+ Year US Treasury Bond Long Duration ETF</t>
  </si>
  <si>
    <t>238A</t>
  </si>
  <si>
    <t>ｉシェアーズ　米国債２５年超　ロングデュレーション　ＥＴＦ（為替ヘッジあり）　受益証券</t>
  </si>
  <si>
    <t>iShares 25+ Year US Treasury Bond Long Duration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</si>
  <si>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</si>
  <si>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</si>
  <si>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</si>
  <si>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</si>
  <si>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</si>
  <si>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</si>
  <si>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</si>
  <si>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</si>
  <si>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</si>
  <si>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</si>
  <si>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</si>
  <si>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</si>
  <si>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</si>
  <si>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</si>
  <si>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</si>
  <si>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</si>
  <si>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</si>
  <si>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</si>
  <si>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</si>
  <si>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</si>
  <si>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</si>
  <si>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</si>
  <si>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</si>
  <si>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</si>
  <si>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</si>
  <si>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</si>
  <si>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</si>
  <si>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</si>
  <si>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</si>
  <si>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</si>
  <si>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</si>
  <si>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</si>
  <si>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</si>
  <si>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</si>
  <si>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</si>
  <si>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</si>
  <si>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</si>
  <si>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</si>
  <si>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</si>
  <si>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</si>
  <si>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</si>
  <si>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</si>
  <si>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</si>
  <si>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</si>
  <si>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</si>
  <si>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</si>
  <si>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</si>
  <si>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</si>
  <si>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</si>
  <si>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</si>
  <si>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</si>
  <si>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</si>
  <si>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</si>
  <si>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</si>
  <si>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</si>
  <si>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</si>
  <si>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</si>
  <si>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</si>
  <si>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</si>
  <si>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</si>
  <si>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</si>
  <si>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</si>
  <si>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</si>
  <si>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</si>
  <si>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</si>
  <si>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</si>
  <si>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</si>
  <si>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</si>
  <si>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</si>
  <si>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</si>
  <si>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</si>
  <si>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</si>
  <si>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</si>
  <si>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</si>
  <si>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</si>
  <si>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</si>
  <si>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</si>
  <si>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</si>
  <si>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</si>
  <si>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</si>
  <si>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</si>
  <si>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</si>
  <si>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</si>
  <si>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</si>
  <si>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</si>
  <si>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</si>
  <si>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</si>
  <si>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</si>
  <si>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</si>
  <si>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</si>
  <si>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</si>
  <si>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</si>
  <si>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</si>
  <si>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</si>
  <si>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</si>
  <si>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</si>
  <si>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</si>
  <si>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</si>
  <si>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</si>
  <si>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</si>
  <si>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</si>
  <si>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</si>
  <si>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</si>
  <si>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</si>
  <si>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</si>
  <si>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</si>
  <si>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</si>
  <si>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</si>
  <si>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</si>
  <si>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</si>
  <si>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</si>
  <si>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</si>
  <si>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</si>
  <si>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</si>
  <si>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</si>
  <si>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</si>
  <si>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</si>
  <si>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257A</t>
  </si>
  <si>
    <t>ＳＭＴ　ＥＴＦ日本株厳選投資アクティブ　受益証券</t>
  </si>
  <si>
    <t>SMT ETF Selected Japan Equity Active</t>
  </si>
  <si>
    <t xml:space="preserve">新規上場  </t>
  </si>
  <si>
    <t xml:space="preserve">New Listing  </t>
  </si>
  <si>
    <t xml:space="preserve">2024/09/24  </t>
  </si>
  <si>
    <t>258A</t>
  </si>
  <si>
    <t>ＳＭＴ　ＥＴＦ国内リート厳選投資アクティブ　受益証券</t>
  </si>
  <si>
    <t>SMT ETF Selected J-REIT Active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</si>
  <si>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</si>
  <si>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</si>
  <si>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</si>
  <si>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</si>
  <si>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</si>
  <si>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</si>
  <si>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</si>
  <si>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</si>
  <si>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</si>
  <si>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</si>
  <si>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</si>
  <si>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</si>
  <si>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</si>
  <si>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</si>
  <si>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</si>
  <si>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</si>
  <si>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</si>
  <si>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</si>
  <si>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</si>
  <si>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</si>
  <si>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</si>
  <si>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</si>
  <si>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</si>
  <si>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</si>
  <si>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</si>
  <si>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</si>
  <si>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</si>
  <si>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</si>
  <si>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</si>
  <si>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</si>
  <si>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</si>
  <si>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</si>
  <si>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</si>
  <si>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</si>
  <si>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</si>
  <si>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</si>
  <si>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</si>
  <si>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</si>
  <si>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</si>
  <si>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</si>
  <si>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</si>
  <si>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</si>
  <si>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</si>
  <si>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</si>
  <si>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</si>
  <si>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</si>
  <si>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</si>
  <si>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</si>
  <si>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</si>
  <si>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</si>
  <si>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</si>
  <si>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</si>
  <si>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</si>
  <si>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</si>
  <si>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</si>
  <si>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</si>
  <si>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</si>
  <si>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</si>
  <si>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</si>
  <si>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</si>
  <si>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</si>
  <si>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</si>
  <si>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</si>
  <si>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</si>
  <si>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</si>
  <si>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</si>
  <si>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</si>
  <si>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</si>
  <si>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</si>
  <si>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</si>
  <si>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</si>
  <si>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</si>
  <si>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</si>
  <si>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</si>
  <si>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</si>
  <si>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</si>
  <si>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</si>
  <si>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</si>
  <si>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</si>
  <si>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</si>
  <si>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</si>
  <si>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</si>
  <si>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</si>
  <si>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</si>
  <si>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</si>
  <si>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</si>
  <si>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</si>
  <si>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</si>
  <si>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</si>
  <si>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</si>
  <si>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</si>
  <si>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</si>
  <si>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</si>
  <si>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</si>
  <si>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</si>
  <si>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</si>
  <si>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</si>
  <si>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</si>
  <si>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</si>
  <si>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</si>
  <si>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</si>
  <si>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</si>
  <si>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</si>
  <si>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</si>
  <si>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</si>
  <si>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</si>
  <si>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</si>
  <si>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</si>
  <si>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</si>
  <si>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</si>
  <si>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</si>
  <si>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</si>
  <si>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</si>
  <si>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</si>
  <si>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</si>
  <si>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</si>
  <si>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</si>
  <si>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</si>
  <si>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</si>
  <si>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</si>
  <si>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</si>
  <si>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</si>
  <si>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</si>
  <si>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</si>
  <si>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</si>
  <si>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</si>
  <si>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</si>
  <si>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</si>
  <si>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</si>
  <si>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</si>
  <si>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</si>
  <si>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</si>
  <si>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</si>
  <si>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</si>
  <si>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</si>
  <si>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</si>
  <si>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</si>
  <si>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</si>
  <si>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</si>
  <si>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</si>
  <si>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</si>
  <si>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</si>
  <si>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</si>
  <si>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</si>
  <si>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</si>
  <si>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</si>
  <si>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</si>
  <si>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</si>
  <si>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</si>
  <si>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</si>
  <si>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</si>
  <si>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</si>
  <si>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</si>
  <si>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</si>
  <si>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</si>
  <si>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</si>
  <si>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</si>
  <si>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</si>
  <si>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</si>
  <si>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</si>
  <si>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</si>
  <si>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</si>
  <si>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</si>
  <si>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</si>
  <si>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</si>
  <si>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</si>
  <si>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</si>
  <si>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</si>
  <si>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</si>
  <si>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</si>
  <si>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</si>
  <si>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</si>
  <si>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</si>
  <si>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</si>
  <si>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</si>
  <si>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</si>
  <si>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</si>
  <si>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</si>
  <si>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</si>
  <si>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</si>
  <si>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</si>
  <si>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</si>
  <si>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</si>
  <si>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</si>
  <si>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</si>
  <si>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</si>
  <si>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</si>
  <si>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</si>
  <si>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</si>
  <si>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</si>
  <si>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</si>
  <si>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</si>
  <si>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</si>
  <si>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</si>
  <si>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</si>
  <si>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</si>
  <si>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</si>
  <si>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</si>
  <si>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</si>
  <si>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</si>
  <si>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</si>
  <si>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</si>
  <si>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</si>
  <si>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</si>
  <si>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</si>
  <si>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</si>
  <si>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</si>
  <si>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</si>
  <si>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</si>
  <si>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</si>
  <si>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</si>
  <si>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</si>
  <si>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</si>
  <si>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</si>
  <si>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</si>
  <si>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</si>
  <si>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</si>
  <si>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</si>
  <si>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</si>
  <si>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</si>
  <si>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</si>
  <si>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</si>
  <si>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</si>
  <si>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</si>
  <si>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</si>
  <si>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</si>
  <si>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</si>
  <si>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</si>
  <si>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</si>
  <si>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</si>
  <si>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</si>
  <si>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</si>
  <si>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</si>
  <si>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</si>
  <si>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</si>
  <si>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</si>
  <si>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</si>
  <si>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</si>
  <si>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</si>
  <si>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</si>
  <si>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</si>
  <si>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</si>
  <si>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</si>
  <si>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</si>
  <si>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</si>
  <si>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</si>
  <si>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</si>
  <si>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</si>
  <si>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</si>
  <si>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</si>
  <si>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</si>
  <si>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</si>
  <si>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</si>
  <si>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</si>
  <si>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</si>
  <si>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</si>
  <si>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</si>
  <si>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</si>
  <si>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</si>
  <si>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</si>
  <si>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</si>
  <si>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</si>
  <si>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</si>
  <si>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</si>
  <si>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</si>
  <si>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</si>
  <si>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</si>
  <si>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</si>
  <si>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</si>
  <si>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</si>
  <si>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</si>
  <si>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</si>
  <si>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</si>
  <si>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</si>
  <si>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</si>
  <si>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</si>
  <si>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</si>
  <si>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</si>
  <si>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</si>
  <si>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</si>
  <si>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</si>
  <si>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</si>
  <si>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</si>
  <si>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</si>
  <si>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</si>
  <si>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</si>
  <si>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</si>
  <si>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</si>
  <si>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</si>
  <si>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</si>
  <si>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</si>
  <si>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</si>
  <si>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</si>
  <si>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</si>
  <si>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</si>
  <si>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</si>
  <si>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</si>
  <si>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</si>
  <si>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</si>
  <si>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</si>
  <si>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 xml:space="preserve">新株落ち  </t>
  </si>
  <si>
    <t xml:space="preserve">ex-subscription right  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</si>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</sst>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39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2873</f>
        <v>2873.0</v>
      </c>
      <c r="L7" s="34" t="s">
        <v>48</v>
      </c>
      <c r="M7" s="33" t="n">
        <f>2908.5</f>
        <v>2908.5</v>
      </c>
      <c r="N7" s="34" t="s">
        <v>49</v>
      </c>
      <c r="O7" s="33" t="n">
        <f>2631</f>
        <v>2631.0</v>
      </c>
      <c r="P7" s="34" t="s">
        <v>50</v>
      </c>
      <c r="Q7" s="33" t="n">
        <f>2795</f>
        <v>2795.0</v>
      </c>
      <c r="R7" s="34" t="s">
        <v>51</v>
      </c>
      <c r="S7" s="35" t="n">
        <f>2759.5</f>
        <v>2759.5</v>
      </c>
      <c r="T7" s="32" t="n">
        <f>17598530</f>
        <v>1.759853E7</v>
      </c>
      <c r="U7" s="32" t="n">
        <f>11102600</f>
        <v>1.11026E7</v>
      </c>
      <c r="V7" s="32" t="n">
        <f>48855129186</f>
        <v>4.8855129186E10</v>
      </c>
      <c r="W7" s="32" t="n">
        <f>30772778361</f>
        <v>3.0772778361E10</v>
      </c>
      <c r="X7" s="36" t="n">
        <f>19</f>
        <v>19.0</v>
      </c>
    </row>
    <row r="8">
      <c r="A8" s="27" t="s">
        <v>42</v>
      </c>
      <c r="B8" s="27" t="s">
        <v>52</v>
      </c>
      <c r="C8" s="27" t="s">
        <v>53</v>
      </c>
      <c r="D8" s="27" t="s">
        <v>54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2835</f>
        <v>2835.0</v>
      </c>
      <c r="L8" s="34" t="s">
        <v>48</v>
      </c>
      <c r="M8" s="33" t="n">
        <f>2875</f>
        <v>2875.0</v>
      </c>
      <c r="N8" s="34" t="s">
        <v>49</v>
      </c>
      <c r="O8" s="33" t="n">
        <f>2603.5</f>
        <v>2603.5</v>
      </c>
      <c r="P8" s="34" t="s">
        <v>50</v>
      </c>
      <c r="Q8" s="33" t="n">
        <f>2767</f>
        <v>2767.0</v>
      </c>
      <c r="R8" s="34" t="s">
        <v>51</v>
      </c>
      <c r="S8" s="35" t="n">
        <f>2729.84</f>
        <v>2729.84</v>
      </c>
      <c r="T8" s="32" t="n">
        <f>46121710</f>
        <v>4.612171E7</v>
      </c>
      <c r="U8" s="32" t="n">
        <f>10113980</f>
        <v>1.011398E7</v>
      </c>
      <c r="V8" s="32" t="n">
        <f>126399959717</f>
        <v>1.26399959717E11</v>
      </c>
      <c r="W8" s="32" t="n">
        <f>27998418982</f>
        <v>2.7998418982E10</v>
      </c>
      <c r="X8" s="36" t="n">
        <f>19</f>
        <v>19.0</v>
      </c>
    </row>
    <row r="9">
      <c r="A9" s="27" t="s">
        <v>42</v>
      </c>
      <c r="B9" s="27" t="s">
        <v>55</v>
      </c>
      <c r="C9" s="27" t="s">
        <v>56</v>
      </c>
      <c r="D9" s="27" t="s">
        <v>57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2804</f>
        <v>2804.0</v>
      </c>
      <c r="L9" s="34" t="s">
        <v>48</v>
      </c>
      <c r="M9" s="33" t="n">
        <f>2843</f>
        <v>2843.0</v>
      </c>
      <c r="N9" s="34" t="s">
        <v>49</v>
      </c>
      <c r="O9" s="33" t="n">
        <f>2574</f>
        <v>2574.0</v>
      </c>
      <c r="P9" s="34" t="s">
        <v>50</v>
      </c>
      <c r="Q9" s="33" t="n">
        <f>2743</f>
        <v>2743.0</v>
      </c>
      <c r="R9" s="34" t="s">
        <v>51</v>
      </c>
      <c r="S9" s="35" t="n">
        <f>2698.42</f>
        <v>2698.42</v>
      </c>
      <c r="T9" s="32" t="n">
        <f>15219104</f>
        <v>1.5219104E7</v>
      </c>
      <c r="U9" s="32" t="n">
        <f>5838285</f>
        <v>5838285.0</v>
      </c>
      <c r="V9" s="32" t="n">
        <f>40796788263</f>
        <v>4.0796788263E10</v>
      </c>
      <c r="W9" s="32" t="n">
        <f>15656301931</f>
        <v>1.5656301931E10</v>
      </c>
      <c r="X9" s="36" t="n">
        <f>19</f>
        <v>19.0</v>
      </c>
    </row>
    <row r="10">
      <c r="A10" s="27" t="s">
        <v>42</v>
      </c>
      <c r="B10" s="27" t="s">
        <v>58</v>
      </c>
      <c r="C10" s="27" t="s">
        <v>59</v>
      </c>
      <c r="D10" s="27" t="s">
        <v>60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38000</f>
        <v>38000.0</v>
      </c>
      <c r="L10" s="34" t="s">
        <v>48</v>
      </c>
      <c r="M10" s="33" t="n">
        <f>44990</f>
        <v>44990.0</v>
      </c>
      <c r="N10" s="34" t="s">
        <v>51</v>
      </c>
      <c r="O10" s="33" t="n">
        <f>34800</f>
        <v>34800.0</v>
      </c>
      <c r="P10" s="34" t="s">
        <v>61</v>
      </c>
      <c r="Q10" s="33" t="n">
        <f>44980</f>
        <v>44980.0</v>
      </c>
      <c r="R10" s="34" t="s">
        <v>51</v>
      </c>
      <c r="S10" s="35" t="n">
        <f>37195.79</f>
        <v>37195.79</v>
      </c>
      <c r="T10" s="32" t="n">
        <f>10140</f>
        <v>10140.0</v>
      </c>
      <c r="U10" s="32" t="str">
        <f>"－"</f>
        <v>－</v>
      </c>
      <c r="V10" s="32" t="n">
        <f>412207620</f>
        <v>4.1220762E8</v>
      </c>
      <c r="W10" s="32" t="str">
        <f>"－"</f>
        <v>－</v>
      </c>
      <c r="X10" s="36" t="n">
        <f>19</f>
        <v>19.0</v>
      </c>
    </row>
    <row r="11">
      <c r="A11" s="27" t="s">
        <v>42</v>
      </c>
      <c r="B11" s="27" t="s">
        <v>62</v>
      </c>
      <c r="C11" s="27" t="s">
        <v>63</v>
      </c>
      <c r="D11" s="27" t="s">
        <v>64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1410</f>
        <v>1410.0</v>
      </c>
      <c r="L11" s="34" t="s">
        <v>48</v>
      </c>
      <c r="M11" s="33" t="n">
        <f>1423.5</f>
        <v>1423.5</v>
      </c>
      <c r="N11" s="34" t="s">
        <v>49</v>
      </c>
      <c r="O11" s="33" t="n">
        <f>1271</f>
        <v>1271.0</v>
      </c>
      <c r="P11" s="34" t="s">
        <v>61</v>
      </c>
      <c r="Q11" s="33" t="n">
        <f>1362</f>
        <v>1362.0</v>
      </c>
      <c r="R11" s="34" t="s">
        <v>51</v>
      </c>
      <c r="S11" s="35" t="n">
        <f>1345.11</f>
        <v>1345.11</v>
      </c>
      <c r="T11" s="32" t="n">
        <f>370350</f>
        <v>370350.0</v>
      </c>
      <c r="U11" s="32" t="n">
        <f>121460</f>
        <v>121460.0</v>
      </c>
      <c r="V11" s="32" t="n">
        <f>495934441</f>
        <v>4.95934441E8</v>
      </c>
      <c r="W11" s="32" t="n">
        <f>159157001</f>
        <v>1.59157001E8</v>
      </c>
      <c r="X11" s="36" t="n">
        <f>19</f>
        <v>19.0</v>
      </c>
    </row>
    <row r="12">
      <c r="A12" s="27" t="s">
        <v>42</v>
      </c>
      <c r="B12" s="27" t="s">
        <v>65</v>
      </c>
      <c r="C12" s="27" t="s">
        <v>66</v>
      </c>
      <c r="D12" s="27" t="s">
        <v>67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470.2</f>
        <v>470.2</v>
      </c>
      <c r="L12" s="34" t="s">
        <v>48</v>
      </c>
      <c r="M12" s="33" t="n">
        <f>494.4</f>
        <v>494.4</v>
      </c>
      <c r="N12" s="34" t="s">
        <v>49</v>
      </c>
      <c r="O12" s="33" t="n">
        <f>452.5</f>
        <v>452.5</v>
      </c>
      <c r="P12" s="34" t="s">
        <v>68</v>
      </c>
      <c r="Q12" s="33" t="n">
        <f>475</f>
        <v>475.0</v>
      </c>
      <c r="R12" s="34" t="s">
        <v>51</v>
      </c>
      <c r="S12" s="35" t="n">
        <f>471.39</f>
        <v>471.39</v>
      </c>
      <c r="T12" s="32" t="n">
        <f>146000</f>
        <v>146000.0</v>
      </c>
      <c r="U12" s="32" t="str">
        <f>"－"</f>
        <v>－</v>
      </c>
      <c r="V12" s="32" t="n">
        <f>69666100</f>
        <v>6.96661E7</v>
      </c>
      <c r="W12" s="32" t="str">
        <f>"－"</f>
        <v>－</v>
      </c>
      <c r="X12" s="36" t="n">
        <f>18</f>
        <v>18.0</v>
      </c>
    </row>
    <row r="13">
      <c r="A13" s="27" t="s">
        <v>42</v>
      </c>
      <c r="B13" s="27" t="s">
        <v>69</v>
      </c>
      <c r="C13" s="27" t="s">
        <v>70</v>
      </c>
      <c r="D13" s="27" t="s">
        <v>71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40120</f>
        <v>40120.0</v>
      </c>
      <c r="L13" s="34" t="s">
        <v>48</v>
      </c>
      <c r="M13" s="33" t="n">
        <f>41120</f>
        <v>41120.0</v>
      </c>
      <c r="N13" s="34" t="s">
        <v>49</v>
      </c>
      <c r="O13" s="33" t="n">
        <f>36210</f>
        <v>36210.0</v>
      </c>
      <c r="P13" s="34" t="s">
        <v>72</v>
      </c>
      <c r="Q13" s="33" t="n">
        <f>39170</f>
        <v>39170.0</v>
      </c>
      <c r="R13" s="34" t="s">
        <v>51</v>
      </c>
      <c r="S13" s="35" t="n">
        <f>38338.42</f>
        <v>38338.42</v>
      </c>
      <c r="T13" s="32" t="n">
        <f>1610249</f>
        <v>1610249.0</v>
      </c>
      <c r="U13" s="32" t="n">
        <f>585037</f>
        <v>585037.0</v>
      </c>
      <c r="V13" s="32" t="n">
        <f>62088634144</f>
        <v>6.2088634144E10</v>
      </c>
      <c r="W13" s="32" t="n">
        <f>22652114264</f>
        <v>2.2652114264E10</v>
      </c>
      <c r="X13" s="36" t="n">
        <f>19</f>
        <v>19.0</v>
      </c>
    </row>
    <row r="14">
      <c r="A14" s="27" t="s">
        <v>42</v>
      </c>
      <c r="B14" s="27" t="s">
        <v>73</v>
      </c>
      <c r="C14" s="27" t="s">
        <v>74</v>
      </c>
      <c r="D14" s="27" t="s">
        <v>75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40250</f>
        <v>40250.0</v>
      </c>
      <c r="L14" s="34" t="s">
        <v>48</v>
      </c>
      <c r="M14" s="33" t="n">
        <f>41270</f>
        <v>41270.0</v>
      </c>
      <c r="N14" s="34" t="s">
        <v>49</v>
      </c>
      <c r="O14" s="33" t="n">
        <f>36330</f>
        <v>36330.0</v>
      </c>
      <c r="P14" s="34" t="s">
        <v>72</v>
      </c>
      <c r="Q14" s="33" t="n">
        <f>39350</f>
        <v>39350.0</v>
      </c>
      <c r="R14" s="34" t="s">
        <v>51</v>
      </c>
      <c r="S14" s="35" t="n">
        <f>38460</f>
        <v>38460.0</v>
      </c>
      <c r="T14" s="32" t="n">
        <f>10095762</f>
        <v>1.0095762E7</v>
      </c>
      <c r="U14" s="32" t="n">
        <f>1501231</f>
        <v>1501231.0</v>
      </c>
      <c r="V14" s="32" t="n">
        <f>389909212717</f>
        <v>3.89909212717E11</v>
      </c>
      <c r="W14" s="32" t="n">
        <f>58393967447</f>
        <v>5.8393967447E10</v>
      </c>
      <c r="X14" s="36" t="n">
        <f>19</f>
        <v>19.0</v>
      </c>
    </row>
    <row r="15">
      <c r="A15" s="27" t="s">
        <v>42</v>
      </c>
      <c r="B15" s="27" t="s">
        <v>76</v>
      </c>
      <c r="C15" s="27" t="s">
        <v>77</v>
      </c>
      <c r="D15" s="27" t="s">
        <v>78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7101</f>
        <v>7101.0</v>
      </c>
      <c r="L15" s="34" t="s">
        <v>48</v>
      </c>
      <c r="M15" s="33" t="n">
        <f>9250</f>
        <v>9250.0</v>
      </c>
      <c r="N15" s="34" t="s">
        <v>51</v>
      </c>
      <c r="O15" s="33" t="n">
        <f>6551</f>
        <v>6551.0</v>
      </c>
      <c r="P15" s="34" t="s">
        <v>61</v>
      </c>
      <c r="Q15" s="33" t="n">
        <f>9250</f>
        <v>9250.0</v>
      </c>
      <c r="R15" s="34" t="s">
        <v>51</v>
      </c>
      <c r="S15" s="35" t="n">
        <f>7052.16</f>
        <v>7052.16</v>
      </c>
      <c r="T15" s="32" t="n">
        <f>35750</f>
        <v>35750.0</v>
      </c>
      <c r="U15" s="32" t="str">
        <f>"－"</f>
        <v>－</v>
      </c>
      <c r="V15" s="32" t="n">
        <f>281895130</f>
        <v>2.8189513E8</v>
      </c>
      <c r="W15" s="32" t="str">
        <f>"－"</f>
        <v>－</v>
      </c>
      <c r="X15" s="36" t="n">
        <f>19</f>
        <v>19.0</v>
      </c>
    </row>
    <row r="16">
      <c r="A16" s="27" t="s">
        <v>42</v>
      </c>
      <c r="B16" s="27" t="s">
        <v>79</v>
      </c>
      <c r="C16" s="27" t="s">
        <v>80</v>
      </c>
      <c r="D16" s="27" t="s">
        <v>81</v>
      </c>
      <c r="E16" s="28" t="s">
        <v>46</v>
      </c>
      <c r="F16" s="29" t="s">
        <v>46</v>
      </c>
      <c r="G16" s="30" t="s">
        <v>46</v>
      </c>
      <c r="H16" s="31" t="s">
        <v>82</v>
      </c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83</v>
      </c>
      <c r="C17" s="27" t="s">
        <v>84</v>
      </c>
      <c r="D17" s="27" t="s">
        <v>85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213.5</f>
        <v>213.5</v>
      </c>
      <c r="L17" s="34" t="s">
        <v>48</v>
      </c>
      <c r="M17" s="33" t="n">
        <f>217</f>
        <v>217.0</v>
      </c>
      <c r="N17" s="34" t="s">
        <v>86</v>
      </c>
      <c r="O17" s="33" t="n">
        <f>200.6</f>
        <v>200.6</v>
      </c>
      <c r="P17" s="34" t="s">
        <v>50</v>
      </c>
      <c r="Q17" s="33" t="n">
        <f>208</f>
        <v>208.0</v>
      </c>
      <c r="R17" s="34" t="s">
        <v>51</v>
      </c>
      <c r="S17" s="35" t="n">
        <f>207.72</f>
        <v>207.72</v>
      </c>
      <c r="T17" s="32" t="n">
        <f>384400</f>
        <v>384400.0</v>
      </c>
      <c r="U17" s="32" t="n">
        <f>800</f>
        <v>800.0</v>
      </c>
      <c r="V17" s="32" t="n">
        <f>79804890</f>
        <v>7.980489E7</v>
      </c>
      <c r="W17" s="32" t="n">
        <f>167660</f>
        <v>167660.0</v>
      </c>
      <c r="X17" s="36" t="n">
        <f>19</f>
        <v>19.0</v>
      </c>
    </row>
    <row r="18">
      <c r="A18" s="27" t="s">
        <v>42</v>
      </c>
      <c r="B18" s="27" t="s">
        <v>87</v>
      </c>
      <c r="C18" s="27" t="s">
        <v>88</v>
      </c>
      <c r="D18" s="27" t="s">
        <v>89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33890</f>
        <v>33890.0</v>
      </c>
      <c r="L18" s="34" t="s">
        <v>48</v>
      </c>
      <c r="M18" s="33" t="n">
        <f>36150</f>
        <v>36150.0</v>
      </c>
      <c r="N18" s="34" t="s">
        <v>49</v>
      </c>
      <c r="O18" s="33" t="n">
        <f>32790</f>
        <v>32790.0</v>
      </c>
      <c r="P18" s="34" t="s">
        <v>50</v>
      </c>
      <c r="Q18" s="33" t="n">
        <f>34840</f>
        <v>34840.0</v>
      </c>
      <c r="R18" s="34" t="s">
        <v>51</v>
      </c>
      <c r="S18" s="35" t="n">
        <f>33935.79</f>
        <v>33935.79</v>
      </c>
      <c r="T18" s="32" t="n">
        <f>171105</f>
        <v>171105.0</v>
      </c>
      <c r="U18" s="32" t="str">
        <f>"－"</f>
        <v>－</v>
      </c>
      <c r="V18" s="32" t="n">
        <f>5861794210</f>
        <v>5.86179421E9</v>
      </c>
      <c r="W18" s="32" t="str">
        <f>"－"</f>
        <v>－</v>
      </c>
      <c r="X18" s="36" t="n">
        <f>19</f>
        <v>19.0</v>
      </c>
    </row>
    <row r="19">
      <c r="A19" s="27" t="s">
        <v>42</v>
      </c>
      <c r="B19" s="27" t="s">
        <v>90</v>
      </c>
      <c r="C19" s="27" t="s">
        <v>91</v>
      </c>
      <c r="D19" s="27" t="s">
        <v>92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8919</f>
        <v>8919.0</v>
      </c>
      <c r="L19" s="34" t="s">
        <v>48</v>
      </c>
      <c r="M19" s="33" t="n">
        <f>9481</f>
        <v>9481.0</v>
      </c>
      <c r="N19" s="34" t="s">
        <v>49</v>
      </c>
      <c r="O19" s="33" t="n">
        <f>8650</f>
        <v>8650.0</v>
      </c>
      <c r="P19" s="34" t="s">
        <v>93</v>
      </c>
      <c r="Q19" s="33" t="n">
        <f>9152</f>
        <v>9152.0</v>
      </c>
      <c r="R19" s="34" t="s">
        <v>51</v>
      </c>
      <c r="S19" s="35" t="n">
        <f>8939.05</f>
        <v>8939.05</v>
      </c>
      <c r="T19" s="32" t="n">
        <f>231270</f>
        <v>231270.0</v>
      </c>
      <c r="U19" s="32" t="n">
        <f>11180</f>
        <v>11180.0</v>
      </c>
      <c r="V19" s="32" t="n">
        <f>2095669388</f>
        <v>2.095669388E9</v>
      </c>
      <c r="W19" s="32" t="n">
        <f>100461378</f>
        <v>1.00461378E8</v>
      </c>
      <c r="X19" s="36" t="n">
        <f>19</f>
        <v>19.0</v>
      </c>
    </row>
    <row r="20">
      <c r="A20" s="27" t="s">
        <v>42</v>
      </c>
      <c r="B20" s="27" t="s">
        <v>94</v>
      </c>
      <c r="C20" s="27" t="s">
        <v>95</v>
      </c>
      <c r="D20" s="27" t="s">
        <v>96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40360</f>
        <v>40360.0</v>
      </c>
      <c r="L20" s="34" t="s">
        <v>48</v>
      </c>
      <c r="M20" s="33" t="n">
        <f>41360</f>
        <v>41360.0</v>
      </c>
      <c r="N20" s="34" t="s">
        <v>49</v>
      </c>
      <c r="O20" s="33" t="n">
        <f>36420</f>
        <v>36420.0</v>
      </c>
      <c r="P20" s="34" t="s">
        <v>72</v>
      </c>
      <c r="Q20" s="33" t="n">
        <f>39390</f>
        <v>39390.0</v>
      </c>
      <c r="R20" s="34" t="s">
        <v>51</v>
      </c>
      <c r="S20" s="35" t="n">
        <f>38589.47</f>
        <v>38589.47</v>
      </c>
      <c r="T20" s="32" t="n">
        <f>1577814</f>
        <v>1577814.0</v>
      </c>
      <c r="U20" s="32" t="n">
        <f>450714</f>
        <v>450714.0</v>
      </c>
      <c r="V20" s="32" t="n">
        <f>60975833483</f>
        <v>6.0975833483E10</v>
      </c>
      <c r="W20" s="32" t="n">
        <f>17541601223</f>
        <v>1.7541601223E10</v>
      </c>
      <c r="X20" s="36" t="n">
        <f>19</f>
        <v>19.0</v>
      </c>
    </row>
    <row r="21">
      <c r="A21" s="27" t="s">
        <v>42</v>
      </c>
      <c r="B21" s="27" t="s">
        <v>97</v>
      </c>
      <c r="C21" s="27" t="s">
        <v>98</v>
      </c>
      <c r="D21" s="27" t="s">
        <v>99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40290</f>
        <v>40290.0</v>
      </c>
      <c r="L21" s="34" t="s">
        <v>48</v>
      </c>
      <c r="M21" s="33" t="n">
        <f>41300</f>
        <v>41300.0</v>
      </c>
      <c r="N21" s="34" t="s">
        <v>49</v>
      </c>
      <c r="O21" s="33" t="n">
        <f>36360</f>
        <v>36360.0</v>
      </c>
      <c r="P21" s="34" t="s">
        <v>72</v>
      </c>
      <c r="Q21" s="33" t="n">
        <f>39400</f>
        <v>39400.0</v>
      </c>
      <c r="R21" s="34" t="s">
        <v>51</v>
      </c>
      <c r="S21" s="35" t="n">
        <f>38502.63</f>
        <v>38502.63</v>
      </c>
      <c r="T21" s="32" t="n">
        <f>2034534</f>
        <v>2034534.0</v>
      </c>
      <c r="U21" s="32" t="n">
        <f>1093889</f>
        <v>1093889.0</v>
      </c>
      <c r="V21" s="32" t="n">
        <f>79080874335</f>
        <v>7.9080874335E10</v>
      </c>
      <c r="W21" s="32" t="n">
        <f>42755251755</f>
        <v>4.2755251755E10</v>
      </c>
      <c r="X21" s="36" t="n">
        <f>19</f>
        <v>19.0</v>
      </c>
    </row>
    <row r="22">
      <c r="A22" s="27" t="s">
        <v>42</v>
      </c>
      <c r="B22" s="27" t="s">
        <v>100</v>
      </c>
      <c r="C22" s="27" t="s">
        <v>101</v>
      </c>
      <c r="D22" s="27" t="s">
        <v>102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1001</f>
        <v>1001.0</v>
      </c>
      <c r="L22" s="34" t="s">
        <v>48</v>
      </c>
      <c r="M22" s="33" t="n">
        <f>1004</f>
        <v>1004.0</v>
      </c>
      <c r="N22" s="34" t="s">
        <v>103</v>
      </c>
      <c r="O22" s="33" t="n">
        <f>958</f>
        <v>958.0</v>
      </c>
      <c r="P22" s="34" t="s">
        <v>61</v>
      </c>
      <c r="Q22" s="33" t="n">
        <f>963</f>
        <v>963.0</v>
      </c>
      <c r="R22" s="34" t="s">
        <v>51</v>
      </c>
      <c r="S22" s="35" t="n">
        <f>976.37</f>
        <v>976.37</v>
      </c>
      <c r="T22" s="32" t="n">
        <f>11433392</f>
        <v>1.1433392E7</v>
      </c>
      <c r="U22" s="32" t="n">
        <f>10140024</f>
        <v>1.0140024E7</v>
      </c>
      <c r="V22" s="32" t="n">
        <f>11222158486</f>
        <v>1.1222158486E10</v>
      </c>
      <c r="W22" s="32" t="n">
        <f>9962119816</f>
        <v>9.962119816E9</v>
      </c>
      <c r="X22" s="36" t="n">
        <f>19</f>
        <v>19.0</v>
      </c>
    </row>
    <row r="23">
      <c r="A23" s="27" t="s">
        <v>42</v>
      </c>
      <c r="B23" s="27" t="s">
        <v>104</v>
      </c>
      <c r="C23" s="27" t="s">
        <v>105</v>
      </c>
      <c r="D23" s="27" t="s">
        <v>106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1904</f>
        <v>1904.0</v>
      </c>
      <c r="L23" s="34" t="s">
        <v>48</v>
      </c>
      <c r="M23" s="33" t="n">
        <f>1909</f>
        <v>1909.0</v>
      </c>
      <c r="N23" s="34" t="s">
        <v>48</v>
      </c>
      <c r="O23" s="33" t="n">
        <f>1863</f>
        <v>1863.0</v>
      </c>
      <c r="P23" s="34" t="s">
        <v>51</v>
      </c>
      <c r="Q23" s="33" t="n">
        <f>1865</f>
        <v>1865.0</v>
      </c>
      <c r="R23" s="34" t="s">
        <v>51</v>
      </c>
      <c r="S23" s="35" t="n">
        <f>1888.18</f>
        <v>1888.18</v>
      </c>
      <c r="T23" s="32" t="n">
        <f>10828500</f>
        <v>1.08285E7</v>
      </c>
      <c r="U23" s="32" t="n">
        <f>3406380</f>
        <v>3406380.0</v>
      </c>
      <c r="V23" s="32" t="n">
        <f>20468953312</f>
        <v>2.0468953312E10</v>
      </c>
      <c r="W23" s="32" t="n">
        <f>6443729642</f>
        <v>6.443729642E9</v>
      </c>
      <c r="X23" s="36" t="n">
        <f>19</f>
        <v>19.0</v>
      </c>
    </row>
    <row r="24">
      <c r="A24" s="27" t="s">
        <v>42</v>
      </c>
      <c r="B24" s="27" t="s">
        <v>107</v>
      </c>
      <c r="C24" s="27" t="s">
        <v>108</v>
      </c>
      <c r="D24" s="27" t="s">
        <v>109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1806.5</f>
        <v>1806.5</v>
      </c>
      <c r="L24" s="34" t="s">
        <v>48</v>
      </c>
      <c r="M24" s="33" t="n">
        <f>1806.5</f>
        <v>1806.5</v>
      </c>
      <c r="N24" s="34" t="s">
        <v>48</v>
      </c>
      <c r="O24" s="33" t="n">
        <f>1745</f>
        <v>1745.0</v>
      </c>
      <c r="P24" s="34" t="s">
        <v>51</v>
      </c>
      <c r="Q24" s="33" t="n">
        <f>1748</f>
        <v>1748.0</v>
      </c>
      <c r="R24" s="34" t="s">
        <v>51</v>
      </c>
      <c r="S24" s="35" t="n">
        <f>1771.34</f>
        <v>1771.34</v>
      </c>
      <c r="T24" s="32" t="n">
        <f>4584800</f>
        <v>4584800.0</v>
      </c>
      <c r="U24" s="32" t="n">
        <f>1630200</f>
        <v>1630200.0</v>
      </c>
      <c r="V24" s="32" t="n">
        <f>8135696610</f>
        <v>8.13569661E9</v>
      </c>
      <c r="W24" s="32" t="n">
        <f>2893780960</f>
        <v>2.89378096E9</v>
      </c>
      <c r="X24" s="36" t="n">
        <f>19</f>
        <v>19.0</v>
      </c>
    </row>
    <row r="25">
      <c r="A25" s="27" t="s">
        <v>42</v>
      </c>
      <c r="B25" s="27" t="s">
        <v>110</v>
      </c>
      <c r="C25" s="27" t="s">
        <v>111</v>
      </c>
      <c r="D25" s="27" t="s">
        <v>112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40370</f>
        <v>40370.0</v>
      </c>
      <c r="L25" s="34" t="s">
        <v>48</v>
      </c>
      <c r="M25" s="33" t="n">
        <f>41310</f>
        <v>41310.0</v>
      </c>
      <c r="N25" s="34" t="s">
        <v>49</v>
      </c>
      <c r="O25" s="33" t="n">
        <f>36380</f>
        <v>36380.0</v>
      </c>
      <c r="P25" s="34" t="s">
        <v>72</v>
      </c>
      <c r="Q25" s="33" t="n">
        <f>39320</f>
        <v>39320.0</v>
      </c>
      <c r="R25" s="34" t="s">
        <v>51</v>
      </c>
      <c r="S25" s="35" t="n">
        <f>38528.42</f>
        <v>38528.42</v>
      </c>
      <c r="T25" s="32" t="n">
        <f>1070693</f>
        <v>1070693.0</v>
      </c>
      <c r="U25" s="32" t="n">
        <f>454926</f>
        <v>454926.0</v>
      </c>
      <c r="V25" s="32" t="n">
        <f>41631541574</f>
        <v>4.1631541574E10</v>
      </c>
      <c r="W25" s="32" t="n">
        <f>17838880684</f>
        <v>1.7838880684E10</v>
      </c>
      <c r="X25" s="36" t="n">
        <f>19</f>
        <v>19.0</v>
      </c>
    </row>
    <row r="26">
      <c r="A26" s="27" t="s">
        <v>42</v>
      </c>
      <c r="B26" s="27" t="s">
        <v>113</v>
      </c>
      <c r="C26" s="27" t="s">
        <v>114</v>
      </c>
      <c r="D26" s="27" t="s">
        <v>115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2825</f>
        <v>2825.0</v>
      </c>
      <c r="L26" s="34" t="s">
        <v>48</v>
      </c>
      <c r="M26" s="33" t="n">
        <f>2867</f>
        <v>2867.0</v>
      </c>
      <c r="N26" s="34" t="s">
        <v>49</v>
      </c>
      <c r="O26" s="33" t="n">
        <f>2596.5</f>
        <v>2596.5</v>
      </c>
      <c r="P26" s="34" t="s">
        <v>50</v>
      </c>
      <c r="Q26" s="33" t="n">
        <f>2756</f>
        <v>2756.0</v>
      </c>
      <c r="R26" s="34" t="s">
        <v>51</v>
      </c>
      <c r="S26" s="35" t="n">
        <f>2723.42</f>
        <v>2723.42</v>
      </c>
      <c r="T26" s="32" t="n">
        <f>5097000</f>
        <v>5097000.0</v>
      </c>
      <c r="U26" s="32" t="n">
        <f>2335050</f>
        <v>2335050.0</v>
      </c>
      <c r="V26" s="32" t="n">
        <f>13962042934</f>
        <v>1.3962042934E10</v>
      </c>
      <c r="W26" s="32" t="n">
        <f>6384544199</f>
        <v>6.384544199E9</v>
      </c>
      <c r="X26" s="36" t="n">
        <f>19</f>
        <v>19.0</v>
      </c>
    </row>
    <row r="27">
      <c r="A27" s="27" t="s">
        <v>42</v>
      </c>
      <c r="B27" s="27" t="s">
        <v>116</v>
      </c>
      <c r="C27" s="27" t="s">
        <v>117</v>
      </c>
      <c r="D27" s="27" t="s">
        <v>118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16150</f>
        <v>16150.0</v>
      </c>
      <c r="L27" s="34" t="s">
        <v>48</v>
      </c>
      <c r="M27" s="33" t="n">
        <f>17055</f>
        <v>17055.0</v>
      </c>
      <c r="N27" s="34" t="s">
        <v>119</v>
      </c>
      <c r="O27" s="33" t="n">
        <f>15730</f>
        <v>15730.0</v>
      </c>
      <c r="P27" s="34" t="s">
        <v>61</v>
      </c>
      <c r="Q27" s="33" t="n">
        <f>16285</f>
        <v>16285.0</v>
      </c>
      <c r="R27" s="34" t="s">
        <v>51</v>
      </c>
      <c r="S27" s="35" t="n">
        <f>16118.82</f>
        <v>16118.82</v>
      </c>
      <c r="T27" s="32" t="n">
        <f>1334</f>
        <v>1334.0</v>
      </c>
      <c r="U27" s="32" t="str">
        <f>"－"</f>
        <v>－</v>
      </c>
      <c r="V27" s="32" t="n">
        <f>21464125</f>
        <v>2.1464125E7</v>
      </c>
      <c r="W27" s="32" t="str">
        <f>"－"</f>
        <v>－</v>
      </c>
      <c r="X27" s="36" t="n">
        <f>17</f>
        <v>17.0</v>
      </c>
    </row>
    <row r="28">
      <c r="A28" s="27" t="s">
        <v>42</v>
      </c>
      <c r="B28" s="27" t="s">
        <v>120</v>
      </c>
      <c r="C28" s="27" t="s">
        <v>121</v>
      </c>
      <c r="D28" s="27" t="s">
        <v>122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336.5</f>
        <v>336.5</v>
      </c>
      <c r="L28" s="34" t="s">
        <v>48</v>
      </c>
      <c r="M28" s="33" t="n">
        <f>397.5</f>
        <v>397.5</v>
      </c>
      <c r="N28" s="34" t="s">
        <v>50</v>
      </c>
      <c r="O28" s="33" t="n">
        <f>320.8</f>
        <v>320.8</v>
      </c>
      <c r="P28" s="34" t="s">
        <v>49</v>
      </c>
      <c r="Q28" s="33" t="n">
        <f>347.6</f>
        <v>347.6</v>
      </c>
      <c r="R28" s="34" t="s">
        <v>51</v>
      </c>
      <c r="S28" s="35" t="n">
        <f>361.34</f>
        <v>361.34</v>
      </c>
      <c r="T28" s="32" t="n">
        <f>56814360</f>
        <v>5.681436E7</v>
      </c>
      <c r="U28" s="32" t="n">
        <f>1710</f>
        <v>1710.0</v>
      </c>
      <c r="V28" s="32" t="n">
        <f>20502852810</f>
        <v>2.050285281E10</v>
      </c>
      <c r="W28" s="32" t="n">
        <f>613689</f>
        <v>613689.0</v>
      </c>
      <c r="X28" s="36" t="n">
        <f>19</f>
        <v>19.0</v>
      </c>
    </row>
    <row r="29">
      <c r="A29" s="27" t="s">
        <v>42</v>
      </c>
      <c r="B29" s="27" t="s">
        <v>123</v>
      </c>
      <c r="C29" s="27" t="s">
        <v>124</v>
      </c>
      <c r="D29" s="27" t="s">
        <v>125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127</f>
        <v>127.0</v>
      </c>
      <c r="L29" s="34" t="s">
        <v>48</v>
      </c>
      <c r="M29" s="33" t="n">
        <f>155</f>
        <v>155.0</v>
      </c>
      <c r="N29" s="34" t="s">
        <v>72</v>
      </c>
      <c r="O29" s="33" t="n">
        <f>118</f>
        <v>118.0</v>
      </c>
      <c r="P29" s="34" t="s">
        <v>49</v>
      </c>
      <c r="Q29" s="33" t="n">
        <f>130</f>
        <v>130.0</v>
      </c>
      <c r="R29" s="34" t="s">
        <v>51</v>
      </c>
      <c r="S29" s="35" t="n">
        <f>138.16</f>
        <v>138.16</v>
      </c>
      <c r="T29" s="32" t="n">
        <f>1285381547</f>
        <v>1.285381547E9</v>
      </c>
      <c r="U29" s="32" t="n">
        <f>33393054</f>
        <v>3.3393054E7</v>
      </c>
      <c r="V29" s="32" t="n">
        <f>176686320704</f>
        <v>1.76686320704E11</v>
      </c>
      <c r="W29" s="32" t="n">
        <f>4473355789</f>
        <v>4.473355789E9</v>
      </c>
      <c r="X29" s="36" t="n">
        <f>19</f>
        <v>19.0</v>
      </c>
    </row>
    <row r="30">
      <c r="A30" s="27" t="s">
        <v>42</v>
      </c>
      <c r="B30" s="27" t="s">
        <v>126</v>
      </c>
      <c r="C30" s="27" t="s">
        <v>127</v>
      </c>
      <c r="D30" s="27" t="s">
        <v>128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51000</f>
        <v>51000.0</v>
      </c>
      <c r="L30" s="34" t="s">
        <v>48</v>
      </c>
      <c r="M30" s="33" t="n">
        <f>53170</f>
        <v>53170.0</v>
      </c>
      <c r="N30" s="34" t="s">
        <v>49</v>
      </c>
      <c r="O30" s="33" t="n">
        <f>41310</f>
        <v>41310.0</v>
      </c>
      <c r="P30" s="34" t="s">
        <v>72</v>
      </c>
      <c r="Q30" s="33" t="n">
        <f>47870</f>
        <v>47870.0</v>
      </c>
      <c r="R30" s="34" t="s">
        <v>51</v>
      </c>
      <c r="S30" s="35" t="n">
        <f>46334.74</f>
        <v>46334.74</v>
      </c>
      <c r="T30" s="32" t="n">
        <f>322441</f>
        <v>322441.0</v>
      </c>
      <c r="U30" s="32" t="n">
        <f>2</f>
        <v>2.0</v>
      </c>
      <c r="V30" s="32" t="n">
        <f>15051251840</f>
        <v>1.505125184E10</v>
      </c>
      <c r="W30" s="32" t="n">
        <f>99800</f>
        <v>99800.0</v>
      </c>
      <c r="X30" s="36" t="n">
        <f>19</f>
        <v>19.0</v>
      </c>
    </row>
    <row r="31">
      <c r="A31" s="27" t="s">
        <v>42</v>
      </c>
      <c r="B31" s="27" t="s">
        <v>129</v>
      </c>
      <c r="C31" s="27" t="s">
        <v>130</v>
      </c>
      <c r="D31" s="27" t="s">
        <v>131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311.2</f>
        <v>311.2</v>
      </c>
      <c r="L31" s="34" t="s">
        <v>48</v>
      </c>
      <c r="M31" s="33" t="n">
        <f>380.2</f>
        <v>380.2</v>
      </c>
      <c r="N31" s="34" t="s">
        <v>50</v>
      </c>
      <c r="O31" s="33" t="n">
        <f>291.3</f>
        <v>291.3</v>
      </c>
      <c r="P31" s="34" t="s">
        <v>49</v>
      </c>
      <c r="Q31" s="33" t="n">
        <f>318.6</f>
        <v>318.6</v>
      </c>
      <c r="R31" s="34" t="s">
        <v>51</v>
      </c>
      <c r="S31" s="35" t="n">
        <f>339.19</f>
        <v>339.19</v>
      </c>
      <c r="T31" s="32" t="n">
        <f>898755130</f>
        <v>8.9875513E8</v>
      </c>
      <c r="U31" s="32" t="n">
        <f>9392840</f>
        <v>9392840.0</v>
      </c>
      <c r="V31" s="32" t="n">
        <f>304963997445</f>
        <v>3.04963997445E11</v>
      </c>
      <c r="W31" s="32" t="n">
        <f>3211653639</f>
        <v>3.211653639E9</v>
      </c>
      <c r="X31" s="36" t="n">
        <f>19</f>
        <v>19.0</v>
      </c>
    </row>
    <row r="32">
      <c r="A32" s="27" t="s">
        <v>42</v>
      </c>
      <c r="B32" s="27" t="s">
        <v>132</v>
      </c>
      <c r="C32" s="27" t="s">
        <v>133</v>
      </c>
      <c r="D32" s="27" t="s">
        <v>134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25510</f>
        <v>25510.0</v>
      </c>
      <c r="L32" s="34" t="s">
        <v>48</v>
      </c>
      <c r="M32" s="33" t="n">
        <f>26130</f>
        <v>26130.0</v>
      </c>
      <c r="N32" s="34" t="s">
        <v>49</v>
      </c>
      <c r="O32" s="33" t="n">
        <f>23400</f>
        <v>23400.0</v>
      </c>
      <c r="P32" s="34" t="s">
        <v>50</v>
      </c>
      <c r="Q32" s="33" t="n">
        <f>24855</f>
        <v>24855.0</v>
      </c>
      <c r="R32" s="34" t="s">
        <v>51</v>
      </c>
      <c r="S32" s="35" t="n">
        <f>24547.11</f>
        <v>24547.11</v>
      </c>
      <c r="T32" s="32" t="n">
        <f>35432</f>
        <v>35432.0</v>
      </c>
      <c r="U32" s="32" t="n">
        <f>8370</f>
        <v>8370.0</v>
      </c>
      <c r="V32" s="32" t="n">
        <f>865957688</f>
        <v>8.65957688E8</v>
      </c>
      <c r="W32" s="32" t="n">
        <f>199570073</f>
        <v>1.99570073E8</v>
      </c>
      <c r="X32" s="36" t="n">
        <f>19</f>
        <v>19.0</v>
      </c>
    </row>
    <row r="33">
      <c r="A33" s="27" t="s">
        <v>42</v>
      </c>
      <c r="B33" s="27" t="s">
        <v>135</v>
      </c>
      <c r="C33" s="27" t="s">
        <v>136</v>
      </c>
      <c r="D33" s="27" t="s">
        <v>137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41910</f>
        <v>41910.0</v>
      </c>
      <c r="L33" s="34" t="s">
        <v>48</v>
      </c>
      <c r="M33" s="33" t="n">
        <f>43720</f>
        <v>43720.0</v>
      </c>
      <c r="N33" s="34" t="s">
        <v>49</v>
      </c>
      <c r="O33" s="33" t="n">
        <f>33930</f>
        <v>33930.0</v>
      </c>
      <c r="P33" s="34" t="s">
        <v>72</v>
      </c>
      <c r="Q33" s="33" t="n">
        <f>39510</f>
        <v>39510.0</v>
      </c>
      <c r="R33" s="34" t="s">
        <v>51</v>
      </c>
      <c r="S33" s="35" t="n">
        <f>38078.95</f>
        <v>38078.95</v>
      </c>
      <c r="T33" s="32" t="n">
        <f>1225162</f>
        <v>1225162.0</v>
      </c>
      <c r="U33" s="32" t="n">
        <f>21086</f>
        <v>21086.0</v>
      </c>
      <c r="V33" s="32" t="n">
        <f>46735121049</f>
        <v>4.6735121049E10</v>
      </c>
      <c r="W33" s="32" t="n">
        <f>812867809</f>
        <v>8.12867809E8</v>
      </c>
      <c r="X33" s="36" t="n">
        <f>19</f>
        <v>19.0</v>
      </c>
    </row>
    <row r="34">
      <c r="A34" s="27" t="s">
        <v>42</v>
      </c>
      <c r="B34" s="27" t="s">
        <v>138</v>
      </c>
      <c r="C34" s="27" t="s">
        <v>139</v>
      </c>
      <c r="D34" s="27" t="s">
        <v>140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320</f>
        <v>320.0</v>
      </c>
      <c r="L34" s="34" t="s">
        <v>48</v>
      </c>
      <c r="M34" s="33" t="n">
        <f>391</f>
        <v>391.0</v>
      </c>
      <c r="N34" s="34" t="s">
        <v>72</v>
      </c>
      <c r="O34" s="33" t="n">
        <f>299</f>
        <v>299.0</v>
      </c>
      <c r="P34" s="34" t="s">
        <v>49</v>
      </c>
      <c r="Q34" s="33" t="n">
        <f>327</f>
        <v>327.0</v>
      </c>
      <c r="R34" s="34" t="s">
        <v>51</v>
      </c>
      <c r="S34" s="35" t="n">
        <f>348.58</f>
        <v>348.58</v>
      </c>
      <c r="T34" s="32" t="n">
        <f>53338899</f>
        <v>5.3338899E7</v>
      </c>
      <c r="U34" s="32" t="n">
        <f>1042496</f>
        <v>1042496.0</v>
      </c>
      <c r="V34" s="32" t="n">
        <f>18672904118</f>
        <v>1.8672904118E10</v>
      </c>
      <c r="W34" s="32" t="n">
        <f>366029081</f>
        <v>3.66029081E8</v>
      </c>
      <c r="X34" s="36" t="n">
        <f>19</f>
        <v>19.0</v>
      </c>
    </row>
    <row r="35">
      <c r="A35" s="27" t="s">
        <v>42</v>
      </c>
      <c r="B35" s="27" t="s">
        <v>141</v>
      </c>
      <c r="C35" s="27" t="s">
        <v>142</v>
      </c>
      <c r="D35" s="27" t="s">
        <v>143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35950</f>
        <v>35950.0</v>
      </c>
      <c r="L35" s="34" t="s">
        <v>48</v>
      </c>
      <c r="M35" s="33" t="n">
        <f>36980</f>
        <v>36980.0</v>
      </c>
      <c r="N35" s="34" t="s">
        <v>49</v>
      </c>
      <c r="O35" s="33" t="n">
        <f>30060</f>
        <v>30060.0</v>
      </c>
      <c r="P35" s="34" t="s">
        <v>50</v>
      </c>
      <c r="Q35" s="33" t="n">
        <f>34010</f>
        <v>34010.0</v>
      </c>
      <c r="R35" s="34" t="s">
        <v>51</v>
      </c>
      <c r="S35" s="35" t="n">
        <f>33160.53</f>
        <v>33160.53</v>
      </c>
      <c r="T35" s="32" t="n">
        <f>241264</f>
        <v>241264.0</v>
      </c>
      <c r="U35" s="32" t="n">
        <f>5904</f>
        <v>5904.0</v>
      </c>
      <c r="V35" s="32" t="n">
        <f>7940216830</f>
        <v>7.94021683E9</v>
      </c>
      <c r="W35" s="32" t="n">
        <f>195945390</f>
        <v>1.9594539E8</v>
      </c>
      <c r="X35" s="36" t="n">
        <f>19</f>
        <v>19.0</v>
      </c>
    </row>
    <row r="36">
      <c r="A36" s="27" t="s">
        <v>42</v>
      </c>
      <c r="B36" s="27" t="s">
        <v>144</v>
      </c>
      <c r="C36" s="27" t="s">
        <v>145</v>
      </c>
      <c r="D36" s="27" t="s">
        <v>146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486</f>
        <v>486.0</v>
      </c>
      <c r="L36" s="34" t="s">
        <v>48</v>
      </c>
      <c r="M36" s="33" t="n">
        <f>574</f>
        <v>574.0</v>
      </c>
      <c r="N36" s="34" t="s">
        <v>50</v>
      </c>
      <c r="O36" s="33" t="n">
        <f>467</f>
        <v>467.0</v>
      </c>
      <c r="P36" s="34" t="s">
        <v>49</v>
      </c>
      <c r="Q36" s="33" t="n">
        <f>500</f>
        <v>500.0</v>
      </c>
      <c r="R36" s="34" t="s">
        <v>51</v>
      </c>
      <c r="S36" s="35" t="n">
        <f>522.42</f>
        <v>522.42</v>
      </c>
      <c r="T36" s="32" t="n">
        <f>3974062</f>
        <v>3974062.0</v>
      </c>
      <c r="U36" s="32" t="n">
        <f>6966</f>
        <v>6966.0</v>
      </c>
      <c r="V36" s="32" t="n">
        <f>2082216531</f>
        <v>2.082216531E9</v>
      </c>
      <c r="W36" s="32" t="n">
        <f>3668416</f>
        <v>3668416.0</v>
      </c>
      <c r="X36" s="36" t="n">
        <f>19</f>
        <v>19.0</v>
      </c>
    </row>
    <row r="37">
      <c r="A37" s="27" t="s">
        <v>42</v>
      </c>
      <c r="B37" s="27" t="s">
        <v>147</v>
      </c>
      <c r="C37" s="27" t="s">
        <v>148</v>
      </c>
      <c r="D37" s="27" t="s">
        <v>149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39150</f>
        <v>39150.0</v>
      </c>
      <c r="L37" s="34" t="s">
        <v>48</v>
      </c>
      <c r="M37" s="33" t="n">
        <f>40100</f>
        <v>40100.0</v>
      </c>
      <c r="N37" s="34" t="s">
        <v>49</v>
      </c>
      <c r="O37" s="33" t="n">
        <f>35340</f>
        <v>35340.0</v>
      </c>
      <c r="P37" s="34" t="s">
        <v>72</v>
      </c>
      <c r="Q37" s="33" t="n">
        <f>38210</f>
        <v>38210.0</v>
      </c>
      <c r="R37" s="34" t="s">
        <v>51</v>
      </c>
      <c r="S37" s="35" t="n">
        <f>37377.89</f>
        <v>37377.89</v>
      </c>
      <c r="T37" s="32" t="n">
        <f>369917</f>
        <v>369917.0</v>
      </c>
      <c r="U37" s="32" t="n">
        <f>38188</f>
        <v>38188.0</v>
      </c>
      <c r="V37" s="32" t="n">
        <f>13928956742</f>
        <v>1.3928956742E10</v>
      </c>
      <c r="W37" s="32" t="n">
        <f>1512879922</f>
        <v>1.512879922E9</v>
      </c>
      <c r="X37" s="36" t="n">
        <f>19</f>
        <v>19.0</v>
      </c>
    </row>
    <row r="38">
      <c r="A38" s="27" t="s">
        <v>42</v>
      </c>
      <c r="B38" s="27" t="s">
        <v>150</v>
      </c>
      <c r="C38" s="27" t="s">
        <v>151</v>
      </c>
      <c r="D38" s="27" t="s">
        <v>152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39510</f>
        <v>39510.0</v>
      </c>
      <c r="L38" s="34" t="s">
        <v>48</v>
      </c>
      <c r="M38" s="33" t="n">
        <f>40500</f>
        <v>40500.0</v>
      </c>
      <c r="N38" s="34" t="s">
        <v>49</v>
      </c>
      <c r="O38" s="33" t="n">
        <f>35680</f>
        <v>35680.0</v>
      </c>
      <c r="P38" s="34" t="s">
        <v>72</v>
      </c>
      <c r="Q38" s="33" t="n">
        <f>38500</f>
        <v>38500.0</v>
      </c>
      <c r="R38" s="34" t="s">
        <v>51</v>
      </c>
      <c r="S38" s="35" t="n">
        <f>37740.53</f>
        <v>37740.53</v>
      </c>
      <c r="T38" s="32" t="n">
        <f>201784</f>
        <v>201784.0</v>
      </c>
      <c r="U38" s="32" t="n">
        <f>52657</f>
        <v>52657.0</v>
      </c>
      <c r="V38" s="32" t="n">
        <f>7716117114</f>
        <v>7.716117114E9</v>
      </c>
      <c r="W38" s="32" t="n">
        <f>2037836344</f>
        <v>2.037836344E9</v>
      </c>
      <c r="X38" s="36" t="n">
        <f>19</f>
        <v>19.0</v>
      </c>
    </row>
    <row r="39">
      <c r="A39" s="27" t="s">
        <v>42</v>
      </c>
      <c r="B39" s="27" t="s">
        <v>153</v>
      </c>
      <c r="C39" s="27" t="s">
        <v>154</v>
      </c>
      <c r="D39" s="27" t="s">
        <v>155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1830.5</f>
        <v>1830.5</v>
      </c>
      <c r="L39" s="34" t="s">
        <v>48</v>
      </c>
      <c r="M39" s="33" t="n">
        <f>1833.5</f>
        <v>1833.5</v>
      </c>
      <c r="N39" s="34" t="s">
        <v>48</v>
      </c>
      <c r="O39" s="33" t="n">
        <f>1767</f>
        <v>1767.0</v>
      </c>
      <c r="P39" s="34" t="s">
        <v>51</v>
      </c>
      <c r="Q39" s="33" t="n">
        <f>1767.5</f>
        <v>1767.5</v>
      </c>
      <c r="R39" s="34" t="s">
        <v>51</v>
      </c>
      <c r="S39" s="35" t="n">
        <f>1793.71</f>
        <v>1793.71</v>
      </c>
      <c r="T39" s="32" t="n">
        <f>2322700</f>
        <v>2322700.0</v>
      </c>
      <c r="U39" s="32" t="n">
        <f>1052860</f>
        <v>1052860.0</v>
      </c>
      <c r="V39" s="32" t="n">
        <f>4163081576</f>
        <v>4.163081576E9</v>
      </c>
      <c r="W39" s="32" t="n">
        <f>1880918746</f>
        <v>1.880918746E9</v>
      </c>
      <c r="X39" s="36" t="n">
        <f>19</f>
        <v>19.0</v>
      </c>
    </row>
    <row r="40">
      <c r="A40" s="27" t="s">
        <v>42</v>
      </c>
      <c r="B40" s="27" t="s">
        <v>156</v>
      </c>
      <c r="C40" s="27" t="s">
        <v>157</v>
      </c>
      <c r="D40" s="27" t="s">
        <v>158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2259</f>
        <v>2259.0</v>
      </c>
      <c r="L40" s="34" t="s">
        <v>48</v>
      </c>
      <c r="M40" s="33" t="n">
        <f>2278.5</f>
        <v>2278.5</v>
      </c>
      <c r="N40" s="34" t="s">
        <v>49</v>
      </c>
      <c r="O40" s="33" t="n">
        <f>2123.5</f>
        <v>2123.5</v>
      </c>
      <c r="P40" s="34" t="s">
        <v>50</v>
      </c>
      <c r="Q40" s="33" t="n">
        <f>2214.5</f>
        <v>2214.5</v>
      </c>
      <c r="R40" s="34" t="s">
        <v>51</v>
      </c>
      <c r="S40" s="35" t="n">
        <f>2192.06</f>
        <v>2192.06</v>
      </c>
      <c r="T40" s="32" t="n">
        <f>67990</f>
        <v>67990.0</v>
      </c>
      <c r="U40" s="32" t="n">
        <f>45020</f>
        <v>45020.0</v>
      </c>
      <c r="V40" s="32" t="n">
        <f>148711988</f>
        <v>1.48711988E8</v>
      </c>
      <c r="W40" s="32" t="n">
        <f>98682088</f>
        <v>9.8682088E7</v>
      </c>
      <c r="X40" s="36" t="n">
        <f>18</f>
        <v>18.0</v>
      </c>
    </row>
    <row r="41">
      <c r="A41" s="27" t="s">
        <v>42</v>
      </c>
      <c r="B41" s="27" t="s">
        <v>159</v>
      </c>
      <c r="C41" s="27" t="s">
        <v>160</v>
      </c>
      <c r="D41" s="27" t="s">
        <v>161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1941</f>
        <v>1941.0</v>
      </c>
      <c r="L41" s="34" t="s">
        <v>48</v>
      </c>
      <c r="M41" s="33" t="n">
        <f>1947</f>
        <v>1947.0</v>
      </c>
      <c r="N41" s="34" t="s">
        <v>103</v>
      </c>
      <c r="O41" s="33" t="n">
        <f>1911</f>
        <v>1911.0</v>
      </c>
      <c r="P41" s="34" t="s">
        <v>162</v>
      </c>
      <c r="Q41" s="33" t="n">
        <f>1926</f>
        <v>1926.0</v>
      </c>
      <c r="R41" s="34" t="s">
        <v>51</v>
      </c>
      <c r="S41" s="35" t="n">
        <f>1925.58</f>
        <v>1925.58</v>
      </c>
      <c r="T41" s="32" t="n">
        <f>8022</f>
        <v>8022.0</v>
      </c>
      <c r="U41" s="32" t="str">
        <f>"－"</f>
        <v>－</v>
      </c>
      <c r="V41" s="32" t="n">
        <f>15437517</f>
        <v>1.5437517E7</v>
      </c>
      <c r="W41" s="32" t="str">
        <f>"－"</f>
        <v>－</v>
      </c>
      <c r="X41" s="36" t="n">
        <f>19</f>
        <v>19.0</v>
      </c>
    </row>
    <row r="42">
      <c r="A42" s="27" t="s">
        <v>42</v>
      </c>
      <c r="B42" s="27" t="s">
        <v>163</v>
      </c>
      <c r="C42" s="27" t="s">
        <v>164</v>
      </c>
      <c r="D42" s="27" t="s">
        <v>165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2527</f>
        <v>2527.0</v>
      </c>
      <c r="L42" s="34" t="s">
        <v>48</v>
      </c>
      <c r="M42" s="33" t="n">
        <f>2796</f>
        <v>2796.0</v>
      </c>
      <c r="N42" s="34" t="s">
        <v>50</v>
      </c>
      <c r="O42" s="33" t="n">
        <f>2449</f>
        <v>2449.0</v>
      </c>
      <c r="P42" s="34" t="s">
        <v>49</v>
      </c>
      <c r="Q42" s="33" t="n">
        <f>2570</f>
        <v>2570.0</v>
      </c>
      <c r="R42" s="34" t="s">
        <v>51</v>
      </c>
      <c r="S42" s="35" t="n">
        <f>2641.21</f>
        <v>2641.21</v>
      </c>
      <c r="T42" s="32" t="n">
        <f>4661281</f>
        <v>4661281.0</v>
      </c>
      <c r="U42" s="32" t="n">
        <f>952023</f>
        <v>952023.0</v>
      </c>
      <c r="V42" s="32" t="n">
        <f>12285602990</f>
        <v>1.228560299E10</v>
      </c>
      <c r="W42" s="32" t="n">
        <f>2409199053</f>
        <v>2.409199053E9</v>
      </c>
      <c r="X42" s="36" t="n">
        <f>19</f>
        <v>19.0</v>
      </c>
    </row>
    <row r="43">
      <c r="A43" s="27" t="s">
        <v>42</v>
      </c>
      <c r="B43" s="27" t="s">
        <v>166</v>
      </c>
      <c r="C43" s="27" t="s">
        <v>167</v>
      </c>
      <c r="D43" s="27" t="s">
        <v>168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3010</f>
        <v>3010.0</v>
      </c>
      <c r="L43" s="34" t="s">
        <v>48</v>
      </c>
      <c r="M43" s="33" t="n">
        <f>3275</f>
        <v>3275.0</v>
      </c>
      <c r="N43" s="34" t="s">
        <v>50</v>
      </c>
      <c r="O43" s="33" t="n">
        <f>2955</f>
        <v>2955.0</v>
      </c>
      <c r="P43" s="34" t="s">
        <v>49</v>
      </c>
      <c r="Q43" s="33" t="n">
        <f>3065</f>
        <v>3065.0</v>
      </c>
      <c r="R43" s="34" t="s">
        <v>51</v>
      </c>
      <c r="S43" s="35" t="n">
        <f>3122.37</f>
        <v>3122.37</v>
      </c>
      <c r="T43" s="32" t="n">
        <f>314092</f>
        <v>314092.0</v>
      </c>
      <c r="U43" s="32" t="n">
        <f>3931</f>
        <v>3931.0</v>
      </c>
      <c r="V43" s="32" t="n">
        <f>971585890</f>
        <v>9.7158589E8</v>
      </c>
      <c r="W43" s="32" t="n">
        <f>11920193</f>
        <v>1.1920193E7</v>
      </c>
      <c r="X43" s="36" t="n">
        <f>19</f>
        <v>19.0</v>
      </c>
    </row>
    <row r="44">
      <c r="A44" s="27" t="s">
        <v>42</v>
      </c>
      <c r="B44" s="27" t="s">
        <v>169</v>
      </c>
      <c r="C44" s="27" t="s">
        <v>170</v>
      </c>
      <c r="D44" s="27" t="s">
        <v>171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32130</f>
        <v>32130.0</v>
      </c>
      <c r="L44" s="34" t="s">
        <v>48</v>
      </c>
      <c r="M44" s="33" t="n">
        <f>33550</f>
        <v>33550.0</v>
      </c>
      <c r="N44" s="34" t="s">
        <v>49</v>
      </c>
      <c r="O44" s="33" t="n">
        <f>26020</f>
        <v>26020.0</v>
      </c>
      <c r="P44" s="34" t="s">
        <v>72</v>
      </c>
      <c r="Q44" s="33" t="n">
        <f>30420</f>
        <v>30420.0</v>
      </c>
      <c r="R44" s="34" t="s">
        <v>51</v>
      </c>
      <c r="S44" s="35" t="n">
        <f>29190.26</f>
        <v>29190.26</v>
      </c>
      <c r="T44" s="32" t="n">
        <f>7660554</f>
        <v>7660554.0</v>
      </c>
      <c r="U44" s="32" t="n">
        <f>111915</f>
        <v>111915.0</v>
      </c>
      <c r="V44" s="32" t="n">
        <f>223733748526</f>
        <v>2.23733748526E11</v>
      </c>
      <c r="W44" s="32" t="n">
        <f>3269115136</f>
        <v>3.269115136E9</v>
      </c>
      <c r="X44" s="36" t="n">
        <f>19</f>
        <v>19.0</v>
      </c>
    </row>
    <row r="45">
      <c r="A45" s="27" t="s">
        <v>42</v>
      </c>
      <c r="B45" s="27" t="s">
        <v>172</v>
      </c>
      <c r="C45" s="27" t="s">
        <v>173</v>
      </c>
      <c r="D45" s="27" t="s">
        <v>174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510</f>
        <v>510.0</v>
      </c>
      <c r="L45" s="34" t="s">
        <v>48</v>
      </c>
      <c r="M45" s="33" t="n">
        <f>624</f>
        <v>624.0</v>
      </c>
      <c r="N45" s="34" t="s">
        <v>50</v>
      </c>
      <c r="O45" s="33" t="n">
        <f>477</f>
        <v>477.0</v>
      </c>
      <c r="P45" s="34" t="s">
        <v>49</v>
      </c>
      <c r="Q45" s="33" t="n">
        <f>524</f>
        <v>524.0</v>
      </c>
      <c r="R45" s="34" t="s">
        <v>51</v>
      </c>
      <c r="S45" s="35" t="n">
        <f>557.11</f>
        <v>557.11</v>
      </c>
      <c r="T45" s="32" t="n">
        <f>302458366</f>
        <v>3.02458366E8</v>
      </c>
      <c r="U45" s="32" t="n">
        <f>3322204</f>
        <v>3322204.0</v>
      </c>
      <c r="V45" s="32" t="n">
        <f>169028657390</f>
        <v>1.6902865739E11</v>
      </c>
      <c r="W45" s="32" t="n">
        <f>1861048428</f>
        <v>1.861048428E9</v>
      </c>
      <c r="X45" s="36" t="n">
        <f>19</f>
        <v>19.0</v>
      </c>
    </row>
    <row r="46">
      <c r="A46" s="27" t="s">
        <v>42</v>
      </c>
      <c r="B46" s="27" t="s">
        <v>175</v>
      </c>
      <c r="C46" s="27" t="s">
        <v>176</v>
      </c>
      <c r="D46" s="27" t="s">
        <v>177</v>
      </c>
      <c r="E46" s="28" t="s">
        <v>46</v>
      </c>
      <c r="F46" s="29" t="s">
        <v>46</v>
      </c>
      <c r="G46" s="30" t="s">
        <v>46</v>
      </c>
      <c r="H46" s="31" t="s">
        <v>82</v>
      </c>
      <c r="I46" s="31" t="s">
        <v>47</v>
      </c>
      <c r="J46" s="32" t="n">
        <v>1.0</v>
      </c>
      <c r="K46" s="33" t="n">
        <f>29790</f>
        <v>29790.0</v>
      </c>
      <c r="L46" s="34" t="s">
        <v>48</v>
      </c>
      <c r="M46" s="33" t="n">
        <f>30500</f>
        <v>30500.0</v>
      </c>
      <c r="N46" s="34" t="s">
        <v>49</v>
      </c>
      <c r="O46" s="33" t="n">
        <f>24200</f>
        <v>24200.0</v>
      </c>
      <c r="P46" s="34" t="s">
        <v>72</v>
      </c>
      <c r="Q46" s="33" t="n">
        <f>28040</f>
        <v>28040.0</v>
      </c>
      <c r="R46" s="34" t="s">
        <v>51</v>
      </c>
      <c r="S46" s="35" t="n">
        <f>27261.32</f>
        <v>27261.32</v>
      </c>
      <c r="T46" s="32" t="n">
        <f>2807</f>
        <v>2807.0</v>
      </c>
      <c r="U46" s="32" t="str">
        <f>"－"</f>
        <v>－</v>
      </c>
      <c r="V46" s="32" t="n">
        <f>75836010</f>
        <v>7.583601E7</v>
      </c>
      <c r="W46" s="32" t="str">
        <f>"－"</f>
        <v>－</v>
      </c>
      <c r="X46" s="36" t="n">
        <f>19</f>
        <v>19.0</v>
      </c>
    </row>
    <row r="47">
      <c r="A47" s="27" t="s">
        <v>42</v>
      </c>
      <c r="B47" s="27" t="s">
        <v>178</v>
      </c>
      <c r="C47" s="27" t="s">
        <v>179</v>
      </c>
      <c r="D47" s="27" t="s">
        <v>180</v>
      </c>
      <c r="E47" s="28" t="s">
        <v>46</v>
      </c>
      <c r="F47" s="29" t="s">
        <v>46</v>
      </c>
      <c r="G47" s="30" t="s">
        <v>46</v>
      </c>
      <c r="H47" s="31" t="s">
        <v>82</v>
      </c>
      <c r="I47" s="31" t="s">
        <v>47</v>
      </c>
      <c r="J47" s="32" t="n">
        <v>1.0</v>
      </c>
      <c r="K47" s="33" t="n">
        <f>2900</f>
        <v>2900.0</v>
      </c>
      <c r="L47" s="34" t="s">
        <v>48</v>
      </c>
      <c r="M47" s="33" t="n">
        <f>3150</f>
        <v>3150.0</v>
      </c>
      <c r="N47" s="34" t="s">
        <v>72</v>
      </c>
      <c r="O47" s="33" t="n">
        <f>2790</f>
        <v>2790.0</v>
      </c>
      <c r="P47" s="34" t="s">
        <v>49</v>
      </c>
      <c r="Q47" s="33" t="n">
        <f>2900</f>
        <v>2900.0</v>
      </c>
      <c r="R47" s="34" t="s">
        <v>51</v>
      </c>
      <c r="S47" s="35" t="n">
        <f>2960.32</f>
        <v>2960.32</v>
      </c>
      <c r="T47" s="32" t="n">
        <f>10191</f>
        <v>10191.0</v>
      </c>
      <c r="U47" s="32" t="str">
        <f>"－"</f>
        <v>－</v>
      </c>
      <c r="V47" s="32" t="n">
        <f>30406684</f>
        <v>3.0406684E7</v>
      </c>
      <c r="W47" s="32" t="str">
        <f>"－"</f>
        <v>－</v>
      </c>
      <c r="X47" s="36" t="n">
        <f>19</f>
        <v>19.0</v>
      </c>
    </row>
    <row r="48">
      <c r="A48" s="27" t="s">
        <v>42</v>
      </c>
      <c r="B48" s="27" t="s">
        <v>181</v>
      </c>
      <c r="C48" s="27" t="s">
        <v>182</v>
      </c>
      <c r="D48" s="27" t="s">
        <v>183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615</f>
        <v>615.0</v>
      </c>
      <c r="L48" s="34" t="s">
        <v>48</v>
      </c>
      <c r="M48" s="33" t="n">
        <f>735</f>
        <v>735.0</v>
      </c>
      <c r="N48" s="34" t="s">
        <v>72</v>
      </c>
      <c r="O48" s="33" t="n">
        <f>590</f>
        <v>590.0</v>
      </c>
      <c r="P48" s="34" t="s">
        <v>48</v>
      </c>
      <c r="Q48" s="33" t="n">
        <f>628</f>
        <v>628.0</v>
      </c>
      <c r="R48" s="34" t="s">
        <v>51</v>
      </c>
      <c r="S48" s="35" t="n">
        <f>654</f>
        <v>654.0</v>
      </c>
      <c r="T48" s="32" t="n">
        <f>111539</f>
        <v>111539.0</v>
      </c>
      <c r="U48" s="32" t="str">
        <f>"－"</f>
        <v>－</v>
      </c>
      <c r="V48" s="32" t="n">
        <f>73635791</f>
        <v>7.3635791E7</v>
      </c>
      <c r="W48" s="32" t="str">
        <f>"－"</f>
        <v>－</v>
      </c>
      <c r="X48" s="36" t="n">
        <f>19</f>
        <v>19.0</v>
      </c>
    </row>
    <row r="49">
      <c r="A49" s="27" t="s">
        <v>42</v>
      </c>
      <c r="B49" s="27" t="s">
        <v>184</v>
      </c>
      <c r="C49" s="27" t="s">
        <v>185</v>
      </c>
      <c r="D49" s="27" t="s">
        <v>186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610</f>
        <v>610.0</v>
      </c>
      <c r="L49" s="34" t="s">
        <v>48</v>
      </c>
      <c r="M49" s="33" t="n">
        <f>710</f>
        <v>710.0</v>
      </c>
      <c r="N49" s="34" t="s">
        <v>72</v>
      </c>
      <c r="O49" s="33" t="n">
        <f>593</f>
        <v>593.0</v>
      </c>
      <c r="P49" s="34" t="s">
        <v>49</v>
      </c>
      <c r="Q49" s="33" t="n">
        <f>610.3</f>
        <v>610.3</v>
      </c>
      <c r="R49" s="34" t="s">
        <v>51</v>
      </c>
      <c r="S49" s="35" t="n">
        <f>649.67</f>
        <v>649.67</v>
      </c>
      <c r="T49" s="32" t="n">
        <f>230090</f>
        <v>230090.0</v>
      </c>
      <c r="U49" s="32" t="str">
        <f>"－"</f>
        <v>－</v>
      </c>
      <c r="V49" s="32" t="n">
        <f>150767890</f>
        <v>1.5076789E8</v>
      </c>
      <c r="W49" s="32" t="str">
        <f>"－"</f>
        <v>－</v>
      </c>
      <c r="X49" s="36" t="n">
        <f>19</f>
        <v>19.0</v>
      </c>
    </row>
    <row r="50">
      <c r="A50" s="27" t="s">
        <v>42</v>
      </c>
      <c r="B50" s="27" t="s">
        <v>187</v>
      </c>
      <c r="C50" s="27" t="s">
        <v>188</v>
      </c>
      <c r="D50" s="27" t="s">
        <v>189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243</f>
        <v>243.0</v>
      </c>
      <c r="L50" s="34" t="s">
        <v>48</v>
      </c>
      <c r="M50" s="33" t="n">
        <f>308</f>
        <v>308.0</v>
      </c>
      <c r="N50" s="34" t="s">
        <v>50</v>
      </c>
      <c r="O50" s="33" t="n">
        <f>242</f>
        <v>242.0</v>
      </c>
      <c r="P50" s="34" t="s">
        <v>48</v>
      </c>
      <c r="Q50" s="33" t="n">
        <f>266</f>
        <v>266.0</v>
      </c>
      <c r="R50" s="34" t="s">
        <v>51</v>
      </c>
      <c r="S50" s="35" t="n">
        <f>267.84</f>
        <v>267.84</v>
      </c>
      <c r="T50" s="32" t="n">
        <f>373546</f>
        <v>373546.0</v>
      </c>
      <c r="U50" s="32" t="str">
        <f>"－"</f>
        <v>－</v>
      </c>
      <c r="V50" s="32" t="n">
        <f>102809044</f>
        <v>1.02809044E8</v>
      </c>
      <c r="W50" s="32" t="str">
        <f>"－"</f>
        <v>－</v>
      </c>
      <c r="X50" s="36" t="n">
        <f>19</f>
        <v>19.0</v>
      </c>
    </row>
    <row r="51">
      <c r="A51" s="27" t="s">
        <v>42</v>
      </c>
      <c r="B51" s="27" t="s">
        <v>190</v>
      </c>
      <c r="C51" s="27" t="s">
        <v>191</v>
      </c>
      <c r="D51" s="27" t="s">
        <v>192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10.0</v>
      </c>
      <c r="K51" s="33" t="n">
        <f>2760</f>
        <v>2760.0</v>
      </c>
      <c r="L51" s="34" t="s">
        <v>48</v>
      </c>
      <c r="M51" s="33" t="n">
        <f>2807.5</f>
        <v>2807.5</v>
      </c>
      <c r="N51" s="34" t="s">
        <v>49</v>
      </c>
      <c r="O51" s="33" t="n">
        <f>2559.5</f>
        <v>2559.5</v>
      </c>
      <c r="P51" s="34" t="s">
        <v>50</v>
      </c>
      <c r="Q51" s="33" t="n">
        <f>2707</f>
        <v>2707.0</v>
      </c>
      <c r="R51" s="34" t="s">
        <v>51</v>
      </c>
      <c r="S51" s="35" t="n">
        <f>2673.03</f>
        <v>2673.03</v>
      </c>
      <c r="T51" s="32" t="n">
        <f>1578620</f>
        <v>1578620.0</v>
      </c>
      <c r="U51" s="32" t="n">
        <f>1155600</f>
        <v>1155600.0</v>
      </c>
      <c r="V51" s="32" t="n">
        <f>4245955415</f>
        <v>4.245955415E9</v>
      </c>
      <c r="W51" s="32" t="n">
        <f>3114109835</f>
        <v>3.114109835E9</v>
      </c>
      <c r="X51" s="36" t="n">
        <f>19</f>
        <v>19.0</v>
      </c>
    </row>
    <row r="52">
      <c r="A52" s="27" t="s">
        <v>42</v>
      </c>
      <c r="B52" s="27" t="s">
        <v>193</v>
      </c>
      <c r="C52" s="27" t="s">
        <v>194</v>
      </c>
      <c r="D52" s="27" t="s">
        <v>195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25280</f>
        <v>25280.0</v>
      </c>
      <c r="L52" s="34" t="s">
        <v>48</v>
      </c>
      <c r="M52" s="33" t="n">
        <f>25540</f>
        <v>25540.0</v>
      </c>
      <c r="N52" s="34" t="s">
        <v>49</v>
      </c>
      <c r="O52" s="33" t="n">
        <f>23180</f>
        <v>23180.0</v>
      </c>
      <c r="P52" s="34" t="s">
        <v>50</v>
      </c>
      <c r="Q52" s="33" t="n">
        <f>24610</f>
        <v>24610.0</v>
      </c>
      <c r="R52" s="34" t="s">
        <v>51</v>
      </c>
      <c r="S52" s="35" t="n">
        <f>24301.58</f>
        <v>24301.58</v>
      </c>
      <c r="T52" s="32" t="n">
        <f>99590</f>
        <v>99590.0</v>
      </c>
      <c r="U52" s="32" t="n">
        <f>91456</f>
        <v>91456.0</v>
      </c>
      <c r="V52" s="32" t="n">
        <f>2428777649</f>
        <v>2.428777649E9</v>
      </c>
      <c r="W52" s="32" t="n">
        <f>2230690354</f>
        <v>2.230690354E9</v>
      </c>
      <c r="X52" s="36" t="n">
        <f>19</f>
        <v>19.0</v>
      </c>
    </row>
    <row r="53">
      <c r="A53" s="27" t="s">
        <v>42</v>
      </c>
      <c r="B53" s="27" t="s">
        <v>196</v>
      </c>
      <c r="C53" s="27" t="s">
        <v>197</v>
      </c>
      <c r="D53" s="27" t="s">
        <v>198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10.0</v>
      </c>
      <c r="K53" s="33" t="n">
        <f>279.7</f>
        <v>279.7</v>
      </c>
      <c r="L53" s="34" t="s">
        <v>48</v>
      </c>
      <c r="M53" s="33" t="n">
        <f>283.3</f>
        <v>283.3</v>
      </c>
      <c r="N53" s="34" t="s">
        <v>49</v>
      </c>
      <c r="O53" s="33" t="n">
        <f>256.3</f>
        <v>256.3</v>
      </c>
      <c r="P53" s="34" t="s">
        <v>50</v>
      </c>
      <c r="Q53" s="33" t="n">
        <f>274</f>
        <v>274.0</v>
      </c>
      <c r="R53" s="34" t="s">
        <v>51</v>
      </c>
      <c r="S53" s="35" t="n">
        <f>269.15</f>
        <v>269.15</v>
      </c>
      <c r="T53" s="32" t="n">
        <f>141373610</f>
        <v>1.4137361E8</v>
      </c>
      <c r="U53" s="32" t="n">
        <f>83763220</f>
        <v>8.376322E7</v>
      </c>
      <c r="V53" s="32" t="n">
        <f>38095788978</f>
        <v>3.8095788978E10</v>
      </c>
      <c r="W53" s="32" t="n">
        <f>22569357690</f>
        <v>2.256935769E10</v>
      </c>
      <c r="X53" s="36" t="n">
        <f>19</f>
        <v>19.0</v>
      </c>
    </row>
    <row r="54">
      <c r="A54" s="27" t="s">
        <v>42</v>
      </c>
      <c r="B54" s="27" t="s">
        <v>199</v>
      </c>
      <c r="C54" s="27" t="s">
        <v>200</v>
      </c>
      <c r="D54" s="27" t="s">
        <v>201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1821</f>
        <v>1821.0</v>
      </c>
      <c r="L54" s="34" t="s">
        <v>48</v>
      </c>
      <c r="M54" s="33" t="n">
        <f>1829</f>
        <v>1829.0</v>
      </c>
      <c r="N54" s="34" t="s">
        <v>48</v>
      </c>
      <c r="O54" s="33" t="n">
        <f>1788</f>
        <v>1788.0</v>
      </c>
      <c r="P54" s="34" t="s">
        <v>51</v>
      </c>
      <c r="Q54" s="33" t="n">
        <f>1788</f>
        <v>1788.0</v>
      </c>
      <c r="R54" s="34" t="s">
        <v>51</v>
      </c>
      <c r="S54" s="35" t="n">
        <f>1809.74</f>
        <v>1809.74</v>
      </c>
      <c r="T54" s="32" t="n">
        <f>20271089</f>
        <v>2.0271089E7</v>
      </c>
      <c r="U54" s="32" t="n">
        <f>8929809</f>
        <v>8929809.0</v>
      </c>
      <c r="V54" s="32" t="n">
        <f>36776051493</f>
        <v>3.6776051493E10</v>
      </c>
      <c r="W54" s="32" t="n">
        <f>16193834967</f>
        <v>1.6193834967E10</v>
      </c>
      <c r="X54" s="36" t="n">
        <f>19</f>
        <v>19.0</v>
      </c>
    </row>
    <row r="55">
      <c r="A55" s="27" t="s">
        <v>42</v>
      </c>
      <c r="B55" s="27" t="s">
        <v>202</v>
      </c>
      <c r="C55" s="27" t="s">
        <v>203</v>
      </c>
      <c r="D55" s="27" t="s">
        <v>204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2527</f>
        <v>2527.0</v>
      </c>
      <c r="L55" s="34" t="s">
        <v>48</v>
      </c>
      <c r="M55" s="33" t="n">
        <f>2610</f>
        <v>2610.0</v>
      </c>
      <c r="N55" s="34" t="s">
        <v>119</v>
      </c>
      <c r="O55" s="33" t="n">
        <f>2448</f>
        <v>2448.0</v>
      </c>
      <c r="P55" s="34" t="s">
        <v>50</v>
      </c>
      <c r="Q55" s="33" t="n">
        <f>2536</f>
        <v>2536.0</v>
      </c>
      <c r="R55" s="34" t="s">
        <v>51</v>
      </c>
      <c r="S55" s="35" t="n">
        <f>2531.89</f>
        <v>2531.89</v>
      </c>
      <c r="T55" s="32" t="n">
        <f>18069</f>
        <v>18069.0</v>
      </c>
      <c r="U55" s="32" t="n">
        <f>2</f>
        <v>2.0</v>
      </c>
      <c r="V55" s="32" t="n">
        <f>45668062</f>
        <v>4.5668062E7</v>
      </c>
      <c r="W55" s="32" t="n">
        <f>4952</f>
        <v>4952.0</v>
      </c>
      <c r="X55" s="36" t="n">
        <f>19</f>
        <v>19.0</v>
      </c>
    </row>
    <row r="56">
      <c r="A56" s="27" t="s">
        <v>42</v>
      </c>
      <c r="B56" s="27" t="s">
        <v>205</v>
      </c>
      <c r="C56" s="27" t="s">
        <v>206</v>
      </c>
      <c r="D56" s="27" t="s">
        <v>207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3670</f>
        <v>3670.0</v>
      </c>
      <c r="L56" s="34" t="s">
        <v>48</v>
      </c>
      <c r="M56" s="33" t="n">
        <f>3800</f>
        <v>3800.0</v>
      </c>
      <c r="N56" s="34" t="s">
        <v>49</v>
      </c>
      <c r="O56" s="33" t="n">
        <f>3410</f>
        <v>3410.0</v>
      </c>
      <c r="P56" s="34" t="s">
        <v>50</v>
      </c>
      <c r="Q56" s="33" t="n">
        <f>3575</f>
        <v>3575.0</v>
      </c>
      <c r="R56" s="34" t="s">
        <v>51</v>
      </c>
      <c r="S56" s="35" t="n">
        <f>3556.84</f>
        <v>3556.84</v>
      </c>
      <c r="T56" s="32" t="n">
        <f>618626</f>
        <v>618626.0</v>
      </c>
      <c r="U56" s="32" t="n">
        <f>182455</f>
        <v>182455.0</v>
      </c>
      <c r="V56" s="32" t="n">
        <f>2210819592</f>
        <v>2.210819592E9</v>
      </c>
      <c r="W56" s="32" t="n">
        <f>651047137</f>
        <v>6.51047137E8</v>
      </c>
      <c r="X56" s="36" t="n">
        <f>19</f>
        <v>19.0</v>
      </c>
    </row>
    <row r="57">
      <c r="A57" s="27" t="s">
        <v>42</v>
      </c>
      <c r="B57" s="27" t="s">
        <v>208</v>
      </c>
      <c r="C57" s="27" t="s">
        <v>209</v>
      </c>
      <c r="D57" s="27" t="s">
        <v>210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35860</f>
        <v>35860.0</v>
      </c>
      <c r="L57" s="34" t="s">
        <v>48</v>
      </c>
      <c r="M57" s="33" t="n">
        <f>35930</f>
        <v>35930.0</v>
      </c>
      <c r="N57" s="34" t="s">
        <v>103</v>
      </c>
      <c r="O57" s="33" t="n">
        <f>35860</f>
        <v>35860.0</v>
      </c>
      <c r="P57" s="34" t="s">
        <v>48</v>
      </c>
      <c r="Q57" s="33" t="n">
        <f>35930</f>
        <v>35930.0</v>
      </c>
      <c r="R57" s="34" t="s">
        <v>103</v>
      </c>
      <c r="S57" s="35" t="n">
        <f>35895</f>
        <v>35895.0</v>
      </c>
      <c r="T57" s="32" t="n">
        <f>12</f>
        <v>12.0</v>
      </c>
      <c r="U57" s="32" t="str">
        <f>"－"</f>
        <v>－</v>
      </c>
      <c r="V57" s="32" t="n">
        <f>431090</f>
        <v>431090.0</v>
      </c>
      <c r="W57" s="32" t="str">
        <f>"－"</f>
        <v>－</v>
      </c>
      <c r="X57" s="36" t="n">
        <f>2</f>
        <v>2.0</v>
      </c>
    </row>
    <row r="58">
      <c r="A58" s="27" t="s">
        <v>42</v>
      </c>
      <c r="B58" s="27" t="s">
        <v>211</v>
      </c>
      <c r="C58" s="27" t="s">
        <v>212</v>
      </c>
      <c r="D58" s="27" t="s">
        <v>213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27500</f>
        <v>27500.0</v>
      </c>
      <c r="L58" s="34" t="s">
        <v>48</v>
      </c>
      <c r="M58" s="33" t="n">
        <f>27865</f>
        <v>27865.0</v>
      </c>
      <c r="N58" s="34" t="s">
        <v>49</v>
      </c>
      <c r="O58" s="33" t="n">
        <f>25565</f>
        <v>25565.0</v>
      </c>
      <c r="P58" s="34" t="s">
        <v>72</v>
      </c>
      <c r="Q58" s="33" t="n">
        <f>27865</f>
        <v>27865.0</v>
      </c>
      <c r="R58" s="34" t="s">
        <v>49</v>
      </c>
      <c r="S58" s="35" t="n">
        <f>26826.43</f>
        <v>26826.43</v>
      </c>
      <c r="T58" s="32" t="n">
        <f>237</f>
        <v>237.0</v>
      </c>
      <c r="U58" s="32" t="str">
        <f>"－"</f>
        <v>－</v>
      </c>
      <c r="V58" s="32" t="n">
        <f>6378795</f>
        <v>6378795.0</v>
      </c>
      <c r="W58" s="32" t="str">
        <f>"－"</f>
        <v>－</v>
      </c>
      <c r="X58" s="36" t="n">
        <f>7</f>
        <v>7.0</v>
      </c>
    </row>
    <row r="59">
      <c r="A59" s="27" t="s">
        <v>42</v>
      </c>
      <c r="B59" s="27" t="s">
        <v>214</v>
      </c>
      <c r="C59" s="27" t="s">
        <v>215</v>
      </c>
      <c r="D59" s="27" t="s">
        <v>216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2890</f>
        <v>2890.0</v>
      </c>
      <c r="L59" s="34" t="s">
        <v>48</v>
      </c>
      <c r="M59" s="33" t="n">
        <f>2954</f>
        <v>2954.0</v>
      </c>
      <c r="N59" s="34" t="s">
        <v>119</v>
      </c>
      <c r="O59" s="33" t="n">
        <f>2698</f>
        <v>2698.0</v>
      </c>
      <c r="P59" s="34" t="s">
        <v>50</v>
      </c>
      <c r="Q59" s="33" t="n">
        <f>2800</f>
        <v>2800.0</v>
      </c>
      <c r="R59" s="34" t="s">
        <v>51</v>
      </c>
      <c r="S59" s="35" t="n">
        <f>2803.11</f>
        <v>2803.11</v>
      </c>
      <c r="T59" s="32" t="n">
        <f>2090</f>
        <v>2090.0</v>
      </c>
      <c r="U59" s="32" t="str">
        <f>"－"</f>
        <v>－</v>
      </c>
      <c r="V59" s="32" t="n">
        <f>5855527</f>
        <v>5855527.0</v>
      </c>
      <c r="W59" s="32" t="str">
        <f>"－"</f>
        <v>－</v>
      </c>
      <c r="X59" s="36" t="n">
        <f>19</f>
        <v>19.0</v>
      </c>
    </row>
    <row r="60">
      <c r="A60" s="27" t="s">
        <v>42</v>
      </c>
      <c r="B60" s="27" t="s">
        <v>217</v>
      </c>
      <c r="C60" s="27" t="s">
        <v>218</v>
      </c>
      <c r="D60" s="27" t="s">
        <v>219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1753</f>
        <v>1753.0</v>
      </c>
      <c r="L60" s="34" t="s">
        <v>48</v>
      </c>
      <c r="M60" s="33" t="n">
        <f>1791</f>
        <v>1791.0</v>
      </c>
      <c r="N60" s="34" t="s">
        <v>50</v>
      </c>
      <c r="O60" s="33" t="n">
        <f>1750</f>
        <v>1750.0</v>
      </c>
      <c r="P60" s="34" t="s">
        <v>48</v>
      </c>
      <c r="Q60" s="33" t="n">
        <f>1770</f>
        <v>1770.0</v>
      </c>
      <c r="R60" s="34" t="s">
        <v>51</v>
      </c>
      <c r="S60" s="35" t="n">
        <f>1773.84</f>
        <v>1773.84</v>
      </c>
      <c r="T60" s="32" t="n">
        <f>10815694</f>
        <v>1.0815694E7</v>
      </c>
      <c r="U60" s="32" t="n">
        <f>8310387</f>
        <v>8310387.0</v>
      </c>
      <c r="V60" s="32" t="n">
        <f>19154068186</f>
        <v>1.9154068186E10</v>
      </c>
      <c r="W60" s="32" t="n">
        <f>14714937390</f>
        <v>1.471493739E10</v>
      </c>
      <c r="X60" s="36" t="n">
        <f>19</f>
        <v>19.0</v>
      </c>
    </row>
    <row r="61">
      <c r="A61" s="27" t="s">
        <v>42</v>
      </c>
      <c r="B61" s="27" t="s">
        <v>220</v>
      </c>
      <c r="C61" s="27" t="s">
        <v>221</v>
      </c>
      <c r="D61" s="27" t="s">
        <v>222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2785</f>
        <v>2785.0</v>
      </c>
      <c r="L61" s="34" t="s">
        <v>48</v>
      </c>
      <c r="M61" s="33" t="n">
        <f>2850</f>
        <v>2850.0</v>
      </c>
      <c r="N61" s="34" t="s">
        <v>103</v>
      </c>
      <c r="O61" s="33" t="n">
        <f>2634</f>
        <v>2634.0</v>
      </c>
      <c r="P61" s="34" t="s">
        <v>50</v>
      </c>
      <c r="Q61" s="33" t="n">
        <f>2797</f>
        <v>2797.0</v>
      </c>
      <c r="R61" s="34" t="s">
        <v>51</v>
      </c>
      <c r="S61" s="35" t="n">
        <f>2723.72</f>
        <v>2723.72</v>
      </c>
      <c r="T61" s="32" t="n">
        <f>804</f>
        <v>804.0</v>
      </c>
      <c r="U61" s="32" t="str">
        <f>"－"</f>
        <v>－</v>
      </c>
      <c r="V61" s="32" t="n">
        <f>2234701</f>
        <v>2234701.0</v>
      </c>
      <c r="W61" s="32" t="str">
        <f>"－"</f>
        <v>－</v>
      </c>
      <c r="X61" s="36" t="n">
        <f>18</f>
        <v>18.0</v>
      </c>
    </row>
    <row r="62">
      <c r="A62" s="27" t="s">
        <v>42</v>
      </c>
      <c r="B62" s="27" t="s">
        <v>223</v>
      </c>
      <c r="C62" s="27" t="s">
        <v>224</v>
      </c>
      <c r="D62" s="27" t="s">
        <v>225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10.0</v>
      </c>
      <c r="K62" s="33" t="n">
        <f>2831</f>
        <v>2831.0</v>
      </c>
      <c r="L62" s="34" t="s">
        <v>48</v>
      </c>
      <c r="M62" s="33" t="n">
        <f>2952.5</f>
        <v>2952.5</v>
      </c>
      <c r="N62" s="34" t="s">
        <v>226</v>
      </c>
      <c r="O62" s="33" t="n">
        <f>2635</f>
        <v>2635.0</v>
      </c>
      <c r="P62" s="34" t="s">
        <v>61</v>
      </c>
      <c r="Q62" s="33" t="n">
        <f>2759.5</f>
        <v>2759.5</v>
      </c>
      <c r="R62" s="34" t="s">
        <v>51</v>
      </c>
      <c r="S62" s="35" t="n">
        <f>2752.72</f>
        <v>2752.72</v>
      </c>
      <c r="T62" s="32" t="n">
        <f>24130</f>
        <v>24130.0</v>
      </c>
      <c r="U62" s="32" t="str">
        <f>"－"</f>
        <v>－</v>
      </c>
      <c r="V62" s="32" t="n">
        <f>66517050</f>
        <v>6.651705E7</v>
      </c>
      <c r="W62" s="32" t="str">
        <f>"－"</f>
        <v>－</v>
      </c>
      <c r="X62" s="36" t="n">
        <f>18</f>
        <v>18.0</v>
      </c>
    </row>
    <row r="63">
      <c r="A63" s="27" t="s">
        <v>42</v>
      </c>
      <c r="B63" s="27" t="s">
        <v>227</v>
      </c>
      <c r="C63" s="27" t="s">
        <v>228</v>
      </c>
      <c r="D63" s="27" t="s">
        <v>229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45450</f>
        <v>45450.0</v>
      </c>
      <c r="L63" s="34" t="s">
        <v>48</v>
      </c>
      <c r="M63" s="33" t="n">
        <f>52450</f>
        <v>52450.0</v>
      </c>
      <c r="N63" s="34" t="s">
        <v>103</v>
      </c>
      <c r="O63" s="33" t="n">
        <f>40710</f>
        <v>40710.0</v>
      </c>
      <c r="P63" s="34" t="s">
        <v>103</v>
      </c>
      <c r="Q63" s="33" t="n">
        <f>45820</f>
        <v>45820.0</v>
      </c>
      <c r="R63" s="34" t="s">
        <v>230</v>
      </c>
      <c r="S63" s="35" t="n">
        <f>46790</f>
        <v>46790.0</v>
      </c>
      <c r="T63" s="32" t="n">
        <f>27</f>
        <v>27.0</v>
      </c>
      <c r="U63" s="32" t="str">
        <f>"－"</f>
        <v>－</v>
      </c>
      <c r="V63" s="32" t="n">
        <f>1260050</f>
        <v>1260050.0</v>
      </c>
      <c r="W63" s="32" t="str">
        <f>"－"</f>
        <v>－</v>
      </c>
      <c r="X63" s="36" t="n">
        <f>5</f>
        <v>5.0</v>
      </c>
    </row>
    <row r="64">
      <c r="A64" s="27" t="s">
        <v>42</v>
      </c>
      <c r="B64" s="27" t="s">
        <v>231</v>
      </c>
      <c r="C64" s="27" t="s">
        <v>232</v>
      </c>
      <c r="D64" s="27" t="s">
        <v>233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23285</f>
        <v>23285.0</v>
      </c>
      <c r="L64" s="34" t="s">
        <v>48</v>
      </c>
      <c r="M64" s="33" t="n">
        <f>23600</f>
        <v>23600.0</v>
      </c>
      <c r="N64" s="34" t="s">
        <v>49</v>
      </c>
      <c r="O64" s="33" t="n">
        <f>22875</f>
        <v>22875.0</v>
      </c>
      <c r="P64" s="34" t="s">
        <v>61</v>
      </c>
      <c r="Q64" s="33" t="n">
        <f>22935</f>
        <v>22935.0</v>
      </c>
      <c r="R64" s="34" t="s">
        <v>51</v>
      </c>
      <c r="S64" s="35" t="n">
        <f>23161.05</f>
        <v>23161.05</v>
      </c>
      <c r="T64" s="32" t="n">
        <f>53285</f>
        <v>53285.0</v>
      </c>
      <c r="U64" s="32" t="n">
        <f>2000</f>
        <v>2000.0</v>
      </c>
      <c r="V64" s="32" t="n">
        <f>1239177225</f>
        <v>1.239177225E9</v>
      </c>
      <c r="W64" s="32" t="n">
        <f>46353000</f>
        <v>4.6353E7</v>
      </c>
      <c r="X64" s="36" t="n">
        <f>19</f>
        <v>19.0</v>
      </c>
    </row>
    <row r="65">
      <c r="A65" s="27" t="s">
        <v>42</v>
      </c>
      <c r="B65" s="27" t="s">
        <v>234</v>
      </c>
      <c r="C65" s="27" t="s">
        <v>235</v>
      </c>
      <c r="D65" s="27" t="s">
        <v>236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13470</f>
        <v>13470.0</v>
      </c>
      <c r="L65" s="34" t="s">
        <v>48</v>
      </c>
      <c r="M65" s="33" t="n">
        <f>13735</f>
        <v>13735.0</v>
      </c>
      <c r="N65" s="34" t="s">
        <v>50</v>
      </c>
      <c r="O65" s="33" t="n">
        <f>13435</f>
        <v>13435.0</v>
      </c>
      <c r="P65" s="34" t="s">
        <v>48</v>
      </c>
      <c r="Q65" s="33" t="n">
        <f>13600</f>
        <v>13600.0</v>
      </c>
      <c r="R65" s="34" t="s">
        <v>51</v>
      </c>
      <c r="S65" s="35" t="n">
        <f>13608.42</f>
        <v>13608.42</v>
      </c>
      <c r="T65" s="32" t="n">
        <f>594014</f>
        <v>594014.0</v>
      </c>
      <c r="U65" s="32" t="n">
        <f>468443</f>
        <v>468443.0</v>
      </c>
      <c r="V65" s="32" t="n">
        <f>8051025565</f>
        <v>8.051025565E9</v>
      </c>
      <c r="W65" s="32" t="n">
        <f>6350434435</f>
        <v>6.350434435E9</v>
      </c>
      <c r="X65" s="36" t="n">
        <f>19</f>
        <v>19.0</v>
      </c>
    </row>
    <row r="66">
      <c r="A66" s="27" t="s">
        <v>42</v>
      </c>
      <c r="B66" s="27" t="s">
        <v>237</v>
      </c>
      <c r="C66" s="27" t="s">
        <v>238</v>
      </c>
      <c r="D66" s="27" t="s">
        <v>239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1.0</v>
      </c>
      <c r="K66" s="33" t="n">
        <f>1841</f>
        <v>1841.0</v>
      </c>
      <c r="L66" s="34" t="s">
        <v>48</v>
      </c>
      <c r="M66" s="33" t="n">
        <f>1846</f>
        <v>1846.0</v>
      </c>
      <c r="N66" s="34" t="s">
        <v>48</v>
      </c>
      <c r="O66" s="33" t="n">
        <f>1775</f>
        <v>1775.0</v>
      </c>
      <c r="P66" s="34" t="s">
        <v>51</v>
      </c>
      <c r="Q66" s="33" t="n">
        <f>1776</f>
        <v>1776.0</v>
      </c>
      <c r="R66" s="34" t="s">
        <v>51</v>
      </c>
      <c r="S66" s="35" t="n">
        <f>1801.32</f>
        <v>1801.32</v>
      </c>
      <c r="T66" s="32" t="n">
        <f>1217321</f>
        <v>1217321.0</v>
      </c>
      <c r="U66" s="32" t="n">
        <f>366110</f>
        <v>366110.0</v>
      </c>
      <c r="V66" s="32" t="n">
        <f>2191572746</f>
        <v>2.191572746E9</v>
      </c>
      <c r="W66" s="32" t="n">
        <f>657114779</f>
        <v>6.57114779E8</v>
      </c>
      <c r="X66" s="36" t="n">
        <f>19</f>
        <v>19.0</v>
      </c>
    </row>
    <row r="67">
      <c r="A67" s="27" t="s">
        <v>42</v>
      </c>
      <c r="B67" s="27" t="s">
        <v>240</v>
      </c>
      <c r="C67" s="27" t="s">
        <v>241</v>
      </c>
      <c r="D67" s="27" t="s">
        <v>242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2308</f>
        <v>2308.0</v>
      </c>
      <c r="L67" s="34" t="s">
        <v>48</v>
      </c>
      <c r="M67" s="33" t="n">
        <f>2325</f>
        <v>2325.0</v>
      </c>
      <c r="N67" s="34" t="s">
        <v>103</v>
      </c>
      <c r="O67" s="33" t="n">
        <f>2116</f>
        <v>2116.0</v>
      </c>
      <c r="P67" s="34" t="s">
        <v>50</v>
      </c>
      <c r="Q67" s="33" t="n">
        <f>2248</f>
        <v>2248.0</v>
      </c>
      <c r="R67" s="34" t="s">
        <v>51</v>
      </c>
      <c r="S67" s="35" t="n">
        <f>2221.32</f>
        <v>2221.32</v>
      </c>
      <c r="T67" s="32" t="n">
        <f>17626743</f>
        <v>1.7626743E7</v>
      </c>
      <c r="U67" s="32" t="n">
        <f>2545133</f>
        <v>2545133.0</v>
      </c>
      <c r="V67" s="32" t="n">
        <f>39215315747</f>
        <v>3.9215315747E10</v>
      </c>
      <c r="W67" s="32" t="n">
        <f>5646998930</f>
        <v>5.64699893E9</v>
      </c>
      <c r="X67" s="36" t="n">
        <f>19</f>
        <v>19.0</v>
      </c>
    </row>
    <row r="68">
      <c r="A68" s="27" t="s">
        <v>42</v>
      </c>
      <c r="B68" s="27" t="s">
        <v>243</v>
      </c>
      <c r="C68" s="27" t="s">
        <v>244</v>
      </c>
      <c r="D68" s="27" t="s">
        <v>245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10.0</v>
      </c>
      <c r="K68" s="33" t="n">
        <f>7695</f>
        <v>7695.0</v>
      </c>
      <c r="L68" s="34" t="s">
        <v>72</v>
      </c>
      <c r="M68" s="33" t="n">
        <f>7695</f>
        <v>7695.0</v>
      </c>
      <c r="N68" s="34" t="s">
        <v>72</v>
      </c>
      <c r="O68" s="33" t="n">
        <f>7695</f>
        <v>7695.0</v>
      </c>
      <c r="P68" s="34" t="s">
        <v>72</v>
      </c>
      <c r="Q68" s="33" t="n">
        <f>7695</f>
        <v>7695.0</v>
      </c>
      <c r="R68" s="34" t="s">
        <v>72</v>
      </c>
      <c r="S68" s="35" t="n">
        <f>7695</f>
        <v>7695.0</v>
      </c>
      <c r="T68" s="32" t="n">
        <f>30</f>
        <v>30.0</v>
      </c>
      <c r="U68" s="32" t="str">
        <f>"－"</f>
        <v>－</v>
      </c>
      <c r="V68" s="32" t="n">
        <f>230850</f>
        <v>230850.0</v>
      </c>
      <c r="W68" s="32" t="str">
        <f>"－"</f>
        <v>－</v>
      </c>
      <c r="X68" s="36" t="n">
        <f>1</f>
        <v>1.0</v>
      </c>
    </row>
    <row r="69">
      <c r="A69" s="27" t="s">
        <v>42</v>
      </c>
      <c r="B69" s="27" t="s">
        <v>246</v>
      </c>
      <c r="C69" s="27" t="s">
        <v>247</v>
      </c>
      <c r="D69" s="27" t="s">
        <v>248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19565</f>
        <v>19565.0</v>
      </c>
      <c r="L69" s="34" t="s">
        <v>48</v>
      </c>
      <c r="M69" s="33" t="n">
        <f>20500</f>
        <v>20500.0</v>
      </c>
      <c r="N69" s="34" t="s">
        <v>49</v>
      </c>
      <c r="O69" s="33" t="n">
        <f>18115</f>
        <v>18115.0</v>
      </c>
      <c r="P69" s="34" t="s">
        <v>72</v>
      </c>
      <c r="Q69" s="33" t="n">
        <f>19520</f>
        <v>19520.0</v>
      </c>
      <c r="R69" s="34" t="s">
        <v>51</v>
      </c>
      <c r="S69" s="35" t="n">
        <f>19027.37</f>
        <v>19027.37</v>
      </c>
      <c r="T69" s="32" t="n">
        <f>4005</f>
        <v>4005.0</v>
      </c>
      <c r="U69" s="32" t="str">
        <f>"－"</f>
        <v>－</v>
      </c>
      <c r="V69" s="32" t="n">
        <f>75423660</f>
        <v>7.542366E7</v>
      </c>
      <c r="W69" s="32" t="str">
        <f>"－"</f>
        <v>－</v>
      </c>
      <c r="X69" s="36" t="n">
        <f>19</f>
        <v>19.0</v>
      </c>
    </row>
    <row r="70">
      <c r="A70" s="27" t="s">
        <v>42</v>
      </c>
      <c r="B70" s="27" t="s">
        <v>249</v>
      </c>
      <c r="C70" s="27" t="s">
        <v>250</v>
      </c>
      <c r="D70" s="27" t="s">
        <v>251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30500</f>
        <v>30500.0</v>
      </c>
      <c r="L70" s="34" t="s">
        <v>48</v>
      </c>
      <c r="M70" s="33" t="n">
        <f>31030</f>
        <v>31030.0</v>
      </c>
      <c r="N70" s="34" t="s">
        <v>49</v>
      </c>
      <c r="O70" s="33" t="n">
        <f>29250</f>
        <v>29250.0</v>
      </c>
      <c r="P70" s="34" t="s">
        <v>50</v>
      </c>
      <c r="Q70" s="33" t="n">
        <f>30510</f>
        <v>30510.0</v>
      </c>
      <c r="R70" s="34" t="s">
        <v>51</v>
      </c>
      <c r="S70" s="35" t="n">
        <f>30110.53</f>
        <v>30110.53</v>
      </c>
      <c r="T70" s="32" t="n">
        <f>43016</f>
        <v>43016.0</v>
      </c>
      <c r="U70" s="32" t="n">
        <f>27130</f>
        <v>27130.0</v>
      </c>
      <c r="V70" s="32" t="n">
        <f>1294307443</f>
        <v>1.294307443E9</v>
      </c>
      <c r="W70" s="32" t="n">
        <f>816003818</f>
        <v>8.16003818E8</v>
      </c>
      <c r="X70" s="36" t="n">
        <f>19</f>
        <v>19.0</v>
      </c>
    </row>
    <row r="71">
      <c r="A71" s="27" t="s">
        <v>42</v>
      </c>
      <c r="B71" s="27" t="s">
        <v>252</v>
      </c>
      <c r="C71" s="27" t="s">
        <v>253</v>
      </c>
      <c r="D71" s="27" t="s">
        <v>254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10.0</v>
      </c>
      <c r="K71" s="33" t="n">
        <f>10400</f>
        <v>10400.0</v>
      </c>
      <c r="L71" s="34" t="s">
        <v>48</v>
      </c>
      <c r="M71" s="33" t="n">
        <f>12000</f>
        <v>12000.0</v>
      </c>
      <c r="N71" s="34" t="s">
        <v>51</v>
      </c>
      <c r="O71" s="33" t="n">
        <f>10310</f>
        <v>10310.0</v>
      </c>
      <c r="P71" s="34" t="s">
        <v>72</v>
      </c>
      <c r="Q71" s="33" t="n">
        <f>11170</f>
        <v>11170.0</v>
      </c>
      <c r="R71" s="34" t="s">
        <v>51</v>
      </c>
      <c r="S71" s="35" t="n">
        <f>10696.05</f>
        <v>10696.05</v>
      </c>
      <c r="T71" s="32" t="n">
        <f>10330</f>
        <v>10330.0</v>
      </c>
      <c r="U71" s="32" t="str">
        <f>"－"</f>
        <v>－</v>
      </c>
      <c r="V71" s="32" t="n">
        <f>111687800</f>
        <v>1.116878E8</v>
      </c>
      <c r="W71" s="32" t="str">
        <f>"－"</f>
        <v>－</v>
      </c>
      <c r="X71" s="36" t="n">
        <f>19</f>
        <v>19.0</v>
      </c>
    </row>
    <row r="72">
      <c r="A72" s="27" t="s">
        <v>42</v>
      </c>
      <c r="B72" s="27" t="s">
        <v>255</v>
      </c>
      <c r="C72" s="27" t="s">
        <v>256</v>
      </c>
      <c r="D72" s="27" t="s">
        <v>257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1870</f>
        <v>1870.0</v>
      </c>
      <c r="L72" s="34" t="s">
        <v>48</v>
      </c>
      <c r="M72" s="33" t="n">
        <f>1925</f>
        <v>1925.0</v>
      </c>
      <c r="N72" s="34" t="s">
        <v>51</v>
      </c>
      <c r="O72" s="33" t="n">
        <f>1858</f>
        <v>1858.0</v>
      </c>
      <c r="P72" s="34" t="s">
        <v>103</v>
      </c>
      <c r="Q72" s="33" t="n">
        <f>1896</f>
        <v>1896.0</v>
      </c>
      <c r="R72" s="34" t="s">
        <v>51</v>
      </c>
      <c r="S72" s="35" t="n">
        <f>1889.42</f>
        <v>1889.42</v>
      </c>
      <c r="T72" s="32" t="n">
        <f>1559098</f>
        <v>1559098.0</v>
      </c>
      <c r="U72" s="32" t="n">
        <f>895460</f>
        <v>895460.0</v>
      </c>
      <c r="V72" s="32" t="n">
        <f>2957340344</f>
        <v>2.957340344E9</v>
      </c>
      <c r="W72" s="32" t="n">
        <f>1703425230</f>
        <v>1.70342523E9</v>
      </c>
      <c r="X72" s="36" t="n">
        <f>19</f>
        <v>19.0</v>
      </c>
    </row>
    <row r="73">
      <c r="A73" s="27" t="s">
        <v>42</v>
      </c>
      <c r="B73" s="27" t="s">
        <v>258</v>
      </c>
      <c r="C73" s="27" t="s">
        <v>259</v>
      </c>
      <c r="D73" s="27" t="s">
        <v>260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1882</f>
        <v>1882.0</v>
      </c>
      <c r="L73" s="34" t="s">
        <v>48</v>
      </c>
      <c r="M73" s="33" t="n">
        <f>1908</f>
        <v>1908.0</v>
      </c>
      <c r="N73" s="34" t="s">
        <v>51</v>
      </c>
      <c r="O73" s="33" t="n">
        <f>1870</f>
        <v>1870.0</v>
      </c>
      <c r="P73" s="34" t="s">
        <v>103</v>
      </c>
      <c r="Q73" s="33" t="n">
        <f>1902</f>
        <v>1902.0</v>
      </c>
      <c r="R73" s="34" t="s">
        <v>51</v>
      </c>
      <c r="S73" s="35" t="n">
        <f>1891.16</f>
        <v>1891.16</v>
      </c>
      <c r="T73" s="32" t="n">
        <f>330390</f>
        <v>330390.0</v>
      </c>
      <c r="U73" s="32" t="str">
        <f>"－"</f>
        <v>－</v>
      </c>
      <c r="V73" s="32" t="n">
        <f>624372652</f>
        <v>6.24372652E8</v>
      </c>
      <c r="W73" s="32" t="str">
        <f>"－"</f>
        <v>－</v>
      </c>
      <c r="X73" s="36" t="n">
        <f>19</f>
        <v>19.0</v>
      </c>
    </row>
    <row r="74">
      <c r="A74" s="27" t="s">
        <v>42</v>
      </c>
      <c r="B74" s="27" t="s">
        <v>261</v>
      </c>
      <c r="C74" s="27" t="s">
        <v>262</v>
      </c>
      <c r="D74" s="27" t="s">
        <v>263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21605</f>
        <v>21605.0</v>
      </c>
      <c r="L74" s="34" t="s">
        <v>48</v>
      </c>
      <c r="M74" s="33" t="n">
        <f>21870</f>
        <v>21870.0</v>
      </c>
      <c r="N74" s="34" t="s">
        <v>49</v>
      </c>
      <c r="O74" s="33" t="n">
        <f>19740</f>
        <v>19740.0</v>
      </c>
      <c r="P74" s="34" t="s">
        <v>50</v>
      </c>
      <c r="Q74" s="33" t="n">
        <f>21040</f>
        <v>21040.0</v>
      </c>
      <c r="R74" s="34" t="s">
        <v>51</v>
      </c>
      <c r="S74" s="35" t="n">
        <f>20721.32</f>
        <v>20721.32</v>
      </c>
      <c r="T74" s="32" t="n">
        <f>19124</f>
        <v>19124.0</v>
      </c>
      <c r="U74" s="32" t="n">
        <f>7500</f>
        <v>7500.0</v>
      </c>
      <c r="V74" s="32" t="n">
        <f>394778356</f>
        <v>3.94778356E8</v>
      </c>
      <c r="W74" s="32" t="n">
        <f>151826691</f>
        <v>1.51826691E8</v>
      </c>
      <c r="X74" s="36" t="n">
        <f>19</f>
        <v>19.0</v>
      </c>
    </row>
    <row r="75">
      <c r="A75" s="27" t="s">
        <v>42</v>
      </c>
      <c r="B75" s="27" t="s">
        <v>264</v>
      </c>
      <c r="C75" s="27" t="s">
        <v>265</v>
      </c>
      <c r="D75" s="27" t="s">
        <v>266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9376</f>
        <v>9376.0</v>
      </c>
      <c r="L75" s="34" t="s">
        <v>48</v>
      </c>
      <c r="M75" s="33" t="n">
        <f>9550</f>
        <v>9550.0</v>
      </c>
      <c r="N75" s="34" t="s">
        <v>267</v>
      </c>
      <c r="O75" s="33" t="n">
        <f>9338</f>
        <v>9338.0</v>
      </c>
      <c r="P75" s="34" t="s">
        <v>48</v>
      </c>
      <c r="Q75" s="33" t="n">
        <f>9430</f>
        <v>9430.0</v>
      </c>
      <c r="R75" s="34" t="s">
        <v>51</v>
      </c>
      <c r="S75" s="35" t="n">
        <f>9444.32</f>
        <v>9444.32</v>
      </c>
      <c r="T75" s="32" t="n">
        <f>2283</f>
        <v>2283.0</v>
      </c>
      <c r="U75" s="32" t="str">
        <f>"－"</f>
        <v>－</v>
      </c>
      <c r="V75" s="32" t="n">
        <f>21660404</f>
        <v>2.1660404E7</v>
      </c>
      <c r="W75" s="32" t="str">
        <f>"－"</f>
        <v>－</v>
      </c>
      <c r="X75" s="36" t="n">
        <f>19</f>
        <v>19.0</v>
      </c>
    </row>
    <row r="76">
      <c r="A76" s="27" t="s">
        <v>42</v>
      </c>
      <c r="B76" s="27" t="s">
        <v>268</v>
      </c>
      <c r="C76" s="27" t="s">
        <v>269</v>
      </c>
      <c r="D76" s="27" t="s">
        <v>270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11080</f>
        <v>11080.0</v>
      </c>
      <c r="L76" s="34" t="s">
        <v>48</v>
      </c>
      <c r="M76" s="33" t="n">
        <f>11800</f>
        <v>11800.0</v>
      </c>
      <c r="N76" s="34" t="s">
        <v>49</v>
      </c>
      <c r="O76" s="33" t="n">
        <f>10740</f>
        <v>10740.0</v>
      </c>
      <c r="P76" s="34" t="s">
        <v>50</v>
      </c>
      <c r="Q76" s="33" t="n">
        <f>11405</f>
        <v>11405.0</v>
      </c>
      <c r="R76" s="34" t="s">
        <v>51</v>
      </c>
      <c r="S76" s="35" t="n">
        <f>11112.89</f>
        <v>11112.89</v>
      </c>
      <c r="T76" s="32" t="n">
        <f>2699661</f>
        <v>2699661.0</v>
      </c>
      <c r="U76" s="32" t="n">
        <f>189859</f>
        <v>189859.0</v>
      </c>
      <c r="V76" s="32" t="n">
        <f>30280096107</f>
        <v>3.0280096107E10</v>
      </c>
      <c r="W76" s="32" t="n">
        <f>2187606292</f>
        <v>2.187606292E9</v>
      </c>
      <c r="X76" s="36" t="n">
        <f>19</f>
        <v>19.0</v>
      </c>
    </row>
    <row r="77">
      <c r="A77" s="27" t="s">
        <v>42</v>
      </c>
      <c r="B77" s="27" t="s">
        <v>271</v>
      </c>
      <c r="C77" s="27" t="s">
        <v>272</v>
      </c>
      <c r="D77" s="27" t="s">
        <v>273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4075</f>
        <v>4075.0</v>
      </c>
      <c r="L77" s="34" t="s">
        <v>48</v>
      </c>
      <c r="M77" s="33" t="n">
        <f>4340</f>
        <v>4340.0</v>
      </c>
      <c r="N77" s="34" t="s">
        <v>49</v>
      </c>
      <c r="O77" s="33" t="n">
        <f>3930</f>
        <v>3930.0</v>
      </c>
      <c r="P77" s="34" t="s">
        <v>93</v>
      </c>
      <c r="Q77" s="33" t="n">
        <f>4190</f>
        <v>4190.0</v>
      </c>
      <c r="R77" s="34" t="s">
        <v>51</v>
      </c>
      <c r="S77" s="35" t="n">
        <f>4095.79</f>
        <v>4095.79</v>
      </c>
      <c r="T77" s="32" t="n">
        <f>325219</f>
        <v>325219.0</v>
      </c>
      <c r="U77" s="32" t="str">
        <f>"－"</f>
        <v>－</v>
      </c>
      <c r="V77" s="32" t="n">
        <f>1335001755</f>
        <v>1.335001755E9</v>
      </c>
      <c r="W77" s="32" t="str">
        <f>"－"</f>
        <v>－</v>
      </c>
      <c r="X77" s="36" t="n">
        <f>19</f>
        <v>19.0</v>
      </c>
    </row>
    <row r="78">
      <c r="A78" s="27" t="s">
        <v>42</v>
      </c>
      <c r="B78" s="27" t="s">
        <v>274</v>
      </c>
      <c r="C78" s="27" t="s">
        <v>275</v>
      </c>
      <c r="D78" s="27" t="s">
        <v>276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12530</f>
        <v>12530.0</v>
      </c>
      <c r="L78" s="34" t="s">
        <v>48</v>
      </c>
      <c r="M78" s="33" t="n">
        <f>13845</f>
        <v>13845.0</v>
      </c>
      <c r="N78" s="34" t="s">
        <v>49</v>
      </c>
      <c r="O78" s="33" t="n">
        <f>11640</f>
        <v>11640.0</v>
      </c>
      <c r="P78" s="34" t="s">
        <v>72</v>
      </c>
      <c r="Q78" s="33" t="n">
        <f>13250</f>
        <v>13250.0</v>
      </c>
      <c r="R78" s="34" t="s">
        <v>51</v>
      </c>
      <c r="S78" s="35" t="n">
        <f>12644.21</f>
        <v>12644.21</v>
      </c>
      <c r="T78" s="32" t="n">
        <f>214686</f>
        <v>214686.0</v>
      </c>
      <c r="U78" s="32" t="n">
        <f>229</f>
        <v>229.0</v>
      </c>
      <c r="V78" s="32" t="n">
        <f>2760578480</f>
        <v>2.76057848E9</v>
      </c>
      <c r="W78" s="32" t="n">
        <f>2938655</f>
        <v>2938655.0</v>
      </c>
      <c r="X78" s="36" t="n">
        <f>19</f>
        <v>19.0</v>
      </c>
    </row>
    <row r="79">
      <c r="A79" s="27" t="s">
        <v>42</v>
      </c>
      <c r="B79" s="27" t="s">
        <v>277</v>
      </c>
      <c r="C79" s="27" t="s">
        <v>278</v>
      </c>
      <c r="D79" s="27" t="s">
        <v>279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41420</f>
        <v>41420.0</v>
      </c>
      <c r="L79" s="34" t="s">
        <v>48</v>
      </c>
      <c r="M79" s="33" t="n">
        <f>45330</f>
        <v>45330.0</v>
      </c>
      <c r="N79" s="34" t="s">
        <v>162</v>
      </c>
      <c r="O79" s="33" t="n">
        <f>37850</f>
        <v>37850.0</v>
      </c>
      <c r="P79" s="34" t="s">
        <v>72</v>
      </c>
      <c r="Q79" s="33" t="n">
        <f>42590</f>
        <v>42590.0</v>
      </c>
      <c r="R79" s="34" t="s">
        <v>51</v>
      </c>
      <c r="S79" s="35" t="n">
        <f>41807.37</f>
        <v>41807.37</v>
      </c>
      <c r="T79" s="32" t="n">
        <f>15008</f>
        <v>15008.0</v>
      </c>
      <c r="U79" s="32" t="n">
        <f>33</f>
        <v>33.0</v>
      </c>
      <c r="V79" s="32" t="n">
        <f>632964850</f>
        <v>6.3296485E8</v>
      </c>
      <c r="W79" s="32" t="n">
        <f>1384290</f>
        <v>1384290.0</v>
      </c>
      <c r="X79" s="36" t="n">
        <f>19</f>
        <v>19.0</v>
      </c>
    </row>
    <row r="80">
      <c r="A80" s="27" t="s">
        <v>42</v>
      </c>
      <c r="B80" s="27" t="s">
        <v>280</v>
      </c>
      <c r="C80" s="27" t="s">
        <v>281</v>
      </c>
      <c r="D80" s="27" t="s">
        <v>282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28875</f>
        <v>28875.0</v>
      </c>
      <c r="L80" s="34" t="s">
        <v>48</v>
      </c>
      <c r="M80" s="33" t="n">
        <f>29780</f>
        <v>29780.0</v>
      </c>
      <c r="N80" s="34" t="s">
        <v>49</v>
      </c>
      <c r="O80" s="33" t="n">
        <f>26495</f>
        <v>26495.0</v>
      </c>
      <c r="P80" s="34" t="s">
        <v>72</v>
      </c>
      <c r="Q80" s="33" t="n">
        <f>28625</f>
        <v>28625.0</v>
      </c>
      <c r="R80" s="34" t="s">
        <v>51</v>
      </c>
      <c r="S80" s="35" t="n">
        <f>28079.47</f>
        <v>28079.47</v>
      </c>
      <c r="T80" s="32" t="n">
        <f>867085</f>
        <v>867085.0</v>
      </c>
      <c r="U80" s="32" t="n">
        <f>6962</f>
        <v>6962.0</v>
      </c>
      <c r="V80" s="32" t="n">
        <f>24287861790</f>
        <v>2.428786179E10</v>
      </c>
      <c r="W80" s="32" t="n">
        <f>193249685</f>
        <v>1.93249685E8</v>
      </c>
      <c r="X80" s="36" t="n">
        <f>19</f>
        <v>19.0</v>
      </c>
    </row>
    <row r="81">
      <c r="A81" s="27" t="s">
        <v>42</v>
      </c>
      <c r="B81" s="27" t="s">
        <v>283</v>
      </c>
      <c r="C81" s="27" t="s">
        <v>284</v>
      </c>
      <c r="D81" s="27" t="s">
        <v>285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59090</f>
        <v>59090.0</v>
      </c>
      <c r="L81" s="34" t="s">
        <v>48</v>
      </c>
      <c r="M81" s="33" t="n">
        <f>60140</f>
        <v>60140.0</v>
      </c>
      <c r="N81" s="34" t="s">
        <v>49</v>
      </c>
      <c r="O81" s="33" t="n">
        <f>55510</f>
        <v>55510.0</v>
      </c>
      <c r="P81" s="34" t="s">
        <v>50</v>
      </c>
      <c r="Q81" s="33" t="n">
        <f>58330</f>
        <v>58330.0</v>
      </c>
      <c r="R81" s="34" t="s">
        <v>51</v>
      </c>
      <c r="S81" s="35" t="n">
        <f>57779.47</f>
        <v>57779.47</v>
      </c>
      <c r="T81" s="32" t="n">
        <f>40105</f>
        <v>40105.0</v>
      </c>
      <c r="U81" s="32" t="n">
        <f>1000</f>
        <v>1000.0</v>
      </c>
      <c r="V81" s="32" t="n">
        <f>2322315590</f>
        <v>2.32231559E9</v>
      </c>
      <c r="W81" s="32" t="n">
        <f>59153300</f>
        <v>5.91533E7</v>
      </c>
      <c r="X81" s="36" t="n">
        <f>19</f>
        <v>19.0</v>
      </c>
    </row>
    <row r="82">
      <c r="A82" s="27" t="s">
        <v>42</v>
      </c>
      <c r="B82" s="27" t="s">
        <v>286</v>
      </c>
      <c r="C82" s="27" t="s">
        <v>287</v>
      </c>
      <c r="D82" s="27" t="s">
        <v>288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9003</f>
        <v>9003.0</v>
      </c>
      <c r="L82" s="34" t="s">
        <v>48</v>
      </c>
      <c r="M82" s="33" t="n">
        <f>9195</f>
        <v>9195.0</v>
      </c>
      <c r="N82" s="34" t="s">
        <v>49</v>
      </c>
      <c r="O82" s="33" t="n">
        <f>8392</f>
        <v>8392.0</v>
      </c>
      <c r="P82" s="34" t="s">
        <v>50</v>
      </c>
      <c r="Q82" s="33" t="n">
        <f>8863</f>
        <v>8863.0</v>
      </c>
      <c r="R82" s="34" t="s">
        <v>51</v>
      </c>
      <c r="S82" s="35" t="n">
        <f>8777.16</f>
        <v>8777.16</v>
      </c>
      <c r="T82" s="32" t="n">
        <f>933330</f>
        <v>933330.0</v>
      </c>
      <c r="U82" s="32" t="n">
        <f>138610</f>
        <v>138610.0</v>
      </c>
      <c r="V82" s="32" t="n">
        <f>8229299707</f>
        <v>8.229299707E9</v>
      </c>
      <c r="W82" s="32" t="n">
        <f>1200280867</f>
        <v>1.200280867E9</v>
      </c>
      <c r="X82" s="36" t="n">
        <f>19</f>
        <v>19.0</v>
      </c>
    </row>
    <row r="83">
      <c r="A83" s="27" t="s">
        <v>42</v>
      </c>
      <c r="B83" s="27" t="s">
        <v>289</v>
      </c>
      <c r="C83" s="27" t="s">
        <v>290</v>
      </c>
      <c r="D83" s="27" t="s">
        <v>291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5553</f>
        <v>5553.0</v>
      </c>
      <c r="L83" s="34" t="s">
        <v>48</v>
      </c>
      <c r="M83" s="33" t="n">
        <f>5686</f>
        <v>5686.0</v>
      </c>
      <c r="N83" s="34" t="s">
        <v>49</v>
      </c>
      <c r="O83" s="33" t="n">
        <f>5195</f>
        <v>5195.0</v>
      </c>
      <c r="P83" s="34" t="s">
        <v>50</v>
      </c>
      <c r="Q83" s="33" t="n">
        <f>5516</f>
        <v>5516.0</v>
      </c>
      <c r="R83" s="34" t="s">
        <v>51</v>
      </c>
      <c r="S83" s="35" t="n">
        <f>5424.84</f>
        <v>5424.84</v>
      </c>
      <c r="T83" s="32" t="n">
        <f>106670</f>
        <v>106670.0</v>
      </c>
      <c r="U83" s="32" t="n">
        <f>3000</f>
        <v>3000.0</v>
      </c>
      <c r="V83" s="32" t="n">
        <f>580373780</f>
        <v>5.8037378E8</v>
      </c>
      <c r="W83" s="32" t="n">
        <f>16939500</f>
        <v>1.69395E7</v>
      </c>
      <c r="X83" s="36" t="n">
        <f>19</f>
        <v>19.0</v>
      </c>
    </row>
    <row r="84">
      <c r="A84" s="27" t="s">
        <v>42</v>
      </c>
      <c r="B84" s="27" t="s">
        <v>292</v>
      </c>
      <c r="C84" s="27" t="s">
        <v>293</v>
      </c>
      <c r="D84" s="27" t="s">
        <v>294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5132</f>
        <v>5132.0</v>
      </c>
      <c r="L84" s="34" t="s">
        <v>48</v>
      </c>
      <c r="M84" s="33" t="n">
        <f>5237</f>
        <v>5237.0</v>
      </c>
      <c r="N84" s="34" t="s">
        <v>226</v>
      </c>
      <c r="O84" s="33" t="n">
        <f>4925</f>
        <v>4925.0</v>
      </c>
      <c r="P84" s="34" t="s">
        <v>72</v>
      </c>
      <c r="Q84" s="33" t="n">
        <f>5040</f>
        <v>5040.0</v>
      </c>
      <c r="R84" s="34" t="s">
        <v>51</v>
      </c>
      <c r="S84" s="35" t="n">
        <f>5059.11</f>
        <v>5059.11</v>
      </c>
      <c r="T84" s="32" t="n">
        <f>2030</f>
        <v>2030.0</v>
      </c>
      <c r="U84" s="32" t="str">
        <f>"－"</f>
        <v>－</v>
      </c>
      <c r="V84" s="32" t="n">
        <f>10356310</f>
        <v>1.035631E7</v>
      </c>
      <c r="W84" s="32" t="str">
        <f>"－"</f>
        <v>－</v>
      </c>
      <c r="X84" s="36" t="n">
        <f>18</f>
        <v>18.0</v>
      </c>
    </row>
    <row r="85">
      <c r="A85" s="27" t="s">
        <v>42</v>
      </c>
      <c r="B85" s="27" t="s">
        <v>295</v>
      </c>
      <c r="C85" s="27" t="s">
        <v>296</v>
      </c>
      <c r="D85" s="27" t="s">
        <v>297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4615</f>
        <v>4615.0</v>
      </c>
      <c r="L85" s="34" t="s">
        <v>48</v>
      </c>
      <c r="M85" s="33" t="n">
        <f>4721</f>
        <v>4721.0</v>
      </c>
      <c r="N85" s="34" t="s">
        <v>49</v>
      </c>
      <c r="O85" s="33" t="n">
        <f>4280</f>
        <v>4280.0</v>
      </c>
      <c r="P85" s="34" t="s">
        <v>50</v>
      </c>
      <c r="Q85" s="33" t="n">
        <f>4574</f>
        <v>4574.0</v>
      </c>
      <c r="R85" s="34" t="s">
        <v>51</v>
      </c>
      <c r="S85" s="35" t="n">
        <f>4491.68</f>
        <v>4491.68</v>
      </c>
      <c r="T85" s="32" t="n">
        <f>108340</f>
        <v>108340.0</v>
      </c>
      <c r="U85" s="32" t="str">
        <f>"－"</f>
        <v>－</v>
      </c>
      <c r="V85" s="32" t="n">
        <f>482447630</f>
        <v>4.8244763E8</v>
      </c>
      <c r="W85" s="32" t="str">
        <f>"－"</f>
        <v>－</v>
      </c>
      <c r="X85" s="36" t="n">
        <f>19</f>
        <v>19.0</v>
      </c>
    </row>
    <row r="86">
      <c r="A86" s="27" t="s">
        <v>42</v>
      </c>
      <c r="B86" s="27" t="s">
        <v>298</v>
      </c>
      <c r="C86" s="27" t="s">
        <v>299</v>
      </c>
      <c r="D86" s="27" t="s">
        <v>300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2270.5</f>
        <v>2270.5</v>
      </c>
      <c r="L86" s="34" t="s">
        <v>48</v>
      </c>
      <c r="M86" s="33" t="n">
        <f>2466</f>
        <v>2466.0</v>
      </c>
      <c r="N86" s="34" t="s">
        <v>49</v>
      </c>
      <c r="O86" s="33" t="n">
        <f>2145</f>
        <v>2145.0</v>
      </c>
      <c r="P86" s="34" t="s">
        <v>72</v>
      </c>
      <c r="Q86" s="33" t="n">
        <f>2419</f>
        <v>2419.0</v>
      </c>
      <c r="R86" s="34" t="s">
        <v>51</v>
      </c>
      <c r="S86" s="35" t="n">
        <f>2326.76</f>
        <v>2326.76</v>
      </c>
      <c r="T86" s="32" t="n">
        <f>71570</f>
        <v>71570.0</v>
      </c>
      <c r="U86" s="32" t="n">
        <f>10</f>
        <v>10.0</v>
      </c>
      <c r="V86" s="32" t="n">
        <f>165709310</f>
        <v>1.6570931E8</v>
      </c>
      <c r="W86" s="32" t="n">
        <f>24340</f>
        <v>24340.0</v>
      </c>
      <c r="X86" s="36" t="n">
        <f>19</f>
        <v>19.0</v>
      </c>
    </row>
    <row r="87">
      <c r="A87" s="27" t="s">
        <v>42</v>
      </c>
      <c r="B87" s="27" t="s">
        <v>301</v>
      </c>
      <c r="C87" s="27" t="s">
        <v>302</v>
      </c>
      <c r="D87" s="27" t="s">
        <v>303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82410</f>
        <v>82410.0</v>
      </c>
      <c r="L87" s="34" t="s">
        <v>48</v>
      </c>
      <c r="M87" s="33" t="n">
        <f>83900</f>
        <v>83900.0</v>
      </c>
      <c r="N87" s="34" t="s">
        <v>49</v>
      </c>
      <c r="O87" s="33" t="n">
        <f>76850</f>
        <v>76850.0</v>
      </c>
      <c r="P87" s="34" t="s">
        <v>50</v>
      </c>
      <c r="Q87" s="33" t="n">
        <f>80920</f>
        <v>80920.0</v>
      </c>
      <c r="R87" s="34" t="s">
        <v>51</v>
      </c>
      <c r="S87" s="35" t="n">
        <f>80275.26</f>
        <v>80275.26</v>
      </c>
      <c r="T87" s="32" t="n">
        <f>52209</f>
        <v>52209.0</v>
      </c>
      <c r="U87" s="32" t="n">
        <f>4</f>
        <v>4.0</v>
      </c>
      <c r="V87" s="32" t="n">
        <f>4192054370</f>
        <v>4.19205437E9</v>
      </c>
      <c r="W87" s="32" t="n">
        <f>316360</f>
        <v>316360.0</v>
      </c>
      <c r="X87" s="36" t="n">
        <f>19</f>
        <v>19.0</v>
      </c>
    </row>
    <row r="88">
      <c r="A88" s="27" t="s">
        <v>42</v>
      </c>
      <c r="B88" s="27" t="s">
        <v>304</v>
      </c>
      <c r="C88" s="27" t="s">
        <v>305</v>
      </c>
      <c r="D88" s="27" t="s">
        <v>306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3230</f>
        <v>3230.0</v>
      </c>
      <c r="L88" s="34" t="s">
        <v>48</v>
      </c>
      <c r="M88" s="33" t="n">
        <f>3675</f>
        <v>3675.0</v>
      </c>
      <c r="N88" s="34" t="s">
        <v>49</v>
      </c>
      <c r="O88" s="33" t="n">
        <f>3175</f>
        <v>3175.0</v>
      </c>
      <c r="P88" s="34" t="s">
        <v>93</v>
      </c>
      <c r="Q88" s="33" t="n">
        <f>3600</f>
        <v>3600.0</v>
      </c>
      <c r="R88" s="34" t="s">
        <v>51</v>
      </c>
      <c r="S88" s="35" t="n">
        <f>3415.79</f>
        <v>3415.79</v>
      </c>
      <c r="T88" s="32" t="n">
        <f>16027</f>
        <v>16027.0</v>
      </c>
      <c r="U88" s="32" t="str">
        <f>"－"</f>
        <v>－</v>
      </c>
      <c r="V88" s="32" t="n">
        <f>54944975</f>
        <v>5.4944975E7</v>
      </c>
      <c r="W88" s="32" t="str">
        <f>"－"</f>
        <v>－</v>
      </c>
      <c r="X88" s="36" t="n">
        <f>19</f>
        <v>19.0</v>
      </c>
    </row>
    <row r="89">
      <c r="A89" s="27" t="s">
        <v>42</v>
      </c>
      <c r="B89" s="27" t="s">
        <v>307</v>
      </c>
      <c r="C89" s="27" t="s">
        <v>308</v>
      </c>
      <c r="D89" s="27" t="s">
        <v>309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5300</f>
        <v>5300.0</v>
      </c>
      <c r="L89" s="34" t="s">
        <v>48</v>
      </c>
      <c r="M89" s="33" t="n">
        <f>5510</f>
        <v>5510.0</v>
      </c>
      <c r="N89" s="34" t="s">
        <v>49</v>
      </c>
      <c r="O89" s="33" t="n">
        <f>5150</f>
        <v>5150.0</v>
      </c>
      <c r="P89" s="34" t="s">
        <v>103</v>
      </c>
      <c r="Q89" s="33" t="n">
        <f>5450</f>
        <v>5450.0</v>
      </c>
      <c r="R89" s="34" t="s">
        <v>51</v>
      </c>
      <c r="S89" s="35" t="n">
        <f>5290</f>
        <v>5290.0</v>
      </c>
      <c r="T89" s="32" t="n">
        <f>2893</f>
        <v>2893.0</v>
      </c>
      <c r="U89" s="32" t="str">
        <f>"－"</f>
        <v>－</v>
      </c>
      <c r="V89" s="32" t="n">
        <f>15365700</f>
        <v>1.53657E7</v>
      </c>
      <c r="W89" s="32" t="str">
        <f>"－"</f>
        <v>－</v>
      </c>
      <c r="X89" s="36" t="n">
        <f>19</f>
        <v>19.0</v>
      </c>
    </row>
    <row r="90">
      <c r="A90" s="27" t="s">
        <v>42</v>
      </c>
      <c r="B90" s="27" t="s">
        <v>310</v>
      </c>
      <c r="C90" s="27" t="s">
        <v>311</v>
      </c>
      <c r="D90" s="27" t="s">
        <v>312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2376</f>
        <v>2376.0</v>
      </c>
      <c r="L90" s="34" t="s">
        <v>48</v>
      </c>
      <c r="M90" s="33" t="n">
        <f>2380</f>
        <v>2380.0</v>
      </c>
      <c r="N90" s="34" t="s">
        <v>48</v>
      </c>
      <c r="O90" s="33" t="n">
        <f>2138</f>
        <v>2138.0</v>
      </c>
      <c r="P90" s="34" t="s">
        <v>72</v>
      </c>
      <c r="Q90" s="33" t="n">
        <f>2239</f>
        <v>2239.0</v>
      </c>
      <c r="R90" s="34" t="s">
        <v>51</v>
      </c>
      <c r="S90" s="35" t="n">
        <f>2258.89</f>
        <v>2258.89</v>
      </c>
      <c r="T90" s="32" t="n">
        <f>1296642</f>
        <v>1296642.0</v>
      </c>
      <c r="U90" s="32" t="n">
        <f>111592</f>
        <v>111592.0</v>
      </c>
      <c r="V90" s="32" t="n">
        <f>2930291855</f>
        <v>2.930291855E9</v>
      </c>
      <c r="W90" s="32" t="n">
        <f>249266098</f>
        <v>2.49266098E8</v>
      </c>
      <c r="X90" s="36" t="n">
        <f>19</f>
        <v>19.0</v>
      </c>
    </row>
    <row r="91">
      <c r="A91" s="27" t="s">
        <v>42</v>
      </c>
      <c r="B91" s="27" t="s">
        <v>313</v>
      </c>
      <c r="C91" s="27" t="s">
        <v>314</v>
      </c>
      <c r="D91" s="27" t="s">
        <v>315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48320</f>
        <v>48320.0</v>
      </c>
      <c r="L91" s="34" t="s">
        <v>48</v>
      </c>
      <c r="M91" s="33" t="n">
        <f>49870</f>
        <v>49870.0</v>
      </c>
      <c r="N91" s="34" t="s">
        <v>49</v>
      </c>
      <c r="O91" s="33" t="n">
        <f>46800</f>
        <v>46800.0</v>
      </c>
      <c r="P91" s="34" t="s">
        <v>72</v>
      </c>
      <c r="Q91" s="33" t="n">
        <f>48470</f>
        <v>48470.0</v>
      </c>
      <c r="R91" s="34" t="s">
        <v>51</v>
      </c>
      <c r="S91" s="35" t="n">
        <f>48065.26</f>
        <v>48065.26</v>
      </c>
      <c r="T91" s="32" t="n">
        <f>15472</f>
        <v>15472.0</v>
      </c>
      <c r="U91" s="32" t="n">
        <f>557</f>
        <v>557.0</v>
      </c>
      <c r="V91" s="32" t="n">
        <f>745265323</f>
        <v>7.45265323E8</v>
      </c>
      <c r="W91" s="32" t="n">
        <f>26806063</f>
        <v>2.6806063E7</v>
      </c>
      <c r="X91" s="36" t="n">
        <f>19</f>
        <v>19.0</v>
      </c>
    </row>
    <row r="92">
      <c r="A92" s="27" t="s">
        <v>42</v>
      </c>
      <c r="B92" s="27" t="s">
        <v>316</v>
      </c>
      <c r="C92" s="27" t="s">
        <v>317</v>
      </c>
      <c r="D92" s="27" t="s">
        <v>318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10.0</v>
      </c>
      <c r="K92" s="33" t="n">
        <f>463.7</f>
        <v>463.7</v>
      </c>
      <c r="L92" s="34" t="s">
        <v>48</v>
      </c>
      <c r="M92" s="33" t="n">
        <f>475</f>
        <v>475.0</v>
      </c>
      <c r="N92" s="34" t="s">
        <v>49</v>
      </c>
      <c r="O92" s="33" t="n">
        <f>388.5</f>
        <v>388.5</v>
      </c>
      <c r="P92" s="34" t="s">
        <v>50</v>
      </c>
      <c r="Q92" s="33" t="n">
        <f>437.9</f>
        <v>437.9</v>
      </c>
      <c r="R92" s="34" t="s">
        <v>51</v>
      </c>
      <c r="S92" s="35" t="n">
        <f>428.23</f>
        <v>428.23</v>
      </c>
      <c r="T92" s="32" t="n">
        <f>137833390</f>
        <v>1.3783339E8</v>
      </c>
      <c r="U92" s="32" t="n">
        <f>2260</f>
        <v>2260.0</v>
      </c>
      <c r="V92" s="32" t="n">
        <f>58457570710</f>
        <v>5.845757071E10</v>
      </c>
      <c r="W92" s="32" t="n">
        <f>996186</f>
        <v>996186.0</v>
      </c>
      <c r="X92" s="36" t="n">
        <f>19</f>
        <v>19.0</v>
      </c>
    </row>
    <row r="93">
      <c r="A93" s="27" t="s">
        <v>42</v>
      </c>
      <c r="B93" s="27" t="s">
        <v>319</v>
      </c>
      <c r="C93" s="27" t="s">
        <v>320</v>
      </c>
      <c r="D93" s="27" t="s">
        <v>321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1263</f>
        <v>1263.0</v>
      </c>
      <c r="L93" s="34" t="s">
        <v>48</v>
      </c>
      <c r="M93" s="33" t="n">
        <f>1372</f>
        <v>1372.0</v>
      </c>
      <c r="N93" s="34" t="s">
        <v>50</v>
      </c>
      <c r="O93" s="33" t="n">
        <f>1240</f>
        <v>1240.0</v>
      </c>
      <c r="P93" s="34" t="s">
        <v>49</v>
      </c>
      <c r="Q93" s="33" t="n">
        <f>1279.5</f>
        <v>1279.5</v>
      </c>
      <c r="R93" s="34" t="s">
        <v>51</v>
      </c>
      <c r="S93" s="35" t="n">
        <f>1309.84</f>
        <v>1309.84</v>
      </c>
      <c r="T93" s="32" t="n">
        <f>1464930</f>
        <v>1464930.0</v>
      </c>
      <c r="U93" s="32" t="n">
        <f>1870</f>
        <v>1870.0</v>
      </c>
      <c r="V93" s="32" t="n">
        <f>1921758725</f>
        <v>1.921758725E9</v>
      </c>
      <c r="W93" s="32" t="n">
        <f>2366765</f>
        <v>2366765.0</v>
      </c>
      <c r="X93" s="36" t="n">
        <f>19</f>
        <v>19.0</v>
      </c>
    </row>
    <row r="94">
      <c r="A94" s="27" t="s">
        <v>42</v>
      </c>
      <c r="B94" s="27" t="s">
        <v>322</v>
      </c>
      <c r="C94" s="27" t="s">
        <v>323</v>
      </c>
      <c r="D94" s="27" t="s">
        <v>324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1.0</v>
      </c>
      <c r="K94" s="33" t="n">
        <f>27200</f>
        <v>27200.0</v>
      </c>
      <c r="L94" s="34" t="s">
        <v>48</v>
      </c>
      <c r="M94" s="33" t="n">
        <f>28380</f>
        <v>28380.0</v>
      </c>
      <c r="N94" s="34" t="s">
        <v>49</v>
      </c>
      <c r="O94" s="33" t="n">
        <f>22030</f>
        <v>22030.0</v>
      </c>
      <c r="P94" s="34" t="s">
        <v>72</v>
      </c>
      <c r="Q94" s="33" t="n">
        <f>25730</f>
        <v>25730.0</v>
      </c>
      <c r="R94" s="34" t="s">
        <v>51</v>
      </c>
      <c r="S94" s="35" t="n">
        <f>24718.95</f>
        <v>24718.95</v>
      </c>
      <c r="T94" s="32" t="n">
        <f>140410737</f>
        <v>1.40410737E8</v>
      </c>
      <c r="U94" s="32" t="n">
        <f>517044</f>
        <v>517044.0</v>
      </c>
      <c r="V94" s="32" t="n">
        <f>3478352809895</f>
        <v>3.478352809895E12</v>
      </c>
      <c r="W94" s="32" t="n">
        <f>12639263605</f>
        <v>1.2639263605E10</v>
      </c>
      <c r="X94" s="36" t="n">
        <f>19</f>
        <v>19.0</v>
      </c>
    </row>
    <row r="95">
      <c r="A95" s="27" t="s">
        <v>42</v>
      </c>
      <c r="B95" s="27" t="s">
        <v>325</v>
      </c>
      <c r="C95" s="27" t="s">
        <v>326</v>
      </c>
      <c r="D95" s="27" t="s">
        <v>327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593</f>
        <v>593.0</v>
      </c>
      <c r="L95" s="34" t="s">
        <v>48</v>
      </c>
      <c r="M95" s="33" t="n">
        <f>657</f>
        <v>657.0</v>
      </c>
      <c r="N95" s="34" t="s">
        <v>50</v>
      </c>
      <c r="O95" s="33" t="n">
        <f>575</f>
        <v>575.0</v>
      </c>
      <c r="P95" s="34" t="s">
        <v>49</v>
      </c>
      <c r="Q95" s="33" t="n">
        <f>602</f>
        <v>602.0</v>
      </c>
      <c r="R95" s="34" t="s">
        <v>51</v>
      </c>
      <c r="S95" s="35" t="n">
        <f>619.79</f>
        <v>619.79</v>
      </c>
      <c r="T95" s="32" t="n">
        <f>26675050</f>
        <v>2.667505E7</v>
      </c>
      <c r="U95" s="32" t="n">
        <f>3264194</f>
        <v>3264194.0</v>
      </c>
      <c r="V95" s="32" t="n">
        <f>16505408905</f>
        <v>1.6505408905E10</v>
      </c>
      <c r="W95" s="32" t="n">
        <f>1953387578</f>
        <v>1.953387578E9</v>
      </c>
      <c r="X95" s="36" t="n">
        <f>19</f>
        <v>19.0</v>
      </c>
    </row>
    <row r="96">
      <c r="A96" s="27" t="s">
        <v>42</v>
      </c>
      <c r="B96" s="27" t="s">
        <v>328</v>
      </c>
      <c r="C96" s="27" t="s">
        <v>329</v>
      </c>
      <c r="D96" s="27" t="s">
        <v>330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10.0</v>
      </c>
      <c r="K96" s="33" t="n">
        <f>4100</f>
        <v>4100.0</v>
      </c>
      <c r="L96" s="34" t="s">
        <v>48</v>
      </c>
      <c r="M96" s="33" t="n">
        <f>5882</f>
        <v>5882.0</v>
      </c>
      <c r="N96" s="34" t="s">
        <v>51</v>
      </c>
      <c r="O96" s="33" t="n">
        <f>3542</f>
        <v>3542.0</v>
      </c>
      <c r="P96" s="34" t="s">
        <v>50</v>
      </c>
      <c r="Q96" s="33" t="n">
        <f>5882</f>
        <v>5882.0</v>
      </c>
      <c r="R96" s="34" t="s">
        <v>51</v>
      </c>
      <c r="S96" s="35" t="n">
        <f>4184.11</f>
        <v>4184.11</v>
      </c>
      <c r="T96" s="32" t="n">
        <f>540220</f>
        <v>540220.0</v>
      </c>
      <c r="U96" s="32" t="str">
        <f>"－"</f>
        <v>－</v>
      </c>
      <c r="V96" s="32" t="n">
        <f>2634010710</f>
        <v>2.63401071E9</v>
      </c>
      <c r="W96" s="32" t="str">
        <f>"－"</f>
        <v>－</v>
      </c>
      <c r="X96" s="36" t="n">
        <f>19</f>
        <v>19.0</v>
      </c>
    </row>
    <row r="97">
      <c r="A97" s="27" t="s">
        <v>42</v>
      </c>
      <c r="B97" s="27" t="s">
        <v>331</v>
      </c>
      <c r="C97" s="27" t="s">
        <v>332</v>
      </c>
      <c r="D97" s="27" t="s">
        <v>333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11415</f>
        <v>11415.0</v>
      </c>
      <c r="L97" s="34" t="s">
        <v>48</v>
      </c>
      <c r="M97" s="33" t="n">
        <f>11765</f>
        <v>11765.0</v>
      </c>
      <c r="N97" s="34" t="s">
        <v>72</v>
      </c>
      <c r="O97" s="33" t="n">
        <f>9000</f>
        <v>9000.0</v>
      </c>
      <c r="P97" s="34" t="s">
        <v>51</v>
      </c>
      <c r="Q97" s="33" t="n">
        <f>9242</f>
        <v>9242.0</v>
      </c>
      <c r="R97" s="34" t="s">
        <v>51</v>
      </c>
      <c r="S97" s="35" t="n">
        <f>11077.47</f>
        <v>11077.47</v>
      </c>
      <c r="T97" s="32" t="n">
        <f>34700</f>
        <v>34700.0</v>
      </c>
      <c r="U97" s="32" t="str">
        <f>"－"</f>
        <v>－</v>
      </c>
      <c r="V97" s="32" t="n">
        <f>361077290</f>
        <v>3.6107729E8</v>
      </c>
      <c r="W97" s="32" t="str">
        <f>"－"</f>
        <v>－</v>
      </c>
      <c r="X97" s="36" t="n">
        <f>19</f>
        <v>19.0</v>
      </c>
    </row>
    <row r="98">
      <c r="A98" s="27" t="s">
        <v>42</v>
      </c>
      <c r="B98" s="27" t="s">
        <v>334</v>
      </c>
      <c r="C98" s="27" t="s">
        <v>335</v>
      </c>
      <c r="D98" s="27" t="s">
        <v>336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1.0</v>
      </c>
      <c r="K98" s="33" t="n">
        <f>37580</f>
        <v>37580.0</v>
      </c>
      <c r="L98" s="34" t="s">
        <v>48</v>
      </c>
      <c r="M98" s="33" t="n">
        <f>38030</f>
        <v>38030.0</v>
      </c>
      <c r="N98" s="34" t="s">
        <v>49</v>
      </c>
      <c r="O98" s="33" t="n">
        <f>34700</f>
        <v>34700.0</v>
      </c>
      <c r="P98" s="34" t="s">
        <v>50</v>
      </c>
      <c r="Q98" s="33" t="n">
        <f>37060</f>
        <v>37060.0</v>
      </c>
      <c r="R98" s="34" t="s">
        <v>51</v>
      </c>
      <c r="S98" s="35" t="n">
        <f>36473.16</f>
        <v>36473.16</v>
      </c>
      <c r="T98" s="32" t="n">
        <f>166301</f>
        <v>166301.0</v>
      </c>
      <c r="U98" s="32" t="n">
        <f>90728</f>
        <v>90728.0</v>
      </c>
      <c r="V98" s="32" t="n">
        <f>6057190578</f>
        <v>6.057190578E9</v>
      </c>
      <c r="W98" s="32" t="n">
        <f>3292403518</f>
        <v>3.292403518E9</v>
      </c>
      <c r="X98" s="36" t="n">
        <f>19</f>
        <v>19.0</v>
      </c>
    </row>
    <row r="99">
      <c r="A99" s="27" t="s">
        <v>42</v>
      </c>
      <c r="B99" s="27" t="s">
        <v>337</v>
      </c>
      <c r="C99" s="27" t="s">
        <v>338</v>
      </c>
      <c r="D99" s="27" t="s">
        <v>339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3125</f>
        <v>3125.0</v>
      </c>
      <c r="L99" s="34" t="s">
        <v>48</v>
      </c>
      <c r="M99" s="33" t="n">
        <f>3190</f>
        <v>3190.0</v>
      </c>
      <c r="N99" s="34" t="s">
        <v>49</v>
      </c>
      <c r="O99" s="33" t="n">
        <f>2810</f>
        <v>2810.0</v>
      </c>
      <c r="P99" s="34" t="s">
        <v>72</v>
      </c>
      <c r="Q99" s="33" t="n">
        <f>3040</f>
        <v>3040.0</v>
      </c>
      <c r="R99" s="34" t="s">
        <v>51</v>
      </c>
      <c r="S99" s="35" t="n">
        <f>2974.26</f>
        <v>2974.26</v>
      </c>
      <c r="T99" s="32" t="n">
        <f>176098</f>
        <v>176098.0</v>
      </c>
      <c r="U99" s="32" t="n">
        <f>445</f>
        <v>445.0</v>
      </c>
      <c r="V99" s="32" t="n">
        <f>525339256</f>
        <v>5.25339256E8</v>
      </c>
      <c r="W99" s="32" t="n">
        <f>1302738</f>
        <v>1302738.0</v>
      </c>
      <c r="X99" s="36" t="n">
        <f>19</f>
        <v>19.0</v>
      </c>
    </row>
    <row r="100">
      <c r="A100" s="27" t="s">
        <v>42</v>
      </c>
      <c r="B100" s="27" t="s">
        <v>340</v>
      </c>
      <c r="C100" s="27" t="s">
        <v>341</v>
      </c>
      <c r="D100" s="27" t="s">
        <v>342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10.0</v>
      </c>
      <c r="K100" s="33" t="n">
        <f>292.4</f>
        <v>292.4</v>
      </c>
      <c r="L100" s="34" t="s">
        <v>48</v>
      </c>
      <c r="M100" s="33" t="n">
        <f>305.1</f>
        <v>305.1</v>
      </c>
      <c r="N100" s="34" t="s">
        <v>49</v>
      </c>
      <c r="O100" s="33" t="n">
        <f>236.6</f>
        <v>236.6</v>
      </c>
      <c r="P100" s="34" t="s">
        <v>72</v>
      </c>
      <c r="Q100" s="33" t="n">
        <f>274.3</f>
        <v>274.3</v>
      </c>
      <c r="R100" s="34" t="s">
        <v>51</v>
      </c>
      <c r="S100" s="35" t="n">
        <f>265.39</f>
        <v>265.39</v>
      </c>
      <c r="T100" s="32" t="n">
        <f>654295470</f>
        <v>6.5429547E8</v>
      </c>
      <c r="U100" s="32" t="n">
        <f>1446480</f>
        <v>1446480.0</v>
      </c>
      <c r="V100" s="32" t="n">
        <f>174559626075</f>
        <v>1.74559626075E11</v>
      </c>
      <c r="W100" s="32" t="n">
        <f>385028918</f>
        <v>3.85028918E8</v>
      </c>
      <c r="X100" s="36" t="n">
        <f>19</f>
        <v>19.0</v>
      </c>
    </row>
    <row r="101">
      <c r="A101" s="27" t="s">
        <v>42</v>
      </c>
      <c r="B101" s="27" t="s">
        <v>343</v>
      </c>
      <c r="C101" s="27" t="s">
        <v>344</v>
      </c>
      <c r="D101" s="27" t="s">
        <v>345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1575</f>
        <v>1575.0</v>
      </c>
      <c r="L101" s="34" t="s">
        <v>48</v>
      </c>
      <c r="M101" s="33" t="n">
        <f>1742</f>
        <v>1742.0</v>
      </c>
      <c r="N101" s="34" t="s">
        <v>72</v>
      </c>
      <c r="O101" s="33" t="n">
        <f>1528</f>
        <v>1528.0</v>
      </c>
      <c r="P101" s="34" t="s">
        <v>49</v>
      </c>
      <c r="Q101" s="33" t="n">
        <f>1602</f>
        <v>1602.0</v>
      </c>
      <c r="R101" s="34" t="s">
        <v>51</v>
      </c>
      <c r="S101" s="35" t="n">
        <f>1646.71</f>
        <v>1646.71</v>
      </c>
      <c r="T101" s="32" t="n">
        <f>8289080</f>
        <v>8289080.0</v>
      </c>
      <c r="U101" s="32" t="n">
        <f>262810</f>
        <v>262810.0</v>
      </c>
      <c r="V101" s="32" t="n">
        <f>13739103341</f>
        <v>1.3739103341E10</v>
      </c>
      <c r="W101" s="32" t="n">
        <f>433095416</f>
        <v>4.33095416E8</v>
      </c>
      <c r="X101" s="36" t="n">
        <f>19</f>
        <v>19.0</v>
      </c>
    </row>
    <row r="102">
      <c r="A102" s="27" t="s">
        <v>42</v>
      </c>
      <c r="B102" s="27" t="s">
        <v>346</v>
      </c>
      <c r="C102" s="27" t="s">
        <v>347</v>
      </c>
      <c r="D102" s="27" t="s">
        <v>348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1858</f>
        <v>1858.0</v>
      </c>
      <c r="L102" s="34" t="s">
        <v>48</v>
      </c>
      <c r="M102" s="33" t="n">
        <f>1910</f>
        <v>1910.0</v>
      </c>
      <c r="N102" s="34" t="s">
        <v>49</v>
      </c>
      <c r="O102" s="33" t="n">
        <f>1666.5</f>
        <v>1666.5</v>
      </c>
      <c r="P102" s="34" t="s">
        <v>72</v>
      </c>
      <c r="Q102" s="33" t="n">
        <f>1841.5</f>
        <v>1841.5</v>
      </c>
      <c r="R102" s="34" t="s">
        <v>51</v>
      </c>
      <c r="S102" s="35" t="n">
        <f>1809.47</f>
        <v>1809.47</v>
      </c>
      <c r="T102" s="32" t="n">
        <f>16780</f>
        <v>16780.0</v>
      </c>
      <c r="U102" s="32" t="n">
        <f>40</f>
        <v>40.0</v>
      </c>
      <c r="V102" s="32" t="n">
        <f>30173655</f>
        <v>3.0173655E7</v>
      </c>
      <c r="W102" s="32" t="n">
        <f>75320</f>
        <v>75320.0</v>
      </c>
      <c r="X102" s="36" t="n">
        <f>19</f>
        <v>19.0</v>
      </c>
    </row>
    <row r="103">
      <c r="A103" s="27" t="s">
        <v>42</v>
      </c>
      <c r="B103" s="27" t="s">
        <v>349</v>
      </c>
      <c r="C103" s="27" t="s">
        <v>350</v>
      </c>
      <c r="D103" s="27" t="s">
        <v>351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2180</f>
        <v>2180.0</v>
      </c>
      <c r="L103" s="34" t="s">
        <v>48</v>
      </c>
      <c r="M103" s="33" t="n">
        <f>2223</f>
        <v>2223.0</v>
      </c>
      <c r="N103" s="34" t="s">
        <v>49</v>
      </c>
      <c r="O103" s="33" t="n">
        <f>2009</f>
        <v>2009.0</v>
      </c>
      <c r="P103" s="34" t="s">
        <v>50</v>
      </c>
      <c r="Q103" s="33" t="n">
        <f>2142</f>
        <v>2142.0</v>
      </c>
      <c r="R103" s="34" t="s">
        <v>51</v>
      </c>
      <c r="S103" s="35" t="n">
        <f>2107.63</f>
        <v>2107.63</v>
      </c>
      <c r="T103" s="32" t="n">
        <f>8092</f>
        <v>8092.0</v>
      </c>
      <c r="U103" s="32" t="n">
        <f>4</f>
        <v>4.0</v>
      </c>
      <c r="V103" s="32" t="n">
        <f>16990294</f>
        <v>1.6990294E7</v>
      </c>
      <c r="W103" s="32" t="n">
        <f>8469</f>
        <v>8469.0</v>
      </c>
      <c r="X103" s="36" t="n">
        <f>19</f>
        <v>19.0</v>
      </c>
    </row>
    <row r="104">
      <c r="A104" s="27" t="s">
        <v>42</v>
      </c>
      <c r="B104" s="27" t="s">
        <v>352</v>
      </c>
      <c r="C104" s="27" t="s">
        <v>353</v>
      </c>
      <c r="D104" s="27" t="s">
        <v>354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25170</f>
        <v>25170.0</v>
      </c>
      <c r="L104" s="34" t="s">
        <v>48</v>
      </c>
      <c r="M104" s="33" t="n">
        <f>25450</f>
        <v>25450.0</v>
      </c>
      <c r="N104" s="34" t="s">
        <v>49</v>
      </c>
      <c r="O104" s="33" t="n">
        <f>23000</f>
        <v>23000.0</v>
      </c>
      <c r="P104" s="34" t="s">
        <v>72</v>
      </c>
      <c r="Q104" s="33" t="n">
        <f>24545</f>
        <v>24545.0</v>
      </c>
      <c r="R104" s="34" t="s">
        <v>51</v>
      </c>
      <c r="S104" s="35" t="n">
        <f>24148.68</f>
        <v>24148.68</v>
      </c>
      <c r="T104" s="32" t="n">
        <f>61159</f>
        <v>61159.0</v>
      </c>
      <c r="U104" s="32" t="n">
        <f>33334</f>
        <v>33334.0</v>
      </c>
      <c r="V104" s="32" t="n">
        <f>1485338980</f>
        <v>1.48533898E9</v>
      </c>
      <c r="W104" s="32" t="n">
        <f>811334670</f>
        <v>8.1133467E8</v>
      </c>
      <c r="X104" s="36" t="n">
        <f>19</f>
        <v>19.0</v>
      </c>
    </row>
    <row r="105">
      <c r="A105" s="27" t="s">
        <v>42</v>
      </c>
      <c r="B105" s="27" t="s">
        <v>355</v>
      </c>
      <c r="C105" s="27" t="s">
        <v>356</v>
      </c>
      <c r="D105" s="27" t="s">
        <v>357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2297</f>
        <v>2297.0</v>
      </c>
      <c r="L105" s="34" t="s">
        <v>48</v>
      </c>
      <c r="M105" s="33" t="n">
        <f>2323</f>
        <v>2323.0</v>
      </c>
      <c r="N105" s="34" t="s">
        <v>49</v>
      </c>
      <c r="O105" s="33" t="n">
        <f>2108</f>
        <v>2108.0</v>
      </c>
      <c r="P105" s="34" t="s">
        <v>50</v>
      </c>
      <c r="Q105" s="33" t="n">
        <f>2241</f>
        <v>2241.0</v>
      </c>
      <c r="R105" s="34" t="s">
        <v>51</v>
      </c>
      <c r="S105" s="35" t="n">
        <f>2209.58</f>
        <v>2209.58</v>
      </c>
      <c r="T105" s="32" t="n">
        <f>78085</f>
        <v>78085.0</v>
      </c>
      <c r="U105" s="32" t="str">
        <f>"－"</f>
        <v>－</v>
      </c>
      <c r="V105" s="32" t="n">
        <f>172533904</f>
        <v>1.72533904E8</v>
      </c>
      <c r="W105" s="32" t="str">
        <f>"－"</f>
        <v>－</v>
      </c>
      <c r="X105" s="36" t="n">
        <f>19</f>
        <v>19.0</v>
      </c>
    </row>
    <row r="106">
      <c r="A106" s="27" t="s">
        <v>42</v>
      </c>
      <c r="B106" s="27" t="s">
        <v>358</v>
      </c>
      <c r="C106" s="27" t="s">
        <v>359</v>
      </c>
      <c r="D106" s="27" t="s">
        <v>360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25700</f>
        <v>25700.0</v>
      </c>
      <c r="L106" s="34" t="s">
        <v>48</v>
      </c>
      <c r="M106" s="33" t="n">
        <f>25980</f>
        <v>25980.0</v>
      </c>
      <c r="N106" s="34" t="s">
        <v>49</v>
      </c>
      <c r="O106" s="33" t="n">
        <f>23575</f>
        <v>23575.0</v>
      </c>
      <c r="P106" s="34" t="s">
        <v>50</v>
      </c>
      <c r="Q106" s="33" t="n">
        <f>25070</f>
        <v>25070.0</v>
      </c>
      <c r="R106" s="34" t="s">
        <v>51</v>
      </c>
      <c r="S106" s="35" t="n">
        <f>24755.53</f>
        <v>24755.53</v>
      </c>
      <c r="T106" s="32" t="n">
        <f>12053</f>
        <v>12053.0</v>
      </c>
      <c r="U106" s="32" t="n">
        <f>3430</f>
        <v>3430.0</v>
      </c>
      <c r="V106" s="32" t="n">
        <f>299967838</f>
        <v>2.99967838E8</v>
      </c>
      <c r="W106" s="32" t="n">
        <f>85395338</f>
        <v>8.5395338E7</v>
      </c>
      <c r="X106" s="36" t="n">
        <f>19</f>
        <v>19.0</v>
      </c>
    </row>
    <row r="107">
      <c r="A107" s="27" t="s">
        <v>42</v>
      </c>
      <c r="B107" s="27" t="s">
        <v>361</v>
      </c>
      <c r="C107" s="27" t="s">
        <v>362</v>
      </c>
      <c r="D107" s="27" t="s">
        <v>363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10.0</v>
      </c>
      <c r="K107" s="33" t="n">
        <f>1807.5</f>
        <v>1807.5</v>
      </c>
      <c r="L107" s="34" t="s">
        <v>48</v>
      </c>
      <c r="M107" s="33" t="n">
        <f>1814</f>
        <v>1814.0</v>
      </c>
      <c r="N107" s="34" t="s">
        <v>267</v>
      </c>
      <c r="O107" s="33" t="n">
        <f>1774</f>
        <v>1774.0</v>
      </c>
      <c r="P107" s="34" t="s">
        <v>51</v>
      </c>
      <c r="Q107" s="33" t="n">
        <f>1776.5</f>
        <v>1776.5</v>
      </c>
      <c r="R107" s="34" t="s">
        <v>51</v>
      </c>
      <c r="S107" s="35" t="n">
        <f>1797.32</f>
        <v>1797.32</v>
      </c>
      <c r="T107" s="32" t="n">
        <f>1795500</f>
        <v>1795500.0</v>
      </c>
      <c r="U107" s="32" t="n">
        <f>1087380</f>
        <v>1087380.0</v>
      </c>
      <c r="V107" s="32" t="n">
        <f>3214204516</f>
        <v>3.214204516E9</v>
      </c>
      <c r="W107" s="32" t="n">
        <f>1944167946</f>
        <v>1.944167946E9</v>
      </c>
      <c r="X107" s="36" t="n">
        <f>19</f>
        <v>19.0</v>
      </c>
    </row>
    <row r="108">
      <c r="A108" s="27" t="s">
        <v>42</v>
      </c>
      <c r="B108" s="27" t="s">
        <v>364</v>
      </c>
      <c r="C108" s="27" t="s">
        <v>365</v>
      </c>
      <c r="D108" s="27" t="s">
        <v>366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2364.5</f>
        <v>2364.5</v>
      </c>
      <c r="L108" s="34" t="s">
        <v>61</v>
      </c>
      <c r="M108" s="33" t="n">
        <f>2364.5</f>
        <v>2364.5</v>
      </c>
      <c r="N108" s="34" t="s">
        <v>61</v>
      </c>
      <c r="O108" s="33" t="n">
        <f>2102</f>
        <v>2102.0</v>
      </c>
      <c r="P108" s="34" t="s">
        <v>162</v>
      </c>
      <c r="Q108" s="33" t="n">
        <f>2102</f>
        <v>2102.0</v>
      </c>
      <c r="R108" s="34" t="s">
        <v>162</v>
      </c>
      <c r="S108" s="35" t="n">
        <f>2125.25</f>
        <v>2125.25</v>
      </c>
      <c r="T108" s="32" t="n">
        <f>80</f>
        <v>80.0</v>
      </c>
      <c r="U108" s="32" t="str">
        <f>"－"</f>
        <v>－</v>
      </c>
      <c r="V108" s="32" t="n">
        <f>176500</f>
        <v>176500.0</v>
      </c>
      <c r="W108" s="32" t="str">
        <f>"－"</f>
        <v>－</v>
      </c>
      <c r="X108" s="36" t="n">
        <f>2</f>
        <v>2.0</v>
      </c>
    </row>
    <row r="109">
      <c r="A109" s="27" t="s">
        <v>42</v>
      </c>
      <c r="B109" s="27" t="s">
        <v>367</v>
      </c>
      <c r="C109" s="27" t="s">
        <v>368</v>
      </c>
      <c r="D109" s="27" t="s">
        <v>369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1830</f>
        <v>1830.0</v>
      </c>
      <c r="L109" s="34" t="s">
        <v>48</v>
      </c>
      <c r="M109" s="33" t="n">
        <f>1835</f>
        <v>1835.0</v>
      </c>
      <c r="N109" s="34" t="s">
        <v>48</v>
      </c>
      <c r="O109" s="33" t="n">
        <f>1766.5</f>
        <v>1766.5</v>
      </c>
      <c r="P109" s="34" t="s">
        <v>51</v>
      </c>
      <c r="Q109" s="33" t="n">
        <f>1769.5</f>
        <v>1769.5</v>
      </c>
      <c r="R109" s="34" t="s">
        <v>51</v>
      </c>
      <c r="S109" s="35" t="n">
        <f>1795.11</f>
        <v>1795.11</v>
      </c>
      <c r="T109" s="32" t="n">
        <f>2836500</f>
        <v>2836500.0</v>
      </c>
      <c r="U109" s="32" t="n">
        <f>1949560</f>
        <v>1949560.0</v>
      </c>
      <c r="V109" s="32" t="n">
        <f>5087346110</f>
        <v>5.08734611E9</v>
      </c>
      <c r="W109" s="32" t="n">
        <f>3496858535</f>
        <v>3.496858535E9</v>
      </c>
      <c r="X109" s="36" t="n">
        <f>19</f>
        <v>19.0</v>
      </c>
    </row>
    <row r="110">
      <c r="A110" s="27" t="s">
        <v>42</v>
      </c>
      <c r="B110" s="27" t="s">
        <v>370</v>
      </c>
      <c r="C110" s="27" t="s">
        <v>371</v>
      </c>
      <c r="D110" s="27" t="s">
        <v>372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1.0</v>
      </c>
      <c r="K110" s="33" t="n">
        <f>25500</f>
        <v>25500.0</v>
      </c>
      <c r="L110" s="34" t="s">
        <v>48</v>
      </c>
      <c r="M110" s="33" t="n">
        <f>25695</f>
        <v>25695.0</v>
      </c>
      <c r="N110" s="34" t="s">
        <v>49</v>
      </c>
      <c r="O110" s="33" t="n">
        <f>23400</f>
        <v>23400.0</v>
      </c>
      <c r="P110" s="34" t="s">
        <v>72</v>
      </c>
      <c r="Q110" s="33" t="n">
        <f>24800</f>
        <v>24800.0</v>
      </c>
      <c r="R110" s="34" t="s">
        <v>51</v>
      </c>
      <c r="S110" s="35" t="n">
        <f>24417.22</f>
        <v>24417.22</v>
      </c>
      <c r="T110" s="32" t="n">
        <f>10919</f>
        <v>10919.0</v>
      </c>
      <c r="U110" s="32" t="str">
        <f>"－"</f>
        <v>－</v>
      </c>
      <c r="V110" s="32" t="n">
        <f>272704390</f>
        <v>2.7270439E8</v>
      </c>
      <c r="W110" s="32" t="str">
        <f>"－"</f>
        <v>－</v>
      </c>
      <c r="X110" s="36" t="n">
        <f>18</f>
        <v>18.0</v>
      </c>
    </row>
    <row r="111">
      <c r="A111" s="27" t="s">
        <v>42</v>
      </c>
      <c r="B111" s="27" t="s">
        <v>373</v>
      </c>
      <c r="C111" s="27" t="s">
        <v>374</v>
      </c>
      <c r="D111" s="27" t="s">
        <v>375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10.0</v>
      </c>
      <c r="K111" s="33" t="n">
        <f>529.3</f>
        <v>529.3</v>
      </c>
      <c r="L111" s="34" t="s">
        <v>48</v>
      </c>
      <c r="M111" s="33" t="n">
        <f>541.1</f>
        <v>541.1</v>
      </c>
      <c r="N111" s="34" t="s">
        <v>49</v>
      </c>
      <c r="O111" s="33" t="n">
        <f>484</f>
        <v>484.0</v>
      </c>
      <c r="P111" s="34" t="s">
        <v>162</v>
      </c>
      <c r="Q111" s="33" t="n">
        <f>520</f>
        <v>520.0</v>
      </c>
      <c r="R111" s="34" t="s">
        <v>51</v>
      </c>
      <c r="S111" s="35" t="n">
        <f>512.19</f>
        <v>512.19</v>
      </c>
      <c r="T111" s="32" t="n">
        <f>2960700</f>
        <v>2960700.0</v>
      </c>
      <c r="U111" s="32" t="n">
        <f>1922970</f>
        <v>1922970.0</v>
      </c>
      <c r="V111" s="32" t="n">
        <f>1506708604</f>
        <v>1.506708604E9</v>
      </c>
      <c r="W111" s="32" t="n">
        <f>976080107</f>
        <v>9.76080107E8</v>
      </c>
      <c r="X111" s="36" t="n">
        <f>19</f>
        <v>19.0</v>
      </c>
    </row>
    <row r="112">
      <c r="A112" s="27" t="s">
        <v>42</v>
      </c>
      <c r="B112" s="27" t="s">
        <v>376</v>
      </c>
      <c r="C112" s="27" t="s">
        <v>377</v>
      </c>
      <c r="D112" s="27" t="s">
        <v>378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100.0</v>
      </c>
      <c r="K112" s="33" t="n">
        <f>326.4</f>
        <v>326.4</v>
      </c>
      <c r="L112" s="34" t="s">
        <v>48</v>
      </c>
      <c r="M112" s="33" t="n">
        <f>335.6</f>
        <v>335.6</v>
      </c>
      <c r="N112" s="34" t="s">
        <v>103</v>
      </c>
      <c r="O112" s="33" t="n">
        <f>293.4</f>
        <v>293.4</v>
      </c>
      <c r="P112" s="34" t="s">
        <v>61</v>
      </c>
      <c r="Q112" s="33" t="n">
        <f>310.9</f>
        <v>310.9</v>
      </c>
      <c r="R112" s="34" t="s">
        <v>51</v>
      </c>
      <c r="S112" s="35" t="n">
        <f>310.72</f>
        <v>310.72</v>
      </c>
      <c r="T112" s="32" t="n">
        <f>115771300</f>
        <v>1.157713E8</v>
      </c>
      <c r="U112" s="32" t="n">
        <f>11399000</f>
        <v>1.1399E7</v>
      </c>
      <c r="V112" s="32" t="n">
        <f>35922699835</f>
        <v>3.5922699835E10</v>
      </c>
      <c r="W112" s="32" t="n">
        <f>3482217435</f>
        <v>3.482217435E9</v>
      </c>
      <c r="X112" s="36" t="n">
        <f>19</f>
        <v>19.0</v>
      </c>
    </row>
    <row r="113">
      <c r="A113" s="27" t="s">
        <v>42</v>
      </c>
      <c r="B113" s="27" t="s">
        <v>379</v>
      </c>
      <c r="C113" s="27" t="s">
        <v>380</v>
      </c>
      <c r="D113" s="27" t="s">
        <v>381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37600</f>
        <v>37600.0</v>
      </c>
      <c r="L113" s="34" t="s">
        <v>48</v>
      </c>
      <c r="M113" s="33" t="n">
        <f>39000</f>
        <v>39000.0</v>
      </c>
      <c r="N113" s="34" t="s">
        <v>49</v>
      </c>
      <c r="O113" s="33" t="n">
        <f>36870</f>
        <v>36870.0</v>
      </c>
      <c r="P113" s="34" t="s">
        <v>61</v>
      </c>
      <c r="Q113" s="33" t="n">
        <f>38040</f>
        <v>38040.0</v>
      </c>
      <c r="R113" s="34" t="s">
        <v>51</v>
      </c>
      <c r="S113" s="35" t="n">
        <f>37592.63</f>
        <v>37592.63</v>
      </c>
      <c r="T113" s="32" t="n">
        <f>12961</f>
        <v>12961.0</v>
      </c>
      <c r="U113" s="32" t="n">
        <f>4212</f>
        <v>4212.0</v>
      </c>
      <c r="V113" s="32" t="n">
        <f>487588830</f>
        <v>4.8758883E8</v>
      </c>
      <c r="W113" s="32" t="n">
        <f>157121980</f>
        <v>1.5712198E8</v>
      </c>
      <c r="X113" s="36" t="n">
        <f>19</f>
        <v>19.0</v>
      </c>
    </row>
    <row r="114">
      <c r="A114" s="27" t="s">
        <v>42</v>
      </c>
      <c r="B114" s="27" t="s">
        <v>382</v>
      </c>
      <c r="C114" s="27" t="s">
        <v>383</v>
      </c>
      <c r="D114" s="27" t="s">
        <v>384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22000</f>
        <v>22000.0</v>
      </c>
      <c r="L114" s="34" t="s">
        <v>48</v>
      </c>
      <c r="M114" s="33" t="n">
        <f>22000</f>
        <v>22000.0</v>
      </c>
      <c r="N114" s="34" t="s">
        <v>48</v>
      </c>
      <c r="O114" s="33" t="n">
        <f>19295</f>
        <v>19295.0</v>
      </c>
      <c r="P114" s="34" t="s">
        <v>50</v>
      </c>
      <c r="Q114" s="33" t="n">
        <f>20880</f>
        <v>20880.0</v>
      </c>
      <c r="R114" s="34" t="s">
        <v>51</v>
      </c>
      <c r="S114" s="35" t="n">
        <f>20614.47</f>
        <v>20614.47</v>
      </c>
      <c r="T114" s="32" t="n">
        <f>19620</f>
        <v>19620.0</v>
      </c>
      <c r="U114" s="32" t="n">
        <f>5015</f>
        <v>5015.0</v>
      </c>
      <c r="V114" s="32" t="n">
        <f>399110506</f>
        <v>3.99110506E8</v>
      </c>
      <c r="W114" s="32" t="n">
        <f>99331201</f>
        <v>9.9331201E7</v>
      </c>
      <c r="X114" s="36" t="n">
        <f>19</f>
        <v>19.0</v>
      </c>
    </row>
    <row r="115">
      <c r="A115" s="27" t="s">
        <v>42</v>
      </c>
      <c r="B115" s="27" t="s">
        <v>385</v>
      </c>
      <c r="C115" s="27" t="s">
        <v>386</v>
      </c>
      <c r="D115" s="27" t="s">
        <v>387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30100</f>
        <v>30100.0</v>
      </c>
      <c r="L115" s="34" t="s">
        <v>48</v>
      </c>
      <c r="M115" s="33" t="n">
        <f>31390</f>
        <v>31390.0</v>
      </c>
      <c r="N115" s="34" t="s">
        <v>49</v>
      </c>
      <c r="O115" s="33" t="n">
        <f>28850</f>
        <v>28850.0</v>
      </c>
      <c r="P115" s="34" t="s">
        <v>72</v>
      </c>
      <c r="Q115" s="33" t="n">
        <f>30660</f>
        <v>30660.0</v>
      </c>
      <c r="R115" s="34" t="s">
        <v>51</v>
      </c>
      <c r="S115" s="35" t="n">
        <f>29928.95</f>
        <v>29928.95</v>
      </c>
      <c r="T115" s="32" t="n">
        <f>8461</f>
        <v>8461.0</v>
      </c>
      <c r="U115" s="32" t="n">
        <f>3401</f>
        <v>3401.0</v>
      </c>
      <c r="V115" s="32" t="n">
        <f>252349578</f>
        <v>2.52349578E8</v>
      </c>
      <c r="W115" s="32" t="n">
        <f>100060928</f>
        <v>1.00060928E8</v>
      </c>
      <c r="X115" s="36" t="n">
        <f>19</f>
        <v>19.0</v>
      </c>
    </row>
    <row r="116">
      <c r="A116" s="27" t="s">
        <v>42</v>
      </c>
      <c r="B116" s="27" t="s">
        <v>388</v>
      </c>
      <c r="C116" s="27" t="s">
        <v>389</v>
      </c>
      <c r="D116" s="27" t="s">
        <v>390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31200</f>
        <v>31200.0</v>
      </c>
      <c r="L116" s="34" t="s">
        <v>48</v>
      </c>
      <c r="M116" s="33" t="n">
        <f>32400</f>
        <v>32400.0</v>
      </c>
      <c r="N116" s="34" t="s">
        <v>49</v>
      </c>
      <c r="O116" s="33" t="n">
        <f>28920</f>
        <v>28920.0</v>
      </c>
      <c r="P116" s="34" t="s">
        <v>50</v>
      </c>
      <c r="Q116" s="33" t="n">
        <f>31300</f>
        <v>31300.0</v>
      </c>
      <c r="R116" s="34" t="s">
        <v>51</v>
      </c>
      <c r="S116" s="35" t="n">
        <f>30365.79</f>
        <v>30365.79</v>
      </c>
      <c r="T116" s="32" t="n">
        <f>11664</f>
        <v>11664.0</v>
      </c>
      <c r="U116" s="32" t="n">
        <f>3400</f>
        <v>3400.0</v>
      </c>
      <c r="V116" s="32" t="n">
        <f>352619696</f>
        <v>3.52619696E8</v>
      </c>
      <c r="W116" s="32" t="n">
        <f>101211166</f>
        <v>1.01211166E8</v>
      </c>
      <c r="X116" s="36" t="n">
        <f>19</f>
        <v>19.0</v>
      </c>
    </row>
    <row r="117">
      <c r="A117" s="27" t="s">
        <v>42</v>
      </c>
      <c r="B117" s="27" t="s">
        <v>391</v>
      </c>
      <c r="C117" s="27" t="s">
        <v>392</v>
      </c>
      <c r="D117" s="27" t="s">
        <v>393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31540</f>
        <v>31540.0</v>
      </c>
      <c r="L117" s="34" t="s">
        <v>48</v>
      </c>
      <c r="M117" s="33" t="n">
        <f>31540</f>
        <v>31540.0</v>
      </c>
      <c r="N117" s="34" t="s">
        <v>48</v>
      </c>
      <c r="O117" s="33" t="n">
        <f>27980</f>
        <v>27980.0</v>
      </c>
      <c r="P117" s="34" t="s">
        <v>51</v>
      </c>
      <c r="Q117" s="33" t="n">
        <f>28600</f>
        <v>28600.0</v>
      </c>
      <c r="R117" s="34" t="s">
        <v>51</v>
      </c>
      <c r="S117" s="35" t="n">
        <f>29315.79</f>
        <v>29315.79</v>
      </c>
      <c r="T117" s="32" t="n">
        <f>30321</f>
        <v>30321.0</v>
      </c>
      <c r="U117" s="32" t="n">
        <f>116</f>
        <v>116.0</v>
      </c>
      <c r="V117" s="32" t="n">
        <f>879841042</f>
        <v>8.79841042E8</v>
      </c>
      <c r="W117" s="32" t="n">
        <f>3443152</f>
        <v>3443152.0</v>
      </c>
      <c r="X117" s="36" t="n">
        <f>19</f>
        <v>19.0</v>
      </c>
    </row>
    <row r="118">
      <c r="A118" s="27" t="s">
        <v>42</v>
      </c>
      <c r="B118" s="27" t="s">
        <v>394</v>
      </c>
      <c r="C118" s="27" t="s">
        <v>395</v>
      </c>
      <c r="D118" s="27" t="s">
        <v>396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30540</f>
        <v>30540.0</v>
      </c>
      <c r="L118" s="34" t="s">
        <v>48</v>
      </c>
      <c r="M118" s="33" t="n">
        <f>31100</f>
        <v>31100.0</v>
      </c>
      <c r="N118" s="34" t="s">
        <v>49</v>
      </c>
      <c r="O118" s="33" t="n">
        <f>26670</f>
        <v>26670.0</v>
      </c>
      <c r="P118" s="34" t="s">
        <v>61</v>
      </c>
      <c r="Q118" s="33" t="n">
        <f>28715</f>
        <v>28715.0</v>
      </c>
      <c r="R118" s="34" t="s">
        <v>51</v>
      </c>
      <c r="S118" s="35" t="n">
        <f>28692.89</f>
        <v>28692.89</v>
      </c>
      <c r="T118" s="32" t="n">
        <f>20673</f>
        <v>20673.0</v>
      </c>
      <c r="U118" s="32" t="n">
        <f>4008</f>
        <v>4008.0</v>
      </c>
      <c r="V118" s="32" t="n">
        <f>589910498</f>
        <v>5.89910498E8</v>
      </c>
      <c r="W118" s="32" t="n">
        <f>109790608</f>
        <v>1.09790608E8</v>
      </c>
      <c r="X118" s="36" t="n">
        <f>19</f>
        <v>19.0</v>
      </c>
    </row>
    <row r="119">
      <c r="A119" s="27" t="s">
        <v>42</v>
      </c>
      <c r="B119" s="27" t="s">
        <v>397</v>
      </c>
      <c r="C119" s="27" t="s">
        <v>398</v>
      </c>
      <c r="D119" s="27" t="s">
        <v>399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25830</f>
        <v>25830.0</v>
      </c>
      <c r="L119" s="34" t="s">
        <v>48</v>
      </c>
      <c r="M119" s="33" t="n">
        <f>26995</f>
        <v>26995.0</v>
      </c>
      <c r="N119" s="34" t="s">
        <v>49</v>
      </c>
      <c r="O119" s="33" t="n">
        <f>23250</f>
        <v>23250.0</v>
      </c>
      <c r="P119" s="34" t="s">
        <v>50</v>
      </c>
      <c r="Q119" s="33" t="n">
        <f>26235</f>
        <v>26235.0</v>
      </c>
      <c r="R119" s="34" t="s">
        <v>51</v>
      </c>
      <c r="S119" s="35" t="n">
        <f>25024.47</f>
        <v>25024.47</v>
      </c>
      <c r="T119" s="32" t="n">
        <f>15674</f>
        <v>15674.0</v>
      </c>
      <c r="U119" s="32" t="n">
        <f>4200</f>
        <v>4200.0</v>
      </c>
      <c r="V119" s="32" t="n">
        <f>390648425</f>
        <v>3.90648425E8</v>
      </c>
      <c r="W119" s="32" t="n">
        <f>101056065</f>
        <v>1.01056065E8</v>
      </c>
      <c r="X119" s="36" t="n">
        <f>19</f>
        <v>19.0</v>
      </c>
    </row>
    <row r="120">
      <c r="A120" s="27" t="s">
        <v>42</v>
      </c>
      <c r="B120" s="27" t="s">
        <v>400</v>
      </c>
      <c r="C120" s="27" t="s">
        <v>401</v>
      </c>
      <c r="D120" s="27" t="s">
        <v>402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55280</f>
        <v>55280.0</v>
      </c>
      <c r="L120" s="34" t="s">
        <v>48</v>
      </c>
      <c r="M120" s="33" t="n">
        <f>58250</f>
        <v>58250.0</v>
      </c>
      <c r="N120" s="34" t="s">
        <v>49</v>
      </c>
      <c r="O120" s="33" t="n">
        <f>48230</f>
        <v>48230.0</v>
      </c>
      <c r="P120" s="34" t="s">
        <v>72</v>
      </c>
      <c r="Q120" s="33" t="n">
        <f>56040</f>
        <v>56040.0</v>
      </c>
      <c r="R120" s="34" t="s">
        <v>51</v>
      </c>
      <c r="S120" s="35" t="n">
        <f>52470</f>
        <v>52470.0</v>
      </c>
      <c r="T120" s="32" t="n">
        <f>9276</f>
        <v>9276.0</v>
      </c>
      <c r="U120" s="32" t="n">
        <f>2022</f>
        <v>2022.0</v>
      </c>
      <c r="V120" s="32" t="n">
        <f>492726058</f>
        <v>4.92726058E8</v>
      </c>
      <c r="W120" s="32" t="n">
        <f>103254518</f>
        <v>1.03254518E8</v>
      </c>
      <c r="X120" s="36" t="n">
        <f>19</f>
        <v>19.0</v>
      </c>
    </row>
    <row r="121">
      <c r="A121" s="27" t="s">
        <v>42</v>
      </c>
      <c r="B121" s="27" t="s">
        <v>403</v>
      </c>
      <c r="C121" s="27" t="s">
        <v>404</v>
      </c>
      <c r="D121" s="27" t="s">
        <v>405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38050</f>
        <v>38050.0</v>
      </c>
      <c r="L121" s="34" t="s">
        <v>48</v>
      </c>
      <c r="M121" s="33" t="n">
        <f>39370</f>
        <v>39370.0</v>
      </c>
      <c r="N121" s="34" t="s">
        <v>49</v>
      </c>
      <c r="O121" s="33" t="n">
        <f>33660</f>
        <v>33660.0</v>
      </c>
      <c r="P121" s="34" t="s">
        <v>72</v>
      </c>
      <c r="Q121" s="33" t="n">
        <f>37320</f>
        <v>37320.0</v>
      </c>
      <c r="R121" s="34" t="s">
        <v>51</v>
      </c>
      <c r="S121" s="35" t="n">
        <f>36272.63</f>
        <v>36272.63</v>
      </c>
      <c r="T121" s="32" t="n">
        <f>15589</f>
        <v>15589.0</v>
      </c>
      <c r="U121" s="32" t="n">
        <f>2934</f>
        <v>2934.0</v>
      </c>
      <c r="V121" s="32" t="n">
        <f>562596023</f>
        <v>5.62596023E8</v>
      </c>
      <c r="W121" s="32" t="n">
        <f>102812903</f>
        <v>1.02812903E8</v>
      </c>
      <c r="X121" s="36" t="n">
        <f>19</f>
        <v>19.0</v>
      </c>
    </row>
    <row r="122">
      <c r="A122" s="27" t="s">
        <v>42</v>
      </c>
      <c r="B122" s="27" t="s">
        <v>406</v>
      </c>
      <c r="C122" s="27" t="s">
        <v>407</v>
      </c>
      <c r="D122" s="27" t="s">
        <v>408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35380</f>
        <v>35380.0</v>
      </c>
      <c r="L122" s="34" t="s">
        <v>48</v>
      </c>
      <c r="M122" s="33" t="n">
        <f>36270</f>
        <v>36270.0</v>
      </c>
      <c r="N122" s="34" t="s">
        <v>49</v>
      </c>
      <c r="O122" s="33" t="n">
        <f>33550</f>
        <v>33550.0</v>
      </c>
      <c r="P122" s="34" t="s">
        <v>72</v>
      </c>
      <c r="Q122" s="33" t="n">
        <f>34890</f>
        <v>34890.0</v>
      </c>
      <c r="R122" s="34" t="s">
        <v>51</v>
      </c>
      <c r="S122" s="35" t="n">
        <f>34940</f>
        <v>34940.0</v>
      </c>
      <c r="T122" s="32" t="n">
        <f>11757</f>
        <v>11757.0</v>
      </c>
      <c r="U122" s="32" t="n">
        <f>727</f>
        <v>727.0</v>
      </c>
      <c r="V122" s="32" t="n">
        <f>405261380</f>
        <v>4.0526138E8</v>
      </c>
      <c r="W122" s="32" t="n">
        <f>25040790</f>
        <v>2.504079E7</v>
      </c>
      <c r="X122" s="36" t="n">
        <f>19</f>
        <v>19.0</v>
      </c>
    </row>
    <row r="123">
      <c r="A123" s="27" t="s">
        <v>42</v>
      </c>
      <c r="B123" s="27" t="s">
        <v>409</v>
      </c>
      <c r="C123" s="27" t="s">
        <v>410</v>
      </c>
      <c r="D123" s="27" t="s">
        <v>411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9383</f>
        <v>9383.0</v>
      </c>
      <c r="L123" s="34" t="s">
        <v>48</v>
      </c>
      <c r="M123" s="33" t="n">
        <f>9580</f>
        <v>9580.0</v>
      </c>
      <c r="N123" s="34" t="s">
        <v>103</v>
      </c>
      <c r="O123" s="33" t="n">
        <f>8696</f>
        <v>8696.0</v>
      </c>
      <c r="P123" s="34" t="s">
        <v>61</v>
      </c>
      <c r="Q123" s="33" t="n">
        <f>9039</f>
        <v>9039.0</v>
      </c>
      <c r="R123" s="34" t="s">
        <v>51</v>
      </c>
      <c r="S123" s="35" t="n">
        <f>9116.32</f>
        <v>9116.32</v>
      </c>
      <c r="T123" s="32" t="n">
        <f>64644</f>
        <v>64644.0</v>
      </c>
      <c r="U123" s="32" t="n">
        <f>11001</f>
        <v>11001.0</v>
      </c>
      <c r="V123" s="32" t="n">
        <f>586709709</f>
        <v>5.86709709E8</v>
      </c>
      <c r="W123" s="32" t="n">
        <f>100884547</f>
        <v>1.00884547E8</v>
      </c>
      <c r="X123" s="36" t="n">
        <f>19</f>
        <v>19.0</v>
      </c>
    </row>
    <row r="124">
      <c r="A124" s="27" t="s">
        <v>42</v>
      </c>
      <c r="B124" s="27" t="s">
        <v>412</v>
      </c>
      <c r="C124" s="27" t="s">
        <v>413</v>
      </c>
      <c r="D124" s="27" t="s">
        <v>414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18285</f>
        <v>18285.0</v>
      </c>
      <c r="L124" s="34" t="s">
        <v>48</v>
      </c>
      <c r="M124" s="33" t="n">
        <f>18840</f>
        <v>18840.0</v>
      </c>
      <c r="N124" s="34" t="s">
        <v>49</v>
      </c>
      <c r="O124" s="33" t="n">
        <f>17510</f>
        <v>17510.0</v>
      </c>
      <c r="P124" s="34" t="s">
        <v>50</v>
      </c>
      <c r="Q124" s="33" t="n">
        <f>18485</f>
        <v>18485.0</v>
      </c>
      <c r="R124" s="34" t="s">
        <v>51</v>
      </c>
      <c r="S124" s="35" t="n">
        <f>18162.37</f>
        <v>18162.37</v>
      </c>
      <c r="T124" s="32" t="n">
        <f>15238</f>
        <v>15238.0</v>
      </c>
      <c r="U124" s="32" t="n">
        <f>5605</f>
        <v>5605.0</v>
      </c>
      <c r="V124" s="32" t="n">
        <f>277539681</f>
        <v>2.77539681E8</v>
      </c>
      <c r="W124" s="32" t="n">
        <f>101911246</f>
        <v>1.01911246E8</v>
      </c>
      <c r="X124" s="36" t="n">
        <f>19</f>
        <v>19.0</v>
      </c>
    </row>
    <row r="125">
      <c r="A125" s="27" t="s">
        <v>42</v>
      </c>
      <c r="B125" s="27" t="s">
        <v>415</v>
      </c>
      <c r="C125" s="27" t="s">
        <v>416</v>
      </c>
      <c r="D125" s="27" t="s">
        <v>417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84740</f>
        <v>84740.0</v>
      </c>
      <c r="L125" s="34" t="s">
        <v>48</v>
      </c>
      <c r="M125" s="33" t="n">
        <f>87000</f>
        <v>87000.0</v>
      </c>
      <c r="N125" s="34" t="s">
        <v>49</v>
      </c>
      <c r="O125" s="33" t="n">
        <f>77530</f>
        <v>77530.0</v>
      </c>
      <c r="P125" s="34" t="s">
        <v>61</v>
      </c>
      <c r="Q125" s="33" t="n">
        <f>84100</f>
        <v>84100.0</v>
      </c>
      <c r="R125" s="34" t="s">
        <v>51</v>
      </c>
      <c r="S125" s="35" t="n">
        <f>81756.32</f>
        <v>81756.32</v>
      </c>
      <c r="T125" s="32" t="n">
        <f>21793</f>
        <v>21793.0</v>
      </c>
      <c r="U125" s="32" t="n">
        <f>50</f>
        <v>50.0</v>
      </c>
      <c r="V125" s="32" t="n">
        <f>1790417960</f>
        <v>1.79041796E9</v>
      </c>
      <c r="W125" s="32" t="n">
        <f>4137280</f>
        <v>4137280.0</v>
      </c>
      <c r="X125" s="36" t="n">
        <f>19</f>
        <v>19.0</v>
      </c>
    </row>
    <row r="126">
      <c r="A126" s="27" t="s">
        <v>42</v>
      </c>
      <c r="B126" s="27" t="s">
        <v>418</v>
      </c>
      <c r="C126" s="27" t="s">
        <v>419</v>
      </c>
      <c r="D126" s="27" t="s">
        <v>420</v>
      </c>
      <c r="E126" s="28" t="s">
        <v>46</v>
      </c>
      <c r="F126" s="29" t="s">
        <v>46</v>
      </c>
      <c r="G126" s="30" t="s">
        <v>46</v>
      </c>
      <c r="H126" s="31"/>
      <c r="I126" s="31" t="s">
        <v>421</v>
      </c>
      <c r="J126" s="32" t="n">
        <v>1.0</v>
      </c>
      <c r="K126" s="33" t="n">
        <f>10045</f>
        <v>10045.0</v>
      </c>
      <c r="L126" s="34" t="s">
        <v>103</v>
      </c>
      <c r="M126" s="33" t="n">
        <f>10300</f>
        <v>10300.0</v>
      </c>
      <c r="N126" s="34" t="s">
        <v>49</v>
      </c>
      <c r="O126" s="33" t="n">
        <f>9166</f>
        <v>9166.0</v>
      </c>
      <c r="P126" s="34" t="s">
        <v>72</v>
      </c>
      <c r="Q126" s="33" t="n">
        <f>9963</f>
        <v>9963.0</v>
      </c>
      <c r="R126" s="34" t="s">
        <v>51</v>
      </c>
      <c r="S126" s="35" t="n">
        <f>9634.6</f>
        <v>9634.6</v>
      </c>
      <c r="T126" s="32" t="n">
        <f>4854</f>
        <v>4854.0</v>
      </c>
      <c r="U126" s="32" t="str">
        <f>"－"</f>
        <v>－</v>
      </c>
      <c r="V126" s="32" t="n">
        <f>46022296</f>
        <v>4.6022296E7</v>
      </c>
      <c r="W126" s="32" t="str">
        <f>"－"</f>
        <v>－</v>
      </c>
      <c r="X126" s="36" t="n">
        <f>15</f>
        <v>15.0</v>
      </c>
    </row>
    <row r="127">
      <c r="A127" s="27" t="s">
        <v>42</v>
      </c>
      <c r="B127" s="27" t="s">
        <v>422</v>
      </c>
      <c r="C127" s="27" t="s">
        <v>423</v>
      </c>
      <c r="D127" s="27" t="s">
        <v>424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30180</f>
        <v>30180.0</v>
      </c>
      <c r="L127" s="34" t="s">
        <v>48</v>
      </c>
      <c r="M127" s="33" t="n">
        <f>31400</f>
        <v>31400.0</v>
      </c>
      <c r="N127" s="34" t="s">
        <v>49</v>
      </c>
      <c r="O127" s="33" t="n">
        <f>29315</f>
        <v>29315.0</v>
      </c>
      <c r="P127" s="34" t="s">
        <v>50</v>
      </c>
      <c r="Q127" s="33" t="n">
        <f>30770</f>
        <v>30770.0</v>
      </c>
      <c r="R127" s="34" t="s">
        <v>51</v>
      </c>
      <c r="S127" s="35" t="n">
        <f>30303.42</f>
        <v>30303.42</v>
      </c>
      <c r="T127" s="32" t="n">
        <f>20789</f>
        <v>20789.0</v>
      </c>
      <c r="U127" s="32" t="n">
        <f>6007</f>
        <v>6007.0</v>
      </c>
      <c r="V127" s="32" t="n">
        <f>631146997</f>
        <v>6.31146997E8</v>
      </c>
      <c r="W127" s="32" t="n">
        <f>181588512</f>
        <v>1.81588512E8</v>
      </c>
      <c r="X127" s="36" t="n">
        <f>19</f>
        <v>19.0</v>
      </c>
    </row>
    <row r="128">
      <c r="A128" s="27" t="s">
        <v>42</v>
      </c>
      <c r="B128" s="27" t="s">
        <v>425</v>
      </c>
      <c r="C128" s="27" t="s">
        <v>426</v>
      </c>
      <c r="D128" s="27" t="s">
        <v>427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17325</f>
        <v>17325.0</v>
      </c>
      <c r="L128" s="34" t="s">
        <v>48</v>
      </c>
      <c r="M128" s="33" t="n">
        <f>17860</f>
        <v>17860.0</v>
      </c>
      <c r="N128" s="34" t="s">
        <v>103</v>
      </c>
      <c r="O128" s="33" t="n">
        <f>15640</f>
        <v>15640.0</v>
      </c>
      <c r="P128" s="34" t="s">
        <v>61</v>
      </c>
      <c r="Q128" s="33" t="n">
        <f>16700</f>
        <v>16700.0</v>
      </c>
      <c r="R128" s="34" t="s">
        <v>51</v>
      </c>
      <c r="S128" s="35" t="n">
        <f>16540.26</f>
        <v>16540.26</v>
      </c>
      <c r="T128" s="32" t="n">
        <f>64989</f>
        <v>64989.0</v>
      </c>
      <c r="U128" s="32" t="n">
        <f>6443</f>
        <v>6443.0</v>
      </c>
      <c r="V128" s="32" t="n">
        <f>1079881271</f>
        <v>1.079881271E9</v>
      </c>
      <c r="W128" s="32" t="n">
        <f>108410591</f>
        <v>1.08410591E8</v>
      </c>
      <c r="X128" s="36" t="n">
        <f>19</f>
        <v>19.0</v>
      </c>
    </row>
    <row r="129">
      <c r="A129" s="27" t="s">
        <v>42</v>
      </c>
      <c r="B129" s="27" t="s">
        <v>428</v>
      </c>
      <c r="C129" s="27" t="s">
        <v>429</v>
      </c>
      <c r="D129" s="27" t="s">
        <v>430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27130</f>
        <v>27130.0</v>
      </c>
      <c r="L129" s="34" t="s">
        <v>48</v>
      </c>
      <c r="M129" s="33" t="n">
        <f>27695</f>
        <v>27695.0</v>
      </c>
      <c r="N129" s="34" t="s">
        <v>103</v>
      </c>
      <c r="O129" s="33" t="n">
        <f>24095</f>
        <v>24095.0</v>
      </c>
      <c r="P129" s="34" t="s">
        <v>61</v>
      </c>
      <c r="Q129" s="33" t="n">
        <f>25820</f>
        <v>25820.0</v>
      </c>
      <c r="R129" s="34" t="s">
        <v>51</v>
      </c>
      <c r="S129" s="35" t="n">
        <f>25787.11</f>
        <v>25787.11</v>
      </c>
      <c r="T129" s="32" t="n">
        <f>44836</f>
        <v>44836.0</v>
      </c>
      <c r="U129" s="32" t="n">
        <f>7119</f>
        <v>7119.0</v>
      </c>
      <c r="V129" s="32" t="n">
        <f>1154281815</f>
        <v>1.154281815E9</v>
      </c>
      <c r="W129" s="32" t="n">
        <f>181396225</f>
        <v>1.81396225E8</v>
      </c>
      <c r="X129" s="36" t="n">
        <f>19</f>
        <v>19.0</v>
      </c>
    </row>
    <row r="130">
      <c r="A130" s="27" t="s">
        <v>42</v>
      </c>
      <c r="B130" s="27" t="s">
        <v>431</v>
      </c>
      <c r="C130" s="27" t="s">
        <v>432</v>
      </c>
      <c r="D130" s="27" t="s">
        <v>433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41220</f>
        <v>41220.0</v>
      </c>
      <c r="L130" s="34" t="s">
        <v>48</v>
      </c>
      <c r="M130" s="33" t="n">
        <f>41400</f>
        <v>41400.0</v>
      </c>
      <c r="N130" s="34" t="s">
        <v>48</v>
      </c>
      <c r="O130" s="33" t="n">
        <f>37410</f>
        <v>37410.0</v>
      </c>
      <c r="P130" s="34" t="s">
        <v>61</v>
      </c>
      <c r="Q130" s="33" t="n">
        <f>38350</f>
        <v>38350.0</v>
      </c>
      <c r="R130" s="34" t="s">
        <v>51</v>
      </c>
      <c r="S130" s="35" t="n">
        <f>39083.16</f>
        <v>39083.16</v>
      </c>
      <c r="T130" s="32" t="n">
        <f>9748</f>
        <v>9748.0</v>
      </c>
      <c r="U130" s="32" t="n">
        <f>2741</f>
        <v>2741.0</v>
      </c>
      <c r="V130" s="32" t="n">
        <f>375755139</f>
        <v>3.75755139E8</v>
      </c>
      <c r="W130" s="32" t="n">
        <f>104318439</f>
        <v>1.04318439E8</v>
      </c>
      <c r="X130" s="36" t="n">
        <f>19</f>
        <v>19.0</v>
      </c>
    </row>
    <row r="131">
      <c r="A131" s="27" t="s">
        <v>42</v>
      </c>
      <c r="B131" s="27" t="s">
        <v>434</v>
      </c>
      <c r="C131" s="27" t="s">
        <v>435</v>
      </c>
      <c r="D131" s="27" t="s">
        <v>436</v>
      </c>
      <c r="E131" s="28" t="s">
        <v>46</v>
      </c>
      <c r="F131" s="29" t="s">
        <v>46</v>
      </c>
      <c r="G131" s="30" t="s">
        <v>46</v>
      </c>
      <c r="H131" s="31"/>
      <c r="I131" s="31" t="s">
        <v>421</v>
      </c>
      <c r="J131" s="32" t="n">
        <v>1.0</v>
      </c>
      <c r="K131" s="33" t="n">
        <f>9013</f>
        <v>9013.0</v>
      </c>
      <c r="L131" s="34" t="s">
        <v>48</v>
      </c>
      <c r="M131" s="33" t="n">
        <f>9032</f>
        <v>9032.0</v>
      </c>
      <c r="N131" s="34" t="s">
        <v>48</v>
      </c>
      <c r="O131" s="33" t="n">
        <f>7500</f>
        <v>7500.0</v>
      </c>
      <c r="P131" s="34" t="s">
        <v>72</v>
      </c>
      <c r="Q131" s="33" t="n">
        <f>8370</f>
        <v>8370.0</v>
      </c>
      <c r="R131" s="34" t="s">
        <v>51</v>
      </c>
      <c r="S131" s="35" t="n">
        <f>8189.63</f>
        <v>8189.63</v>
      </c>
      <c r="T131" s="32" t="n">
        <f>128476</f>
        <v>128476.0</v>
      </c>
      <c r="U131" s="32" t="str">
        <f>"－"</f>
        <v>－</v>
      </c>
      <c r="V131" s="32" t="n">
        <f>1052388923</f>
        <v>1.052388923E9</v>
      </c>
      <c r="W131" s="32" t="str">
        <f>"－"</f>
        <v>－</v>
      </c>
      <c r="X131" s="36" t="n">
        <f>19</f>
        <v>19.0</v>
      </c>
    </row>
    <row r="132">
      <c r="A132" s="27" t="s">
        <v>42</v>
      </c>
      <c r="B132" s="27" t="s">
        <v>437</v>
      </c>
      <c r="C132" s="27" t="s">
        <v>438</v>
      </c>
      <c r="D132" s="27" t="s">
        <v>439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1.0</v>
      </c>
      <c r="K132" s="33" t="n">
        <f>2000</f>
        <v>2000.0</v>
      </c>
      <c r="L132" s="34" t="s">
        <v>48</v>
      </c>
      <c r="M132" s="33" t="n">
        <f>2021</f>
        <v>2021.0</v>
      </c>
      <c r="N132" s="34" t="s">
        <v>103</v>
      </c>
      <c r="O132" s="33" t="n">
        <f>1825</f>
        <v>1825.0</v>
      </c>
      <c r="P132" s="34" t="s">
        <v>61</v>
      </c>
      <c r="Q132" s="33" t="n">
        <f>1930</f>
        <v>1930.0</v>
      </c>
      <c r="R132" s="34" t="s">
        <v>51</v>
      </c>
      <c r="S132" s="35" t="n">
        <f>1921.95</f>
        <v>1921.95</v>
      </c>
      <c r="T132" s="32" t="n">
        <f>1450096</f>
        <v>1450096.0</v>
      </c>
      <c r="U132" s="32" t="n">
        <f>791903</f>
        <v>791903.0</v>
      </c>
      <c r="V132" s="32" t="n">
        <f>2806396097</f>
        <v>2.806396097E9</v>
      </c>
      <c r="W132" s="32" t="n">
        <f>1544790057</f>
        <v>1.544790057E9</v>
      </c>
      <c r="X132" s="36" t="n">
        <f>19</f>
        <v>19.0</v>
      </c>
    </row>
    <row r="133">
      <c r="A133" s="27" t="s">
        <v>42</v>
      </c>
      <c r="B133" s="27" t="s">
        <v>440</v>
      </c>
      <c r="C133" s="27" t="s">
        <v>441</v>
      </c>
      <c r="D133" s="27" t="s">
        <v>442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3144</f>
        <v>3144.0</v>
      </c>
      <c r="L133" s="34" t="s">
        <v>119</v>
      </c>
      <c r="M133" s="33" t="n">
        <f>3266</f>
        <v>3266.0</v>
      </c>
      <c r="N133" s="34" t="s">
        <v>49</v>
      </c>
      <c r="O133" s="33" t="n">
        <f>3017</f>
        <v>3017.0</v>
      </c>
      <c r="P133" s="34" t="s">
        <v>61</v>
      </c>
      <c r="Q133" s="33" t="n">
        <f>3156</f>
        <v>3156.0</v>
      </c>
      <c r="R133" s="34" t="s">
        <v>51</v>
      </c>
      <c r="S133" s="35" t="n">
        <f>3128.54</f>
        <v>3128.54</v>
      </c>
      <c r="T133" s="32" t="n">
        <f>143800</f>
        <v>143800.0</v>
      </c>
      <c r="U133" s="32" t="n">
        <f>12320</f>
        <v>12320.0</v>
      </c>
      <c r="V133" s="32" t="n">
        <f>452037004</f>
        <v>4.52037004E8</v>
      </c>
      <c r="W133" s="32" t="n">
        <f>38564064</f>
        <v>3.8564064E7</v>
      </c>
      <c r="X133" s="36" t="n">
        <f>13</f>
        <v>13.0</v>
      </c>
    </row>
    <row r="134">
      <c r="A134" s="27" t="s">
        <v>42</v>
      </c>
      <c r="B134" s="27" t="s">
        <v>443</v>
      </c>
      <c r="C134" s="27" t="s">
        <v>444</v>
      </c>
      <c r="D134" s="27" t="s">
        <v>445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3501</f>
        <v>3501.0</v>
      </c>
      <c r="L134" s="34" t="s">
        <v>48</v>
      </c>
      <c r="M134" s="33" t="n">
        <f>3554</f>
        <v>3554.0</v>
      </c>
      <c r="N134" s="34" t="s">
        <v>49</v>
      </c>
      <c r="O134" s="33" t="n">
        <f>3215</f>
        <v>3215.0</v>
      </c>
      <c r="P134" s="34" t="s">
        <v>72</v>
      </c>
      <c r="Q134" s="33" t="n">
        <f>3423</f>
        <v>3423.0</v>
      </c>
      <c r="R134" s="34" t="s">
        <v>51</v>
      </c>
      <c r="S134" s="35" t="n">
        <f>3374.5</f>
        <v>3374.5</v>
      </c>
      <c r="T134" s="32" t="n">
        <f>70100</f>
        <v>70100.0</v>
      </c>
      <c r="U134" s="32" t="str">
        <f>"－"</f>
        <v>－</v>
      </c>
      <c r="V134" s="32" t="n">
        <f>235285090</f>
        <v>2.3528509E8</v>
      </c>
      <c r="W134" s="32" t="str">
        <f>"－"</f>
        <v>－</v>
      </c>
      <c r="X134" s="36" t="n">
        <f>18</f>
        <v>18.0</v>
      </c>
    </row>
    <row r="135">
      <c r="A135" s="27" t="s">
        <v>42</v>
      </c>
      <c r="B135" s="27" t="s">
        <v>446</v>
      </c>
      <c r="C135" s="27" t="s">
        <v>447</v>
      </c>
      <c r="D135" s="27" t="s">
        <v>448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2195</f>
        <v>2195.0</v>
      </c>
      <c r="L135" s="34" t="s">
        <v>48</v>
      </c>
      <c r="M135" s="33" t="n">
        <f>2274</f>
        <v>2274.0</v>
      </c>
      <c r="N135" s="34" t="s">
        <v>51</v>
      </c>
      <c r="O135" s="33" t="n">
        <f>2014.5</f>
        <v>2014.5</v>
      </c>
      <c r="P135" s="34" t="s">
        <v>50</v>
      </c>
      <c r="Q135" s="33" t="n">
        <f>2138.5</f>
        <v>2138.5</v>
      </c>
      <c r="R135" s="34" t="s">
        <v>51</v>
      </c>
      <c r="S135" s="35" t="n">
        <f>2102.08</f>
        <v>2102.08</v>
      </c>
      <c r="T135" s="32" t="n">
        <f>37930</f>
        <v>37930.0</v>
      </c>
      <c r="U135" s="32" t="n">
        <f>17780</f>
        <v>17780.0</v>
      </c>
      <c r="V135" s="32" t="n">
        <f>79114356</f>
        <v>7.9114356E7</v>
      </c>
      <c r="W135" s="32" t="n">
        <f>36328096</f>
        <v>3.6328096E7</v>
      </c>
      <c r="X135" s="36" t="n">
        <f>13</f>
        <v>13.0</v>
      </c>
    </row>
    <row r="136">
      <c r="A136" s="27" t="s">
        <v>42</v>
      </c>
      <c r="B136" s="27" t="s">
        <v>449</v>
      </c>
      <c r="C136" s="27" t="s">
        <v>450</v>
      </c>
      <c r="D136" s="27" t="s">
        <v>451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594.3</f>
        <v>594.3</v>
      </c>
      <c r="L136" s="34" t="s">
        <v>48</v>
      </c>
      <c r="M136" s="33" t="n">
        <f>606.9</f>
        <v>606.9</v>
      </c>
      <c r="N136" s="34" t="s">
        <v>49</v>
      </c>
      <c r="O136" s="33" t="n">
        <f>554</f>
        <v>554.0</v>
      </c>
      <c r="P136" s="34" t="s">
        <v>50</v>
      </c>
      <c r="Q136" s="33" t="n">
        <f>585.4</f>
        <v>585.4</v>
      </c>
      <c r="R136" s="34" t="s">
        <v>51</v>
      </c>
      <c r="S136" s="35" t="n">
        <f>579.21</f>
        <v>579.21</v>
      </c>
      <c r="T136" s="32" t="n">
        <f>38259960</f>
        <v>3.825996E7</v>
      </c>
      <c r="U136" s="32" t="n">
        <f>1879460</f>
        <v>1879460.0</v>
      </c>
      <c r="V136" s="32" t="n">
        <f>22210293153</f>
        <v>2.2210293153E10</v>
      </c>
      <c r="W136" s="32" t="n">
        <f>1104414861</f>
        <v>1.104414861E9</v>
      </c>
      <c r="X136" s="36" t="n">
        <f>19</f>
        <v>19.0</v>
      </c>
    </row>
    <row r="137">
      <c r="A137" s="27" t="s">
        <v>42</v>
      </c>
      <c r="B137" s="27" t="s">
        <v>452</v>
      </c>
      <c r="C137" s="27" t="s">
        <v>453</v>
      </c>
      <c r="D137" s="27" t="s">
        <v>454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10.0</v>
      </c>
      <c r="K137" s="33" t="n">
        <f>296.5</f>
        <v>296.5</v>
      </c>
      <c r="L137" s="34" t="s">
        <v>48</v>
      </c>
      <c r="M137" s="33" t="n">
        <f>300.4</f>
        <v>300.4</v>
      </c>
      <c r="N137" s="34" t="s">
        <v>49</v>
      </c>
      <c r="O137" s="33" t="n">
        <f>290.9</f>
        <v>290.9</v>
      </c>
      <c r="P137" s="34" t="s">
        <v>61</v>
      </c>
      <c r="Q137" s="33" t="n">
        <f>291.7</f>
        <v>291.7</v>
      </c>
      <c r="R137" s="34" t="s">
        <v>51</v>
      </c>
      <c r="S137" s="35" t="n">
        <f>294.62</f>
        <v>294.62</v>
      </c>
      <c r="T137" s="32" t="n">
        <f>21749840</f>
        <v>2.174984E7</v>
      </c>
      <c r="U137" s="32" t="n">
        <f>14130500</f>
        <v>1.41305E7</v>
      </c>
      <c r="V137" s="32" t="n">
        <f>6416874703</f>
        <v>6.416874703E9</v>
      </c>
      <c r="W137" s="32" t="n">
        <f>4169770745</f>
        <v>4.169770745E9</v>
      </c>
      <c r="X137" s="36" t="n">
        <f>19</f>
        <v>19.0</v>
      </c>
    </row>
    <row r="138">
      <c r="A138" s="27" t="s">
        <v>42</v>
      </c>
      <c r="B138" s="27" t="s">
        <v>455</v>
      </c>
      <c r="C138" s="27" t="s">
        <v>456</v>
      </c>
      <c r="D138" s="27" t="s">
        <v>457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4980</f>
        <v>4980.0</v>
      </c>
      <c r="L138" s="34" t="s">
        <v>48</v>
      </c>
      <c r="M138" s="33" t="n">
        <f>5080</f>
        <v>5080.0</v>
      </c>
      <c r="N138" s="34" t="s">
        <v>49</v>
      </c>
      <c r="O138" s="33" t="n">
        <f>4640</f>
        <v>4640.0</v>
      </c>
      <c r="P138" s="34" t="s">
        <v>50</v>
      </c>
      <c r="Q138" s="33" t="n">
        <f>4920</f>
        <v>4920.0</v>
      </c>
      <c r="R138" s="34" t="s">
        <v>51</v>
      </c>
      <c r="S138" s="35" t="n">
        <f>4852.63</f>
        <v>4852.63</v>
      </c>
      <c r="T138" s="32" t="n">
        <f>162999</f>
        <v>162999.0</v>
      </c>
      <c r="U138" s="32" t="n">
        <f>108310</f>
        <v>108310.0</v>
      </c>
      <c r="V138" s="32" t="n">
        <f>775930992</f>
        <v>7.75930992E8</v>
      </c>
      <c r="W138" s="32" t="n">
        <f>509557687</f>
        <v>5.09557687E8</v>
      </c>
      <c r="X138" s="36" t="n">
        <f>19</f>
        <v>19.0</v>
      </c>
    </row>
    <row r="139">
      <c r="A139" s="27" t="s">
        <v>42</v>
      </c>
      <c r="B139" s="27" t="s">
        <v>458</v>
      </c>
      <c r="C139" s="27" t="s">
        <v>459</v>
      </c>
      <c r="D139" s="27" t="s">
        <v>460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2673</f>
        <v>2673.0</v>
      </c>
      <c r="L139" s="34" t="s">
        <v>48</v>
      </c>
      <c r="M139" s="33" t="n">
        <f>2840</f>
        <v>2840.0</v>
      </c>
      <c r="N139" s="34" t="s">
        <v>49</v>
      </c>
      <c r="O139" s="33" t="n">
        <f>2498</f>
        <v>2498.0</v>
      </c>
      <c r="P139" s="34" t="s">
        <v>50</v>
      </c>
      <c r="Q139" s="33" t="n">
        <f>2807</f>
        <v>2807.0</v>
      </c>
      <c r="R139" s="34" t="s">
        <v>51</v>
      </c>
      <c r="S139" s="35" t="n">
        <f>2631.79</f>
        <v>2631.79</v>
      </c>
      <c r="T139" s="32" t="n">
        <f>193524</f>
        <v>193524.0</v>
      </c>
      <c r="U139" s="32" t="n">
        <f>104780</f>
        <v>104780.0</v>
      </c>
      <c r="V139" s="32" t="n">
        <f>509952528</f>
        <v>5.09952528E8</v>
      </c>
      <c r="W139" s="32" t="n">
        <f>274110725</f>
        <v>2.74110725E8</v>
      </c>
      <c r="X139" s="36" t="n">
        <f>19</f>
        <v>19.0</v>
      </c>
    </row>
    <row r="140">
      <c r="A140" s="27" t="s">
        <v>42</v>
      </c>
      <c r="B140" s="27" t="s">
        <v>461</v>
      </c>
      <c r="C140" s="27" t="s">
        <v>462</v>
      </c>
      <c r="D140" s="27" t="s">
        <v>463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3260</f>
        <v>3260.0</v>
      </c>
      <c r="L140" s="34" t="s">
        <v>48</v>
      </c>
      <c r="M140" s="33" t="n">
        <f>3345</f>
        <v>3345.0</v>
      </c>
      <c r="N140" s="34" t="s">
        <v>464</v>
      </c>
      <c r="O140" s="33" t="n">
        <f>3165</f>
        <v>3165.0</v>
      </c>
      <c r="P140" s="34" t="s">
        <v>72</v>
      </c>
      <c r="Q140" s="33" t="n">
        <f>3245</f>
        <v>3245.0</v>
      </c>
      <c r="R140" s="34" t="s">
        <v>51</v>
      </c>
      <c r="S140" s="35" t="n">
        <f>3259.74</f>
        <v>3259.74</v>
      </c>
      <c r="T140" s="32" t="n">
        <f>235866</f>
        <v>235866.0</v>
      </c>
      <c r="U140" s="32" t="n">
        <f>1</f>
        <v>1.0</v>
      </c>
      <c r="V140" s="32" t="n">
        <f>772785510</f>
        <v>7.7278551E8</v>
      </c>
      <c r="W140" s="32" t="n">
        <f>3270</f>
        <v>3270.0</v>
      </c>
      <c r="X140" s="36" t="n">
        <f>19</f>
        <v>19.0</v>
      </c>
    </row>
    <row r="141">
      <c r="A141" s="27" t="s">
        <v>42</v>
      </c>
      <c r="B141" s="27" t="s">
        <v>465</v>
      </c>
      <c r="C141" s="27" t="s">
        <v>466</v>
      </c>
      <c r="D141" s="27" t="s">
        <v>467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10080</f>
        <v>10080.0</v>
      </c>
      <c r="L141" s="34" t="s">
        <v>48</v>
      </c>
      <c r="M141" s="33" t="n">
        <f>10100</f>
        <v>10100.0</v>
      </c>
      <c r="N141" s="34" t="s">
        <v>48</v>
      </c>
      <c r="O141" s="33" t="n">
        <f>9806</f>
        <v>9806.0</v>
      </c>
      <c r="P141" s="34" t="s">
        <v>50</v>
      </c>
      <c r="Q141" s="33" t="n">
        <f>9845</f>
        <v>9845.0</v>
      </c>
      <c r="R141" s="34" t="s">
        <v>51</v>
      </c>
      <c r="S141" s="35" t="n">
        <f>9933.16</f>
        <v>9933.16</v>
      </c>
      <c r="T141" s="32" t="n">
        <f>49553</f>
        <v>49553.0</v>
      </c>
      <c r="U141" s="32" t="n">
        <f>11035</f>
        <v>11035.0</v>
      </c>
      <c r="V141" s="32" t="n">
        <f>492422409</f>
        <v>4.92422409E8</v>
      </c>
      <c r="W141" s="32" t="n">
        <f>109567921</f>
        <v>1.09567921E8</v>
      </c>
      <c r="X141" s="36" t="n">
        <f>19</f>
        <v>19.0</v>
      </c>
    </row>
    <row r="142">
      <c r="A142" s="27" t="s">
        <v>42</v>
      </c>
      <c r="B142" s="27" t="s">
        <v>468</v>
      </c>
      <c r="C142" s="27" t="s">
        <v>469</v>
      </c>
      <c r="D142" s="27" t="s">
        <v>470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2961</f>
        <v>2961.0</v>
      </c>
      <c r="L142" s="34" t="s">
        <v>48</v>
      </c>
      <c r="M142" s="33" t="n">
        <f>3010</f>
        <v>3010.0</v>
      </c>
      <c r="N142" s="34" t="s">
        <v>103</v>
      </c>
      <c r="O142" s="33" t="n">
        <f>2585</f>
        <v>2585.0</v>
      </c>
      <c r="P142" s="34" t="s">
        <v>50</v>
      </c>
      <c r="Q142" s="33" t="n">
        <f>2765</f>
        <v>2765.0</v>
      </c>
      <c r="R142" s="34" t="s">
        <v>51</v>
      </c>
      <c r="S142" s="35" t="n">
        <f>2785.84</f>
        <v>2785.84</v>
      </c>
      <c r="T142" s="32" t="n">
        <f>5079477</f>
        <v>5079477.0</v>
      </c>
      <c r="U142" s="32" t="n">
        <f>254</f>
        <v>254.0</v>
      </c>
      <c r="V142" s="32" t="n">
        <f>14108321204</f>
        <v>1.4108321204E10</v>
      </c>
      <c r="W142" s="32" t="n">
        <f>709876</f>
        <v>709876.0</v>
      </c>
      <c r="X142" s="36" t="n">
        <f>19</f>
        <v>19.0</v>
      </c>
    </row>
    <row r="143">
      <c r="A143" s="27" t="s">
        <v>42</v>
      </c>
      <c r="B143" s="27" t="s">
        <v>471</v>
      </c>
      <c r="C143" s="27" t="s">
        <v>472</v>
      </c>
      <c r="D143" s="27" t="s">
        <v>473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34540</f>
        <v>34540.0</v>
      </c>
      <c r="L143" s="34" t="s">
        <v>48</v>
      </c>
      <c r="M143" s="33" t="n">
        <f>36470</f>
        <v>36470.0</v>
      </c>
      <c r="N143" s="34" t="s">
        <v>49</v>
      </c>
      <c r="O143" s="33" t="n">
        <f>33140</f>
        <v>33140.0</v>
      </c>
      <c r="P143" s="34" t="s">
        <v>72</v>
      </c>
      <c r="Q143" s="33" t="n">
        <f>35240</f>
        <v>35240.0</v>
      </c>
      <c r="R143" s="34" t="s">
        <v>51</v>
      </c>
      <c r="S143" s="35" t="n">
        <f>34298.95</f>
        <v>34298.95</v>
      </c>
      <c r="T143" s="32" t="n">
        <f>6582</f>
        <v>6582.0</v>
      </c>
      <c r="U143" s="32" t="n">
        <f>1</f>
        <v>1.0</v>
      </c>
      <c r="V143" s="32" t="n">
        <f>228021890</f>
        <v>2.2802189E8</v>
      </c>
      <c r="W143" s="32" t="n">
        <f>34030</f>
        <v>34030.0</v>
      </c>
      <c r="X143" s="36" t="n">
        <f>19</f>
        <v>19.0</v>
      </c>
    </row>
    <row r="144">
      <c r="A144" s="27" t="s">
        <v>42</v>
      </c>
      <c r="B144" s="27" t="s">
        <v>474</v>
      </c>
      <c r="C144" s="27" t="s">
        <v>475</v>
      </c>
      <c r="D144" s="27" t="s">
        <v>476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10.0</v>
      </c>
      <c r="K144" s="33" t="n">
        <f>3881</f>
        <v>3881.0</v>
      </c>
      <c r="L144" s="34" t="s">
        <v>48</v>
      </c>
      <c r="M144" s="33" t="n">
        <f>4285</f>
        <v>4285.0</v>
      </c>
      <c r="N144" s="34" t="s">
        <v>49</v>
      </c>
      <c r="O144" s="33" t="n">
        <f>3645</f>
        <v>3645.0</v>
      </c>
      <c r="P144" s="34" t="s">
        <v>72</v>
      </c>
      <c r="Q144" s="33" t="n">
        <f>4125</f>
        <v>4125.0</v>
      </c>
      <c r="R144" s="34" t="s">
        <v>51</v>
      </c>
      <c r="S144" s="35" t="n">
        <f>3922.95</f>
        <v>3922.95</v>
      </c>
      <c r="T144" s="32" t="n">
        <f>43810</f>
        <v>43810.0</v>
      </c>
      <c r="U144" s="32" t="str">
        <f>"－"</f>
        <v>－</v>
      </c>
      <c r="V144" s="32" t="n">
        <f>175432090</f>
        <v>1.7543209E8</v>
      </c>
      <c r="W144" s="32" t="str">
        <f>"－"</f>
        <v>－</v>
      </c>
      <c r="X144" s="36" t="n">
        <f>19</f>
        <v>19.0</v>
      </c>
    </row>
    <row r="145">
      <c r="A145" s="27" t="s">
        <v>42</v>
      </c>
      <c r="B145" s="27" t="s">
        <v>477</v>
      </c>
      <c r="C145" s="27" t="s">
        <v>478</v>
      </c>
      <c r="D145" s="27" t="s">
        <v>479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12520</f>
        <v>12520.0</v>
      </c>
      <c r="L145" s="34" t="s">
        <v>48</v>
      </c>
      <c r="M145" s="33" t="n">
        <f>13450</f>
        <v>13450.0</v>
      </c>
      <c r="N145" s="34" t="s">
        <v>49</v>
      </c>
      <c r="O145" s="33" t="n">
        <f>11800</f>
        <v>11800.0</v>
      </c>
      <c r="P145" s="34" t="s">
        <v>93</v>
      </c>
      <c r="Q145" s="33" t="n">
        <f>13000</f>
        <v>13000.0</v>
      </c>
      <c r="R145" s="34" t="s">
        <v>51</v>
      </c>
      <c r="S145" s="35" t="n">
        <f>12651.32</f>
        <v>12651.32</v>
      </c>
      <c r="T145" s="32" t="n">
        <f>8267</f>
        <v>8267.0</v>
      </c>
      <c r="U145" s="32" t="str">
        <f>"－"</f>
        <v>－</v>
      </c>
      <c r="V145" s="32" t="n">
        <f>103901490</f>
        <v>1.0390149E8</v>
      </c>
      <c r="W145" s="32" t="str">
        <f>"－"</f>
        <v>－</v>
      </c>
      <c r="X145" s="36" t="n">
        <f>19</f>
        <v>19.0</v>
      </c>
    </row>
    <row r="146">
      <c r="A146" s="27" t="s">
        <v>42</v>
      </c>
      <c r="B146" s="27" t="s">
        <v>480</v>
      </c>
      <c r="C146" s="27" t="s">
        <v>481</v>
      </c>
      <c r="D146" s="27" t="s">
        <v>482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13045</f>
        <v>13045.0</v>
      </c>
      <c r="L146" s="34" t="s">
        <v>48</v>
      </c>
      <c r="M146" s="33" t="n">
        <f>14605</f>
        <v>14605.0</v>
      </c>
      <c r="N146" s="34" t="s">
        <v>162</v>
      </c>
      <c r="O146" s="33" t="n">
        <f>12025</f>
        <v>12025.0</v>
      </c>
      <c r="P146" s="34" t="s">
        <v>72</v>
      </c>
      <c r="Q146" s="33" t="n">
        <f>13260</f>
        <v>13260.0</v>
      </c>
      <c r="R146" s="34" t="s">
        <v>51</v>
      </c>
      <c r="S146" s="35" t="n">
        <f>13302.37</f>
        <v>13302.37</v>
      </c>
      <c r="T146" s="32" t="n">
        <f>8331</f>
        <v>8331.0</v>
      </c>
      <c r="U146" s="32" t="str">
        <f>"－"</f>
        <v>－</v>
      </c>
      <c r="V146" s="32" t="n">
        <f>114016665</f>
        <v>1.14016665E8</v>
      </c>
      <c r="W146" s="32" t="str">
        <f>"－"</f>
        <v>－</v>
      </c>
      <c r="X146" s="36" t="n">
        <f>19</f>
        <v>19.0</v>
      </c>
    </row>
    <row r="147">
      <c r="A147" s="27" t="s">
        <v>42</v>
      </c>
      <c r="B147" s="27" t="s">
        <v>483</v>
      </c>
      <c r="C147" s="27" t="s">
        <v>484</v>
      </c>
      <c r="D147" s="27" t="s">
        <v>485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1.0</v>
      </c>
      <c r="K147" s="33" t="n">
        <f>22235</f>
        <v>22235.0</v>
      </c>
      <c r="L147" s="34" t="s">
        <v>48</v>
      </c>
      <c r="M147" s="33" t="n">
        <f>23985</f>
        <v>23985.0</v>
      </c>
      <c r="N147" s="34" t="s">
        <v>49</v>
      </c>
      <c r="O147" s="33" t="n">
        <f>21160</f>
        <v>21160.0</v>
      </c>
      <c r="P147" s="34" t="s">
        <v>93</v>
      </c>
      <c r="Q147" s="33" t="n">
        <f>22780</f>
        <v>22780.0</v>
      </c>
      <c r="R147" s="34" t="s">
        <v>51</v>
      </c>
      <c r="S147" s="35" t="n">
        <f>22442.94</f>
        <v>22442.94</v>
      </c>
      <c r="T147" s="32" t="n">
        <f>712</f>
        <v>712.0</v>
      </c>
      <c r="U147" s="32" t="str">
        <f>"－"</f>
        <v>－</v>
      </c>
      <c r="V147" s="32" t="n">
        <f>15645255</f>
        <v>1.5645255E7</v>
      </c>
      <c r="W147" s="32" t="str">
        <f>"－"</f>
        <v>－</v>
      </c>
      <c r="X147" s="36" t="n">
        <f>17</f>
        <v>17.0</v>
      </c>
    </row>
    <row r="148">
      <c r="A148" s="27" t="s">
        <v>42</v>
      </c>
      <c r="B148" s="27" t="s">
        <v>486</v>
      </c>
      <c r="C148" s="27" t="s">
        <v>487</v>
      </c>
      <c r="D148" s="27" t="s">
        <v>488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54850</f>
        <v>54850.0</v>
      </c>
      <c r="L148" s="34" t="s">
        <v>48</v>
      </c>
      <c r="M148" s="33" t="n">
        <f>56190</f>
        <v>56190.0</v>
      </c>
      <c r="N148" s="34" t="s">
        <v>103</v>
      </c>
      <c r="O148" s="33" t="n">
        <f>53930</f>
        <v>53930.0</v>
      </c>
      <c r="P148" s="34" t="s">
        <v>68</v>
      </c>
      <c r="Q148" s="33" t="n">
        <f>54690</f>
        <v>54690.0</v>
      </c>
      <c r="R148" s="34" t="s">
        <v>51</v>
      </c>
      <c r="S148" s="35" t="n">
        <f>54733.89</f>
        <v>54733.89</v>
      </c>
      <c r="T148" s="32" t="n">
        <f>2730</f>
        <v>2730.0</v>
      </c>
      <c r="U148" s="32" t="n">
        <f>10</f>
        <v>10.0</v>
      </c>
      <c r="V148" s="32" t="n">
        <f>149336100</f>
        <v>1.493361E8</v>
      </c>
      <c r="W148" s="32" t="n">
        <f>550700</f>
        <v>550700.0</v>
      </c>
      <c r="X148" s="36" t="n">
        <f>18</f>
        <v>18.0</v>
      </c>
    </row>
    <row r="149">
      <c r="A149" s="27" t="s">
        <v>42</v>
      </c>
      <c r="B149" s="27" t="s">
        <v>489</v>
      </c>
      <c r="C149" s="27" t="s">
        <v>490</v>
      </c>
      <c r="D149" s="27" t="s">
        <v>491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372.4</f>
        <v>372.4</v>
      </c>
      <c r="L149" s="34" t="s">
        <v>48</v>
      </c>
      <c r="M149" s="33" t="n">
        <f>385.5</f>
        <v>385.5</v>
      </c>
      <c r="N149" s="34" t="s">
        <v>49</v>
      </c>
      <c r="O149" s="33" t="n">
        <f>349.5</f>
        <v>349.5</v>
      </c>
      <c r="P149" s="34" t="s">
        <v>72</v>
      </c>
      <c r="Q149" s="33" t="n">
        <f>368.5</f>
        <v>368.5</v>
      </c>
      <c r="R149" s="34" t="s">
        <v>51</v>
      </c>
      <c r="S149" s="35" t="n">
        <f>365.97</f>
        <v>365.97</v>
      </c>
      <c r="T149" s="32" t="n">
        <f>37075360</f>
        <v>3.707536E7</v>
      </c>
      <c r="U149" s="32" t="n">
        <f>261720</f>
        <v>261720.0</v>
      </c>
      <c r="V149" s="32" t="n">
        <f>13620605688</f>
        <v>1.3620605688E10</v>
      </c>
      <c r="W149" s="32" t="n">
        <f>94821319</f>
        <v>9.4821319E7</v>
      </c>
      <c r="X149" s="36" t="n">
        <f>19</f>
        <v>19.0</v>
      </c>
    </row>
    <row r="150">
      <c r="A150" s="27" t="s">
        <v>42</v>
      </c>
      <c r="B150" s="27" t="s">
        <v>492</v>
      </c>
      <c r="C150" s="27" t="s">
        <v>493</v>
      </c>
      <c r="D150" s="27" t="s">
        <v>494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50970</f>
        <v>50970.0</v>
      </c>
      <c r="L150" s="34" t="s">
        <v>48</v>
      </c>
      <c r="M150" s="33" t="n">
        <f>51540</f>
        <v>51540.0</v>
      </c>
      <c r="N150" s="34" t="s">
        <v>49</v>
      </c>
      <c r="O150" s="33" t="n">
        <f>47760</f>
        <v>47760.0</v>
      </c>
      <c r="P150" s="34" t="s">
        <v>50</v>
      </c>
      <c r="Q150" s="33" t="n">
        <f>50480</f>
        <v>50480.0</v>
      </c>
      <c r="R150" s="34" t="s">
        <v>51</v>
      </c>
      <c r="S150" s="35" t="n">
        <f>49644.21</f>
        <v>49644.21</v>
      </c>
      <c r="T150" s="32" t="n">
        <f>2270</f>
        <v>2270.0</v>
      </c>
      <c r="U150" s="32" t="n">
        <f>10</f>
        <v>10.0</v>
      </c>
      <c r="V150" s="32" t="n">
        <f>112485300</f>
        <v>1.124853E8</v>
      </c>
      <c r="W150" s="32" t="n">
        <f>506100</f>
        <v>506100.0</v>
      </c>
      <c r="X150" s="36" t="n">
        <f>19</f>
        <v>19.0</v>
      </c>
    </row>
    <row r="151">
      <c r="A151" s="27" t="s">
        <v>42</v>
      </c>
      <c r="B151" s="27" t="s">
        <v>495</v>
      </c>
      <c r="C151" s="27" t="s">
        <v>496</v>
      </c>
      <c r="D151" s="27" t="s">
        <v>497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5710</f>
        <v>5710.0</v>
      </c>
      <c r="L151" s="34" t="s">
        <v>48</v>
      </c>
      <c r="M151" s="33" t="n">
        <f>5833</f>
        <v>5833.0</v>
      </c>
      <c r="N151" s="34" t="s">
        <v>49</v>
      </c>
      <c r="O151" s="33" t="n">
        <f>5321</f>
        <v>5321.0</v>
      </c>
      <c r="P151" s="34" t="s">
        <v>50</v>
      </c>
      <c r="Q151" s="33" t="n">
        <f>5639</f>
        <v>5639.0</v>
      </c>
      <c r="R151" s="34" t="s">
        <v>51</v>
      </c>
      <c r="S151" s="35" t="n">
        <f>5563.95</f>
        <v>5563.95</v>
      </c>
      <c r="T151" s="32" t="n">
        <f>51700</f>
        <v>51700.0</v>
      </c>
      <c r="U151" s="32" t="str">
        <f>"－"</f>
        <v>－</v>
      </c>
      <c r="V151" s="32" t="n">
        <f>289840580</f>
        <v>2.8984058E8</v>
      </c>
      <c r="W151" s="32" t="str">
        <f>"－"</f>
        <v>－</v>
      </c>
      <c r="X151" s="36" t="n">
        <f>19</f>
        <v>19.0</v>
      </c>
    </row>
    <row r="152">
      <c r="A152" s="27" t="s">
        <v>42</v>
      </c>
      <c r="B152" s="27" t="s">
        <v>498</v>
      </c>
      <c r="C152" s="27" t="s">
        <v>499</v>
      </c>
      <c r="D152" s="27" t="s">
        <v>500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2027.5</f>
        <v>2027.5</v>
      </c>
      <c r="L152" s="34" t="s">
        <v>48</v>
      </c>
      <c r="M152" s="33" t="n">
        <f>2185</f>
        <v>2185.0</v>
      </c>
      <c r="N152" s="34" t="s">
        <v>49</v>
      </c>
      <c r="O152" s="33" t="n">
        <f>1901.5</f>
        <v>1901.5</v>
      </c>
      <c r="P152" s="34" t="s">
        <v>50</v>
      </c>
      <c r="Q152" s="33" t="n">
        <f>2133</f>
        <v>2133.0</v>
      </c>
      <c r="R152" s="34" t="s">
        <v>51</v>
      </c>
      <c r="S152" s="35" t="n">
        <f>2015.05</f>
        <v>2015.05</v>
      </c>
      <c r="T152" s="32" t="n">
        <f>140660</f>
        <v>140660.0</v>
      </c>
      <c r="U152" s="32" t="n">
        <f>19500</f>
        <v>19500.0</v>
      </c>
      <c r="V152" s="32" t="n">
        <f>290398040</f>
        <v>2.9039804E8</v>
      </c>
      <c r="W152" s="32" t="n">
        <f>39054450</f>
        <v>3.905445E7</v>
      </c>
      <c r="X152" s="36" t="n">
        <f>19</f>
        <v>19.0</v>
      </c>
    </row>
    <row r="153">
      <c r="A153" s="27" t="s">
        <v>42</v>
      </c>
      <c r="B153" s="27" t="s">
        <v>501</v>
      </c>
      <c r="C153" s="27" t="s">
        <v>502</v>
      </c>
      <c r="D153" s="27" t="s">
        <v>503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1529</f>
        <v>1529.0</v>
      </c>
      <c r="L153" s="34" t="s">
        <v>48</v>
      </c>
      <c r="M153" s="33" t="n">
        <f>1625</f>
        <v>1625.0</v>
      </c>
      <c r="N153" s="34" t="s">
        <v>49</v>
      </c>
      <c r="O153" s="33" t="n">
        <f>1491.5</f>
        <v>1491.5</v>
      </c>
      <c r="P153" s="34" t="s">
        <v>68</v>
      </c>
      <c r="Q153" s="33" t="n">
        <f>1598</f>
        <v>1598.0</v>
      </c>
      <c r="R153" s="34" t="s">
        <v>51</v>
      </c>
      <c r="S153" s="35" t="n">
        <f>1557.44</f>
        <v>1557.44</v>
      </c>
      <c r="T153" s="32" t="n">
        <f>3170</f>
        <v>3170.0</v>
      </c>
      <c r="U153" s="32" t="str">
        <f>"－"</f>
        <v>－</v>
      </c>
      <c r="V153" s="32" t="n">
        <f>4945100</f>
        <v>4945100.0</v>
      </c>
      <c r="W153" s="32" t="str">
        <f>"－"</f>
        <v>－</v>
      </c>
      <c r="X153" s="36" t="n">
        <f>16</f>
        <v>16.0</v>
      </c>
    </row>
    <row r="154">
      <c r="A154" s="27" t="s">
        <v>42</v>
      </c>
      <c r="B154" s="27" t="s">
        <v>504</v>
      </c>
      <c r="C154" s="27" t="s">
        <v>505</v>
      </c>
      <c r="D154" s="27" t="s">
        <v>506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513.1</f>
        <v>513.1</v>
      </c>
      <c r="L154" s="34" t="s">
        <v>48</v>
      </c>
      <c r="M154" s="33" t="n">
        <f>513.1</f>
        <v>513.1</v>
      </c>
      <c r="N154" s="34" t="s">
        <v>48</v>
      </c>
      <c r="O154" s="33" t="n">
        <f>443</f>
        <v>443.0</v>
      </c>
      <c r="P154" s="34" t="s">
        <v>50</v>
      </c>
      <c r="Q154" s="33" t="n">
        <f>475.5</f>
        <v>475.5</v>
      </c>
      <c r="R154" s="34" t="s">
        <v>51</v>
      </c>
      <c r="S154" s="35" t="n">
        <f>474.01</f>
        <v>474.01</v>
      </c>
      <c r="T154" s="32" t="n">
        <f>49520</f>
        <v>49520.0</v>
      </c>
      <c r="U154" s="32" t="str">
        <f>"－"</f>
        <v>－</v>
      </c>
      <c r="V154" s="32" t="n">
        <f>23422941</f>
        <v>2.3422941E7</v>
      </c>
      <c r="W154" s="32" t="str">
        <f>"－"</f>
        <v>－</v>
      </c>
      <c r="X154" s="36" t="n">
        <f>19</f>
        <v>19.0</v>
      </c>
    </row>
    <row r="155">
      <c r="A155" s="27" t="s">
        <v>42</v>
      </c>
      <c r="B155" s="27" t="s">
        <v>507</v>
      </c>
      <c r="C155" s="27" t="s">
        <v>508</v>
      </c>
      <c r="D155" s="27" t="s">
        <v>509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2332.5</f>
        <v>2332.5</v>
      </c>
      <c r="L155" s="34" t="s">
        <v>48</v>
      </c>
      <c r="M155" s="33" t="n">
        <f>2359</f>
        <v>2359.0</v>
      </c>
      <c r="N155" s="34" t="s">
        <v>49</v>
      </c>
      <c r="O155" s="33" t="n">
        <f>2039</f>
        <v>2039.0</v>
      </c>
      <c r="P155" s="34" t="s">
        <v>50</v>
      </c>
      <c r="Q155" s="33" t="n">
        <f>2303</f>
        <v>2303.0</v>
      </c>
      <c r="R155" s="34" t="s">
        <v>51</v>
      </c>
      <c r="S155" s="35" t="n">
        <f>2162.79</f>
        <v>2162.79</v>
      </c>
      <c r="T155" s="32" t="n">
        <f>3580</f>
        <v>3580.0</v>
      </c>
      <c r="U155" s="32" t="str">
        <f>"－"</f>
        <v>－</v>
      </c>
      <c r="V155" s="32" t="n">
        <f>7781200</f>
        <v>7781200.0</v>
      </c>
      <c r="W155" s="32" t="str">
        <f>"－"</f>
        <v>－</v>
      </c>
      <c r="X155" s="36" t="n">
        <f>19</f>
        <v>19.0</v>
      </c>
    </row>
    <row r="156">
      <c r="A156" s="27" t="s">
        <v>42</v>
      </c>
      <c r="B156" s="27" t="s">
        <v>510</v>
      </c>
      <c r="C156" s="27" t="s">
        <v>511</v>
      </c>
      <c r="D156" s="27" t="s">
        <v>512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827</f>
        <v>827.0</v>
      </c>
      <c r="L156" s="34" t="s">
        <v>48</v>
      </c>
      <c r="M156" s="33" t="n">
        <f>894.4</f>
        <v>894.4</v>
      </c>
      <c r="N156" s="34" t="s">
        <v>464</v>
      </c>
      <c r="O156" s="33" t="n">
        <f>805.1</f>
        <v>805.1</v>
      </c>
      <c r="P156" s="34" t="s">
        <v>68</v>
      </c>
      <c r="Q156" s="33" t="n">
        <f>866</f>
        <v>866.0</v>
      </c>
      <c r="R156" s="34" t="s">
        <v>51</v>
      </c>
      <c r="S156" s="35" t="n">
        <f>839.04</f>
        <v>839.04</v>
      </c>
      <c r="T156" s="32" t="n">
        <f>34530</f>
        <v>34530.0</v>
      </c>
      <c r="U156" s="32" t="str">
        <f>"－"</f>
        <v>－</v>
      </c>
      <c r="V156" s="32" t="n">
        <f>28973932</f>
        <v>2.8973932E7</v>
      </c>
      <c r="W156" s="32" t="str">
        <f>"－"</f>
        <v>－</v>
      </c>
      <c r="X156" s="36" t="n">
        <f>19</f>
        <v>19.0</v>
      </c>
    </row>
    <row r="157">
      <c r="A157" s="27" t="s">
        <v>42</v>
      </c>
      <c r="B157" s="27" t="s">
        <v>513</v>
      </c>
      <c r="C157" s="27" t="s">
        <v>514</v>
      </c>
      <c r="D157" s="27" t="s">
        <v>515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497.9</f>
        <v>497.9</v>
      </c>
      <c r="L157" s="34" t="s">
        <v>48</v>
      </c>
      <c r="M157" s="33" t="n">
        <f>538.1</f>
        <v>538.1</v>
      </c>
      <c r="N157" s="34" t="s">
        <v>49</v>
      </c>
      <c r="O157" s="33" t="n">
        <f>486.9</f>
        <v>486.9</v>
      </c>
      <c r="P157" s="34" t="s">
        <v>50</v>
      </c>
      <c r="Q157" s="33" t="n">
        <f>503.7</f>
        <v>503.7</v>
      </c>
      <c r="R157" s="34" t="s">
        <v>51</v>
      </c>
      <c r="S157" s="35" t="n">
        <f>498.51</f>
        <v>498.51</v>
      </c>
      <c r="T157" s="32" t="n">
        <f>256970</f>
        <v>256970.0</v>
      </c>
      <c r="U157" s="32" t="str">
        <f>"－"</f>
        <v>－</v>
      </c>
      <c r="V157" s="32" t="n">
        <f>128989504</f>
        <v>1.28989504E8</v>
      </c>
      <c r="W157" s="32" t="str">
        <f>"－"</f>
        <v>－</v>
      </c>
      <c r="X157" s="36" t="n">
        <f>19</f>
        <v>19.0</v>
      </c>
    </row>
    <row r="158">
      <c r="A158" s="27" t="s">
        <v>42</v>
      </c>
      <c r="B158" s="27" t="s">
        <v>516</v>
      </c>
      <c r="C158" s="27" t="s">
        <v>517</v>
      </c>
      <c r="D158" s="27" t="s">
        <v>518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1.0</v>
      </c>
      <c r="K158" s="33" t="n">
        <f>990</f>
        <v>990.0</v>
      </c>
      <c r="L158" s="34" t="s">
        <v>48</v>
      </c>
      <c r="M158" s="33" t="n">
        <f>1105</f>
        <v>1105.0</v>
      </c>
      <c r="N158" s="34" t="s">
        <v>226</v>
      </c>
      <c r="O158" s="33" t="n">
        <f>950</f>
        <v>950.0</v>
      </c>
      <c r="P158" s="34" t="s">
        <v>93</v>
      </c>
      <c r="Q158" s="33" t="n">
        <f>1085</f>
        <v>1085.0</v>
      </c>
      <c r="R158" s="34" t="s">
        <v>51</v>
      </c>
      <c r="S158" s="35" t="n">
        <f>1007.11</f>
        <v>1007.11</v>
      </c>
      <c r="T158" s="32" t="n">
        <f>772695</f>
        <v>772695.0</v>
      </c>
      <c r="U158" s="32" t="str">
        <f>"－"</f>
        <v>－</v>
      </c>
      <c r="V158" s="32" t="n">
        <f>800247899</f>
        <v>8.00247899E8</v>
      </c>
      <c r="W158" s="32" t="str">
        <f>"－"</f>
        <v>－</v>
      </c>
      <c r="X158" s="36" t="n">
        <f>19</f>
        <v>19.0</v>
      </c>
    </row>
    <row r="159">
      <c r="A159" s="27" t="s">
        <v>42</v>
      </c>
      <c r="B159" s="27" t="s">
        <v>519</v>
      </c>
      <c r="C159" s="27" t="s">
        <v>520</v>
      </c>
      <c r="D159" s="27" t="s">
        <v>521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10.0</v>
      </c>
      <c r="K159" s="33" t="n">
        <f>1370</f>
        <v>1370.0</v>
      </c>
      <c r="L159" s="34" t="s">
        <v>48</v>
      </c>
      <c r="M159" s="33" t="n">
        <f>1465</f>
        <v>1465.0</v>
      </c>
      <c r="N159" s="34" t="s">
        <v>48</v>
      </c>
      <c r="O159" s="33" t="n">
        <f>1247</f>
        <v>1247.0</v>
      </c>
      <c r="P159" s="34" t="s">
        <v>50</v>
      </c>
      <c r="Q159" s="33" t="n">
        <f>1330</f>
        <v>1330.0</v>
      </c>
      <c r="R159" s="34" t="s">
        <v>51</v>
      </c>
      <c r="S159" s="35" t="n">
        <f>1336.55</f>
        <v>1336.55</v>
      </c>
      <c r="T159" s="32" t="n">
        <f>74040</f>
        <v>74040.0</v>
      </c>
      <c r="U159" s="32" t="str">
        <f>"－"</f>
        <v>－</v>
      </c>
      <c r="V159" s="32" t="n">
        <f>99201290</f>
        <v>9.920129E7</v>
      </c>
      <c r="W159" s="32" t="str">
        <f>"－"</f>
        <v>－</v>
      </c>
      <c r="X159" s="36" t="n">
        <f>19</f>
        <v>19.0</v>
      </c>
    </row>
    <row r="160">
      <c r="A160" s="27" t="s">
        <v>42</v>
      </c>
      <c r="B160" s="27" t="s">
        <v>522</v>
      </c>
      <c r="C160" s="27" t="s">
        <v>523</v>
      </c>
      <c r="D160" s="27" t="s">
        <v>524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1.0</v>
      </c>
      <c r="K160" s="33" t="n">
        <f>7590</f>
        <v>7590.0</v>
      </c>
      <c r="L160" s="34" t="s">
        <v>48</v>
      </c>
      <c r="M160" s="33" t="n">
        <f>8340</f>
        <v>8340.0</v>
      </c>
      <c r="N160" s="34" t="s">
        <v>48</v>
      </c>
      <c r="O160" s="33" t="n">
        <f>6754</f>
        <v>6754.0</v>
      </c>
      <c r="P160" s="34" t="s">
        <v>50</v>
      </c>
      <c r="Q160" s="33" t="n">
        <f>7114</f>
        <v>7114.0</v>
      </c>
      <c r="R160" s="34" t="s">
        <v>51</v>
      </c>
      <c r="S160" s="35" t="n">
        <f>7224</f>
        <v>7224.0</v>
      </c>
      <c r="T160" s="32" t="n">
        <f>4121</f>
        <v>4121.0</v>
      </c>
      <c r="U160" s="32" t="str">
        <f>"－"</f>
        <v>－</v>
      </c>
      <c r="V160" s="32" t="n">
        <f>29802250</f>
        <v>2.980225E7</v>
      </c>
      <c r="W160" s="32" t="str">
        <f>"－"</f>
        <v>－</v>
      </c>
      <c r="X160" s="36" t="n">
        <f>19</f>
        <v>19.0</v>
      </c>
    </row>
    <row r="161">
      <c r="A161" s="27" t="s">
        <v>42</v>
      </c>
      <c r="B161" s="27" t="s">
        <v>525</v>
      </c>
      <c r="C161" s="27" t="s">
        <v>526</v>
      </c>
      <c r="D161" s="27" t="s">
        <v>527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100.0</v>
      </c>
      <c r="K161" s="33" t="n">
        <f>463.1</f>
        <v>463.1</v>
      </c>
      <c r="L161" s="34" t="s">
        <v>48</v>
      </c>
      <c r="M161" s="33" t="n">
        <f>502.6</f>
        <v>502.6</v>
      </c>
      <c r="N161" s="34" t="s">
        <v>49</v>
      </c>
      <c r="O161" s="33" t="n">
        <f>431</f>
        <v>431.0</v>
      </c>
      <c r="P161" s="34" t="s">
        <v>50</v>
      </c>
      <c r="Q161" s="33" t="n">
        <f>488.4</f>
        <v>488.4</v>
      </c>
      <c r="R161" s="34" t="s">
        <v>51</v>
      </c>
      <c r="S161" s="35" t="n">
        <f>458.44</f>
        <v>458.44</v>
      </c>
      <c r="T161" s="32" t="n">
        <f>103700</f>
        <v>103700.0</v>
      </c>
      <c r="U161" s="32" t="str">
        <f>"－"</f>
        <v>－</v>
      </c>
      <c r="V161" s="32" t="n">
        <f>48076090</f>
        <v>4.807609E7</v>
      </c>
      <c r="W161" s="32" t="str">
        <f>"－"</f>
        <v>－</v>
      </c>
      <c r="X161" s="36" t="n">
        <f>19</f>
        <v>19.0</v>
      </c>
    </row>
    <row r="162">
      <c r="A162" s="27" t="s">
        <v>42</v>
      </c>
      <c r="B162" s="27" t="s">
        <v>528</v>
      </c>
      <c r="C162" s="27" t="s">
        <v>529</v>
      </c>
      <c r="D162" s="27" t="s">
        <v>530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10.0</v>
      </c>
      <c r="K162" s="33" t="n">
        <f>5579</f>
        <v>5579.0</v>
      </c>
      <c r="L162" s="34" t="s">
        <v>48</v>
      </c>
      <c r="M162" s="33" t="n">
        <f>6129</f>
        <v>6129.0</v>
      </c>
      <c r="N162" s="34" t="s">
        <v>49</v>
      </c>
      <c r="O162" s="33" t="n">
        <f>5213</f>
        <v>5213.0</v>
      </c>
      <c r="P162" s="34" t="s">
        <v>72</v>
      </c>
      <c r="Q162" s="33" t="n">
        <f>5947</f>
        <v>5947.0</v>
      </c>
      <c r="R162" s="34" t="s">
        <v>51</v>
      </c>
      <c r="S162" s="35" t="n">
        <f>5511.47</f>
        <v>5511.47</v>
      </c>
      <c r="T162" s="32" t="n">
        <f>79820</f>
        <v>79820.0</v>
      </c>
      <c r="U162" s="32" t="str">
        <f>"－"</f>
        <v>－</v>
      </c>
      <c r="V162" s="32" t="n">
        <f>441734260</f>
        <v>4.4173426E8</v>
      </c>
      <c r="W162" s="32" t="str">
        <f>"－"</f>
        <v>－</v>
      </c>
      <c r="X162" s="36" t="n">
        <f>19</f>
        <v>19.0</v>
      </c>
    </row>
    <row r="163">
      <c r="A163" s="27" t="s">
        <v>42</v>
      </c>
      <c r="B163" s="27" t="s">
        <v>531</v>
      </c>
      <c r="C163" s="27" t="s">
        <v>532</v>
      </c>
      <c r="D163" s="27" t="s">
        <v>533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10.0</v>
      </c>
      <c r="K163" s="33" t="n">
        <f>2244.5</f>
        <v>2244.5</v>
      </c>
      <c r="L163" s="34" t="s">
        <v>48</v>
      </c>
      <c r="M163" s="33" t="n">
        <f>2265.5</f>
        <v>2265.5</v>
      </c>
      <c r="N163" s="34" t="s">
        <v>72</v>
      </c>
      <c r="O163" s="33" t="n">
        <f>2022.5</f>
        <v>2022.5</v>
      </c>
      <c r="P163" s="34" t="s">
        <v>50</v>
      </c>
      <c r="Q163" s="33" t="n">
        <f>2211</f>
        <v>2211.0</v>
      </c>
      <c r="R163" s="34" t="s">
        <v>51</v>
      </c>
      <c r="S163" s="35" t="n">
        <f>2131.39</f>
        <v>2131.39</v>
      </c>
      <c r="T163" s="32" t="n">
        <f>14090</f>
        <v>14090.0</v>
      </c>
      <c r="U163" s="32" t="str">
        <f>"－"</f>
        <v>－</v>
      </c>
      <c r="V163" s="32" t="n">
        <f>30286975</f>
        <v>3.0286975E7</v>
      </c>
      <c r="W163" s="32" t="str">
        <f>"－"</f>
        <v>－</v>
      </c>
      <c r="X163" s="36" t="n">
        <f>19</f>
        <v>19.0</v>
      </c>
    </row>
    <row r="164">
      <c r="A164" s="27" t="s">
        <v>42</v>
      </c>
      <c r="B164" s="27" t="s">
        <v>534</v>
      </c>
      <c r="C164" s="27" t="s">
        <v>535</v>
      </c>
      <c r="D164" s="27" t="s">
        <v>536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1.0</v>
      </c>
      <c r="K164" s="33" t="n">
        <f>3080</f>
        <v>3080.0</v>
      </c>
      <c r="L164" s="34" t="s">
        <v>48</v>
      </c>
      <c r="M164" s="33" t="n">
        <f>3295</f>
        <v>3295.0</v>
      </c>
      <c r="N164" s="34" t="s">
        <v>464</v>
      </c>
      <c r="O164" s="33" t="n">
        <f>3065</f>
        <v>3065.0</v>
      </c>
      <c r="P164" s="34" t="s">
        <v>72</v>
      </c>
      <c r="Q164" s="33" t="n">
        <f>3145</f>
        <v>3145.0</v>
      </c>
      <c r="R164" s="34" t="s">
        <v>51</v>
      </c>
      <c r="S164" s="35" t="n">
        <f>3143.16</f>
        <v>3143.16</v>
      </c>
      <c r="T164" s="32" t="n">
        <f>243680</f>
        <v>243680.0</v>
      </c>
      <c r="U164" s="32" t="str">
        <f>"－"</f>
        <v>－</v>
      </c>
      <c r="V164" s="32" t="n">
        <f>769650270</f>
        <v>7.6965027E8</v>
      </c>
      <c r="W164" s="32" t="str">
        <f>"－"</f>
        <v>－</v>
      </c>
      <c r="X164" s="36" t="n">
        <f>19</f>
        <v>19.0</v>
      </c>
    </row>
    <row r="165">
      <c r="A165" s="27" t="s">
        <v>42</v>
      </c>
      <c r="B165" s="27" t="s">
        <v>537</v>
      </c>
      <c r="C165" s="27" t="s">
        <v>538</v>
      </c>
      <c r="D165" s="27" t="s">
        <v>539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1.0</v>
      </c>
      <c r="K165" s="33" t="n">
        <f>2746</f>
        <v>2746.0</v>
      </c>
      <c r="L165" s="34" t="s">
        <v>48</v>
      </c>
      <c r="M165" s="33" t="n">
        <f>2831</f>
        <v>2831.0</v>
      </c>
      <c r="N165" s="34" t="s">
        <v>464</v>
      </c>
      <c r="O165" s="33" t="n">
        <f>2679</f>
        <v>2679.0</v>
      </c>
      <c r="P165" s="34" t="s">
        <v>50</v>
      </c>
      <c r="Q165" s="33" t="n">
        <f>2777</f>
        <v>2777.0</v>
      </c>
      <c r="R165" s="34" t="s">
        <v>51</v>
      </c>
      <c r="S165" s="35" t="n">
        <f>2749.53</f>
        <v>2749.53</v>
      </c>
      <c r="T165" s="32" t="n">
        <f>24232</f>
        <v>24232.0</v>
      </c>
      <c r="U165" s="32" t="str">
        <f>"－"</f>
        <v>－</v>
      </c>
      <c r="V165" s="32" t="n">
        <f>67016377</f>
        <v>6.7016377E7</v>
      </c>
      <c r="W165" s="32" t="str">
        <f>"－"</f>
        <v>－</v>
      </c>
      <c r="X165" s="36" t="n">
        <f>19</f>
        <v>19.0</v>
      </c>
    </row>
    <row r="166">
      <c r="A166" s="27" t="s">
        <v>42</v>
      </c>
      <c r="B166" s="27" t="s">
        <v>540</v>
      </c>
      <c r="C166" s="27" t="s">
        <v>541</v>
      </c>
      <c r="D166" s="27" t="s">
        <v>542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10.0</v>
      </c>
      <c r="K166" s="33" t="n">
        <f>3720</f>
        <v>3720.0</v>
      </c>
      <c r="L166" s="34" t="s">
        <v>48</v>
      </c>
      <c r="M166" s="33" t="n">
        <f>3825</f>
        <v>3825.0</v>
      </c>
      <c r="N166" s="34" t="s">
        <v>464</v>
      </c>
      <c r="O166" s="33" t="n">
        <f>3530</f>
        <v>3530.0</v>
      </c>
      <c r="P166" s="34" t="s">
        <v>61</v>
      </c>
      <c r="Q166" s="33" t="n">
        <f>3713</f>
        <v>3713.0</v>
      </c>
      <c r="R166" s="34" t="s">
        <v>51</v>
      </c>
      <c r="S166" s="35" t="n">
        <f>3640.32</f>
        <v>3640.32</v>
      </c>
      <c r="T166" s="32" t="n">
        <f>21810</f>
        <v>21810.0</v>
      </c>
      <c r="U166" s="32" t="str">
        <f>"－"</f>
        <v>－</v>
      </c>
      <c r="V166" s="32" t="n">
        <f>80044810</f>
        <v>8.004481E7</v>
      </c>
      <c r="W166" s="32" t="str">
        <f>"－"</f>
        <v>－</v>
      </c>
      <c r="X166" s="36" t="n">
        <f>19</f>
        <v>19.0</v>
      </c>
    </row>
    <row r="167">
      <c r="A167" s="27" t="s">
        <v>42</v>
      </c>
      <c r="B167" s="27" t="s">
        <v>543</v>
      </c>
      <c r="C167" s="27" t="s">
        <v>544</v>
      </c>
      <c r="D167" s="27" t="s">
        <v>545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2991</f>
        <v>2991.0</v>
      </c>
      <c r="L167" s="34" t="s">
        <v>48</v>
      </c>
      <c r="M167" s="33" t="n">
        <f>3017</f>
        <v>3017.0</v>
      </c>
      <c r="N167" s="34" t="s">
        <v>103</v>
      </c>
      <c r="O167" s="33" t="n">
        <f>2800</f>
        <v>2800.0</v>
      </c>
      <c r="P167" s="34" t="s">
        <v>50</v>
      </c>
      <c r="Q167" s="33" t="n">
        <f>2923.5</f>
        <v>2923.5</v>
      </c>
      <c r="R167" s="34" t="s">
        <v>51</v>
      </c>
      <c r="S167" s="35" t="n">
        <f>2909.39</f>
        <v>2909.39</v>
      </c>
      <c r="T167" s="32" t="n">
        <f>330540</f>
        <v>330540.0</v>
      </c>
      <c r="U167" s="32" t="n">
        <f>140400</f>
        <v>140400.0</v>
      </c>
      <c r="V167" s="32" t="n">
        <f>969063072</f>
        <v>9.69063072E8</v>
      </c>
      <c r="W167" s="32" t="n">
        <f>414800652</f>
        <v>4.14800652E8</v>
      </c>
      <c r="X167" s="36" t="n">
        <f>19</f>
        <v>19.0</v>
      </c>
    </row>
    <row r="168">
      <c r="A168" s="27" t="s">
        <v>42</v>
      </c>
      <c r="B168" s="27" t="s">
        <v>546</v>
      </c>
      <c r="C168" s="27" t="s">
        <v>547</v>
      </c>
      <c r="D168" s="27" t="s">
        <v>548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392.6</f>
        <v>392.6</v>
      </c>
      <c r="L168" s="34" t="s">
        <v>48</v>
      </c>
      <c r="M168" s="33" t="n">
        <f>398.1</f>
        <v>398.1</v>
      </c>
      <c r="N168" s="34" t="s">
        <v>103</v>
      </c>
      <c r="O168" s="33" t="n">
        <f>345.2</f>
        <v>345.2</v>
      </c>
      <c r="P168" s="34" t="s">
        <v>50</v>
      </c>
      <c r="Q168" s="33" t="n">
        <f>367.3</f>
        <v>367.3</v>
      </c>
      <c r="R168" s="34" t="s">
        <v>51</v>
      </c>
      <c r="S168" s="35" t="n">
        <f>370.38</f>
        <v>370.38</v>
      </c>
      <c r="T168" s="32" t="n">
        <f>23300790</f>
        <v>2.330079E7</v>
      </c>
      <c r="U168" s="32" t="n">
        <f>12011660</f>
        <v>1.201166E7</v>
      </c>
      <c r="V168" s="32" t="n">
        <f>8599166616</f>
        <v>8.599166616E9</v>
      </c>
      <c r="W168" s="32" t="n">
        <f>4428687122</f>
        <v>4.428687122E9</v>
      </c>
      <c r="X168" s="36" t="n">
        <f>19</f>
        <v>19.0</v>
      </c>
    </row>
    <row r="169">
      <c r="A169" s="27" t="s">
        <v>42</v>
      </c>
      <c r="B169" s="27" t="s">
        <v>549</v>
      </c>
      <c r="C169" s="27" t="s">
        <v>550</v>
      </c>
      <c r="D169" s="27" t="s">
        <v>551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1.0</v>
      </c>
      <c r="K169" s="33" t="n">
        <f>1999</f>
        <v>1999.0</v>
      </c>
      <c r="L169" s="34" t="s">
        <v>48</v>
      </c>
      <c r="M169" s="33" t="n">
        <f>2002</f>
        <v>2002.0</v>
      </c>
      <c r="N169" s="34" t="s">
        <v>103</v>
      </c>
      <c r="O169" s="33" t="n">
        <f>1802</f>
        <v>1802.0</v>
      </c>
      <c r="P169" s="34" t="s">
        <v>72</v>
      </c>
      <c r="Q169" s="33" t="n">
        <f>1931</f>
        <v>1931.0</v>
      </c>
      <c r="R169" s="34" t="s">
        <v>51</v>
      </c>
      <c r="S169" s="35" t="n">
        <f>1917.26</f>
        <v>1917.26</v>
      </c>
      <c r="T169" s="32" t="n">
        <f>29957</f>
        <v>29957.0</v>
      </c>
      <c r="U169" s="32" t="str">
        <f>"－"</f>
        <v>－</v>
      </c>
      <c r="V169" s="32" t="n">
        <f>58198664</f>
        <v>5.8198664E7</v>
      </c>
      <c r="W169" s="32" t="str">
        <f>"－"</f>
        <v>－</v>
      </c>
      <c r="X169" s="36" t="n">
        <f>19</f>
        <v>19.0</v>
      </c>
    </row>
    <row r="170">
      <c r="A170" s="27" t="s">
        <v>42</v>
      </c>
      <c r="B170" s="27" t="s">
        <v>552</v>
      </c>
      <c r="C170" s="27" t="s">
        <v>553</v>
      </c>
      <c r="D170" s="27" t="s">
        <v>554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1.0</v>
      </c>
      <c r="K170" s="33" t="n">
        <f>1053</f>
        <v>1053.0</v>
      </c>
      <c r="L170" s="34" t="s">
        <v>48</v>
      </c>
      <c r="M170" s="33" t="n">
        <f>1116</f>
        <v>1116.0</v>
      </c>
      <c r="N170" s="34" t="s">
        <v>49</v>
      </c>
      <c r="O170" s="33" t="n">
        <f>962</f>
        <v>962.0</v>
      </c>
      <c r="P170" s="34" t="s">
        <v>72</v>
      </c>
      <c r="Q170" s="33" t="n">
        <f>1076</f>
        <v>1076.0</v>
      </c>
      <c r="R170" s="34" t="s">
        <v>51</v>
      </c>
      <c r="S170" s="35" t="n">
        <f>1035.74</f>
        <v>1035.74</v>
      </c>
      <c r="T170" s="32" t="n">
        <f>2059172</f>
        <v>2059172.0</v>
      </c>
      <c r="U170" s="32" t="n">
        <f>20</f>
        <v>20.0</v>
      </c>
      <c r="V170" s="32" t="n">
        <f>2121886327</f>
        <v>2.121886327E9</v>
      </c>
      <c r="W170" s="32" t="n">
        <f>19440</f>
        <v>19440.0</v>
      </c>
      <c r="X170" s="36" t="n">
        <f>19</f>
        <v>19.0</v>
      </c>
    </row>
    <row r="171">
      <c r="A171" s="27" t="s">
        <v>42</v>
      </c>
      <c r="B171" s="27" t="s">
        <v>555</v>
      </c>
      <c r="C171" s="27" t="s">
        <v>556</v>
      </c>
      <c r="D171" s="27" t="s">
        <v>557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10.0</v>
      </c>
      <c r="K171" s="33" t="n">
        <f>310</f>
        <v>310.0</v>
      </c>
      <c r="L171" s="34" t="s">
        <v>48</v>
      </c>
      <c r="M171" s="33" t="n">
        <f>326</f>
        <v>326.0</v>
      </c>
      <c r="N171" s="34" t="s">
        <v>48</v>
      </c>
      <c r="O171" s="33" t="n">
        <f>308.8</f>
        <v>308.8</v>
      </c>
      <c r="P171" s="34" t="s">
        <v>48</v>
      </c>
      <c r="Q171" s="33" t="n">
        <f>314.5</f>
        <v>314.5</v>
      </c>
      <c r="R171" s="34" t="s">
        <v>51</v>
      </c>
      <c r="S171" s="35" t="n">
        <f>317.35</f>
        <v>317.35</v>
      </c>
      <c r="T171" s="32" t="n">
        <f>44706330</f>
        <v>4.470633E7</v>
      </c>
      <c r="U171" s="32" t="n">
        <f>35500000</f>
        <v>3.55E7</v>
      </c>
      <c r="V171" s="32" t="n">
        <f>14096746382</f>
        <v>1.4096746382E10</v>
      </c>
      <c r="W171" s="32" t="n">
        <f>11200361800</f>
        <v>1.12003618E10</v>
      </c>
      <c r="X171" s="36" t="n">
        <f>19</f>
        <v>19.0</v>
      </c>
    </row>
    <row r="172">
      <c r="A172" s="27" t="s">
        <v>42</v>
      </c>
      <c r="B172" s="27" t="s">
        <v>558</v>
      </c>
      <c r="C172" s="27" t="s">
        <v>559</v>
      </c>
      <c r="D172" s="27" t="s">
        <v>560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10.0</v>
      </c>
      <c r="K172" s="33" t="n">
        <f>305.3</f>
        <v>305.3</v>
      </c>
      <c r="L172" s="34" t="s">
        <v>48</v>
      </c>
      <c r="M172" s="33" t="n">
        <f>311.3</f>
        <v>311.3</v>
      </c>
      <c r="N172" s="34" t="s">
        <v>50</v>
      </c>
      <c r="O172" s="33" t="n">
        <f>301.7</f>
        <v>301.7</v>
      </c>
      <c r="P172" s="34" t="s">
        <v>51</v>
      </c>
      <c r="Q172" s="33" t="n">
        <f>302.3</f>
        <v>302.3</v>
      </c>
      <c r="R172" s="34" t="s">
        <v>51</v>
      </c>
      <c r="S172" s="35" t="n">
        <f>307.28</f>
        <v>307.28</v>
      </c>
      <c r="T172" s="32" t="n">
        <f>4614670</f>
        <v>4614670.0</v>
      </c>
      <c r="U172" s="32" t="str">
        <f>"－"</f>
        <v>－</v>
      </c>
      <c r="V172" s="32" t="n">
        <f>1414971113</f>
        <v>1.414971113E9</v>
      </c>
      <c r="W172" s="32" t="str">
        <f>"－"</f>
        <v>－</v>
      </c>
      <c r="X172" s="36" t="n">
        <f>19</f>
        <v>19.0</v>
      </c>
    </row>
    <row r="173">
      <c r="A173" s="27" t="s">
        <v>42</v>
      </c>
      <c r="B173" s="27" t="s">
        <v>561</v>
      </c>
      <c r="C173" s="27" t="s">
        <v>562</v>
      </c>
      <c r="D173" s="27" t="s">
        <v>563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10.0</v>
      </c>
      <c r="K173" s="33" t="n">
        <f>489</f>
        <v>489.0</v>
      </c>
      <c r="L173" s="34" t="s">
        <v>48</v>
      </c>
      <c r="M173" s="33" t="n">
        <f>538.2</f>
        <v>538.2</v>
      </c>
      <c r="N173" s="34" t="s">
        <v>61</v>
      </c>
      <c r="O173" s="33" t="n">
        <f>450</f>
        <v>450.0</v>
      </c>
      <c r="P173" s="34" t="s">
        <v>72</v>
      </c>
      <c r="Q173" s="33" t="n">
        <f>475.7</f>
        <v>475.7</v>
      </c>
      <c r="R173" s="34" t="s">
        <v>51</v>
      </c>
      <c r="S173" s="35" t="n">
        <f>475.36</f>
        <v>475.36</v>
      </c>
      <c r="T173" s="32" t="n">
        <f>2712300</f>
        <v>2712300.0</v>
      </c>
      <c r="U173" s="32" t="n">
        <f>2700000</f>
        <v>2700000.0</v>
      </c>
      <c r="V173" s="32" t="n">
        <f>1263990908</f>
        <v>1.263990908E9</v>
      </c>
      <c r="W173" s="32" t="n">
        <f>1258152480</f>
        <v>1.25815248E9</v>
      </c>
      <c r="X173" s="36" t="n">
        <f>18</f>
        <v>18.0</v>
      </c>
    </row>
    <row r="174">
      <c r="A174" s="27" t="s">
        <v>42</v>
      </c>
      <c r="B174" s="27" t="s">
        <v>564</v>
      </c>
      <c r="C174" s="27" t="s">
        <v>565</v>
      </c>
      <c r="D174" s="27" t="s">
        <v>566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10.0</v>
      </c>
      <c r="K174" s="33" t="n">
        <f>525.4</f>
        <v>525.4</v>
      </c>
      <c r="L174" s="34" t="s">
        <v>48</v>
      </c>
      <c r="M174" s="33" t="n">
        <f>533.4</f>
        <v>533.4</v>
      </c>
      <c r="N174" s="34" t="s">
        <v>567</v>
      </c>
      <c r="O174" s="33" t="n">
        <f>514.7</f>
        <v>514.7</v>
      </c>
      <c r="P174" s="34" t="s">
        <v>51</v>
      </c>
      <c r="Q174" s="33" t="n">
        <f>514.7</f>
        <v>514.7</v>
      </c>
      <c r="R174" s="34" t="s">
        <v>51</v>
      </c>
      <c r="S174" s="35" t="n">
        <f>524.42</f>
        <v>524.42</v>
      </c>
      <c r="T174" s="32" t="n">
        <f>14790</f>
        <v>14790.0</v>
      </c>
      <c r="U174" s="32" t="str">
        <f>"－"</f>
        <v>－</v>
      </c>
      <c r="V174" s="32" t="n">
        <f>7724813</f>
        <v>7724813.0</v>
      </c>
      <c r="W174" s="32" t="str">
        <f>"－"</f>
        <v>－</v>
      </c>
      <c r="X174" s="36" t="n">
        <f>19</f>
        <v>19.0</v>
      </c>
    </row>
    <row r="175">
      <c r="A175" s="27" t="s">
        <v>42</v>
      </c>
      <c r="B175" s="27" t="s">
        <v>568</v>
      </c>
      <c r="C175" s="27" t="s">
        <v>569</v>
      </c>
      <c r="D175" s="27" t="s">
        <v>570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10.0</v>
      </c>
      <c r="K175" s="33" t="n">
        <f>545.5</f>
        <v>545.5</v>
      </c>
      <c r="L175" s="34" t="s">
        <v>48</v>
      </c>
      <c r="M175" s="33" t="n">
        <f>594.7</f>
        <v>594.7</v>
      </c>
      <c r="N175" s="34" t="s">
        <v>93</v>
      </c>
      <c r="O175" s="33" t="n">
        <f>539</f>
        <v>539.0</v>
      </c>
      <c r="P175" s="34" t="s">
        <v>48</v>
      </c>
      <c r="Q175" s="33" t="n">
        <f>551.1</f>
        <v>551.1</v>
      </c>
      <c r="R175" s="34" t="s">
        <v>51</v>
      </c>
      <c r="S175" s="35" t="n">
        <f>554.93</f>
        <v>554.93</v>
      </c>
      <c r="T175" s="32" t="n">
        <f>25630</f>
        <v>25630.0</v>
      </c>
      <c r="U175" s="32" t="str">
        <f>"－"</f>
        <v>－</v>
      </c>
      <c r="V175" s="32" t="n">
        <f>14151166</f>
        <v>1.4151166E7</v>
      </c>
      <c r="W175" s="32" t="str">
        <f>"－"</f>
        <v>－</v>
      </c>
      <c r="X175" s="36" t="n">
        <f>18</f>
        <v>18.0</v>
      </c>
    </row>
    <row r="176">
      <c r="A176" s="27" t="s">
        <v>42</v>
      </c>
      <c r="B176" s="27" t="s">
        <v>571</v>
      </c>
      <c r="C176" s="27" t="s">
        <v>572</v>
      </c>
      <c r="D176" s="27" t="s">
        <v>573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1.0</v>
      </c>
      <c r="K176" s="33" t="n">
        <f>1012</f>
        <v>1012.0</v>
      </c>
      <c r="L176" s="34" t="s">
        <v>48</v>
      </c>
      <c r="M176" s="33" t="n">
        <f>1031</f>
        <v>1031.0</v>
      </c>
      <c r="N176" s="34" t="s">
        <v>49</v>
      </c>
      <c r="O176" s="33" t="n">
        <f>961</f>
        <v>961.0</v>
      </c>
      <c r="P176" s="34" t="s">
        <v>72</v>
      </c>
      <c r="Q176" s="33" t="n">
        <f>997</f>
        <v>997.0</v>
      </c>
      <c r="R176" s="34" t="s">
        <v>51</v>
      </c>
      <c r="S176" s="35" t="n">
        <f>994.84</f>
        <v>994.84</v>
      </c>
      <c r="T176" s="32" t="n">
        <f>550566</f>
        <v>550566.0</v>
      </c>
      <c r="U176" s="32" t="n">
        <f>86</f>
        <v>86.0</v>
      </c>
      <c r="V176" s="32" t="n">
        <f>548678235</f>
        <v>5.48678235E8</v>
      </c>
      <c r="W176" s="32" t="n">
        <f>83990</f>
        <v>83990.0</v>
      </c>
      <c r="X176" s="36" t="n">
        <f>19</f>
        <v>19.0</v>
      </c>
    </row>
    <row r="177">
      <c r="A177" s="27" t="s">
        <v>42</v>
      </c>
      <c r="B177" s="27" t="s">
        <v>574</v>
      </c>
      <c r="C177" s="27" t="s">
        <v>575</v>
      </c>
      <c r="D177" s="27" t="s">
        <v>576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1.0</v>
      </c>
      <c r="K177" s="33" t="n">
        <f>1741</f>
        <v>1741.0</v>
      </c>
      <c r="L177" s="34" t="s">
        <v>48</v>
      </c>
      <c r="M177" s="33" t="n">
        <f>1745</f>
        <v>1745.0</v>
      </c>
      <c r="N177" s="34" t="s">
        <v>48</v>
      </c>
      <c r="O177" s="33" t="n">
        <f>1398</f>
        <v>1398.0</v>
      </c>
      <c r="P177" s="34" t="s">
        <v>72</v>
      </c>
      <c r="Q177" s="33" t="n">
        <f>1595</f>
        <v>1595.0</v>
      </c>
      <c r="R177" s="34" t="s">
        <v>51</v>
      </c>
      <c r="S177" s="35" t="n">
        <f>1550.05</f>
        <v>1550.05</v>
      </c>
      <c r="T177" s="32" t="n">
        <f>4388016</f>
        <v>4388016.0</v>
      </c>
      <c r="U177" s="32" t="n">
        <f>530934</f>
        <v>530934.0</v>
      </c>
      <c r="V177" s="32" t="n">
        <f>6771435016</f>
        <v>6.771435016E9</v>
      </c>
      <c r="W177" s="32" t="n">
        <f>799325247</f>
        <v>7.99325247E8</v>
      </c>
      <c r="X177" s="36" t="n">
        <f>19</f>
        <v>19.0</v>
      </c>
    </row>
    <row r="178">
      <c r="A178" s="27" t="s">
        <v>42</v>
      </c>
      <c r="B178" s="27" t="s">
        <v>577</v>
      </c>
      <c r="C178" s="27" t="s">
        <v>578</v>
      </c>
      <c r="D178" s="27" t="s">
        <v>579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10.0</v>
      </c>
      <c r="K178" s="33" t="n">
        <f>570.7</f>
        <v>570.7</v>
      </c>
      <c r="L178" s="34" t="s">
        <v>48</v>
      </c>
      <c r="M178" s="33" t="n">
        <f>575.2</f>
        <v>575.2</v>
      </c>
      <c r="N178" s="34" t="s">
        <v>49</v>
      </c>
      <c r="O178" s="33" t="n">
        <f>525</f>
        <v>525.0</v>
      </c>
      <c r="P178" s="34" t="s">
        <v>72</v>
      </c>
      <c r="Q178" s="33" t="n">
        <f>564.8</f>
        <v>564.8</v>
      </c>
      <c r="R178" s="34" t="s">
        <v>51</v>
      </c>
      <c r="S178" s="35" t="n">
        <f>558.61</f>
        <v>558.61</v>
      </c>
      <c r="T178" s="32" t="n">
        <f>758250</f>
        <v>758250.0</v>
      </c>
      <c r="U178" s="32" t="str">
        <f>"－"</f>
        <v>－</v>
      </c>
      <c r="V178" s="32" t="n">
        <f>422833737</f>
        <v>4.22833737E8</v>
      </c>
      <c r="W178" s="32" t="str">
        <f>"－"</f>
        <v>－</v>
      </c>
      <c r="X178" s="36" t="n">
        <f>19</f>
        <v>19.0</v>
      </c>
    </row>
    <row r="179">
      <c r="A179" s="27" t="s">
        <v>42</v>
      </c>
      <c r="B179" s="27" t="s">
        <v>580</v>
      </c>
      <c r="C179" s="27" t="s">
        <v>581</v>
      </c>
      <c r="D179" s="27" t="s">
        <v>582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10.0</v>
      </c>
      <c r="K179" s="33" t="n">
        <f>205.4</f>
        <v>205.4</v>
      </c>
      <c r="L179" s="34" t="s">
        <v>48</v>
      </c>
      <c r="M179" s="33" t="n">
        <f>207</f>
        <v>207.0</v>
      </c>
      <c r="N179" s="34" t="s">
        <v>103</v>
      </c>
      <c r="O179" s="33" t="n">
        <f>197.5</f>
        <v>197.5</v>
      </c>
      <c r="P179" s="34" t="s">
        <v>61</v>
      </c>
      <c r="Q179" s="33" t="n">
        <f>200</f>
        <v>200.0</v>
      </c>
      <c r="R179" s="34" t="s">
        <v>51</v>
      </c>
      <c r="S179" s="35" t="n">
        <f>201.83</f>
        <v>201.83</v>
      </c>
      <c r="T179" s="32" t="n">
        <f>35883200</f>
        <v>3.58832E7</v>
      </c>
      <c r="U179" s="32" t="n">
        <f>33600000</f>
        <v>3.36E7</v>
      </c>
      <c r="V179" s="32" t="n">
        <f>7263291511</f>
        <v>7.263291511E9</v>
      </c>
      <c r="W179" s="32" t="n">
        <f>6804818980</f>
        <v>6.80481898E9</v>
      </c>
      <c r="X179" s="36" t="n">
        <f>19</f>
        <v>19.0</v>
      </c>
    </row>
    <row r="180">
      <c r="A180" s="27" t="s">
        <v>42</v>
      </c>
      <c r="B180" s="27" t="s">
        <v>583</v>
      </c>
      <c r="C180" s="27" t="s">
        <v>584</v>
      </c>
      <c r="D180" s="27" t="s">
        <v>585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10.0</v>
      </c>
      <c r="K180" s="33" t="n">
        <f>230.5</f>
        <v>230.5</v>
      </c>
      <c r="L180" s="34" t="s">
        <v>48</v>
      </c>
      <c r="M180" s="33" t="n">
        <f>232.1</f>
        <v>232.1</v>
      </c>
      <c r="N180" s="34" t="s">
        <v>103</v>
      </c>
      <c r="O180" s="33" t="n">
        <f>218.5</f>
        <v>218.5</v>
      </c>
      <c r="P180" s="34" t="s">
        <v>68</v>
      </c>
      <c r="Q180" s="33" t="n">
        <f>223.2</f>
        <v>223.2</v>
      </c>
      <c r="R180" s="34" t="s">
        <v>51</v>
      </c>
      <c r="S180" s="35" t="n">
        <f>224.7</f>
        <v>224.7</v>
      </c>
      <c r="T180" s="32" t="n">
        <f>3129760</f>
        <v>3129760.0</v>
      </c>
      <c r="U180" s="32" t="n">
        <f>60</f>
        <v>60.0</v>
      </c>
      <c r="V180" s="32" t="n">
        <f>707085976</f>
        <v>7.07085976E8</v>
      </c>
      <c r="W180" s="32" t="n">
        <f>12522</f>
        <v>12522.0</v>
      </c>
      <c r="X180" s="36" t="n">
        <f>19</f>
        <v>19.0</v>
      </c>
    </row>
    <row r="181">
      <c r="A181" s="27" t="s">
        <v>42</v>
      </c>
      <c r="B181" s="27" t="s">
        <v>586</v>
      </c>
      <c r="C181" s="27" t="s">
        <v>587</v>
      </c>
      <c r="D181" s="27" t="s">
        <v>588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10.0</v>
      </c>
      <c r="K181" s="33" t="n">
        <f>231.2</f>
        <v>231.2</v>
      </c>
      <c r="L181" s="34" t="s">
        <v>48</v>
      </c>
      <c r="M181" s="33" t="n">
        <f>233.6</f>
        <v>233.6</v>
      </c>
      <c r="N181" s="34" t="s">
        <v>49</v>
      </c>
      <c r="O181" s="33" t="n">
        <f>217.9</f>
        <v>217.9</v>
      </c>
      <c r="P181" s="34" t="s">
        <v>50</v>
      </c>
      <c r="Q181" s="33" t="n">
        <f>226.5</f>
        <v>226.5</v>
      </c>
      <c r="R181" s="34" t="s">
        <v>51</v>
      </c>
      <c r="S181" s="35" t="n">
        <f>225.73</f>
        <v>225.73</v>
      </c>
      <c r="T181" s="32" t="n">
        <f>6458570</f>
        <v>6458570.0</v>
      </c>
      <c r="U181" s="32" t="n">
        <f>210</f>
        <v>210.0</v>
      </c>
      <c r="V181" s="32" t="n">
        <f>1458594037</f>
        <v>1.458594037E9</v>
      </c>
      <c r="W181" s="32" t="n">
        <f>48560</f>
        <v>48560.0</v>
      </c>
      <c r="X181" s="36" t="n">
        <f>19</f>
        <v>19.0</v>
      </c>
    </row>
    <row r="182">
      <c r="A182" s="27" t="s">
        <v>42</v>
      </c>
      <c r="B182" s="27" t="s">
        <v>589</v>
      </c>
      <c r="C182" s="27" t="s">
        <v>590</v>
      </c>
      <c r="D182" s="27" t="s">
        <v>591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1.0</v>
      </c>
      <c r="K182" s="33" t="n">
        <f>2040</f>
        <v>2040.0</v>
      </c>
      <c r="L182" s="34" t="s">
        <v>48</v>
      </c>
      <c r="M182" s="33" t="n">
        <f>2057</f>
        <v>2057.0</v>
      </c>
      <c r="N182" s="34" t="s">
        <v>49</v>
      </c>
      <c r="O182" s="33" t="n">
        <f>1995</f>
        <v>1995.0</v>
      </c>
      <c r="P182" s="34" t="s">
        <v>61</v>
      </c>
      <c r="Q182" s="33" t="n">
        <f>2000</f>
        <v>2000.0</v>
      </c>
      <c r="R182" s="34" t="s">
        <v>51</v>
      </c>
      <c r="S182" s="35" t="n">
        <f>2019.84</f>
        <v>2019.84</v>
      </c>
      <c r="T182" s="32" t="n">
        <f>464716</f>
        <v>464716.0</v>
      </c>
      <c r="U182" s="32" t="n">
        <f>6</f>
        <v>6.0</v>
      </c>
      <c r="V182" s="32" t="n">
        <f>938646616</f>
        <v>9.38646616E8</v>
      </c>
      <c r="W182" s="32" t="n">
        <f>12114</f>
        <v>12114.0</v>
      </c>
      <c r="X182" s="36" t="n">
        <f>19</f>
        <v>19.0</v>
      </c>
    </row>
    <row r="183">
      <c r="A183" s="27" t="s">
        <v>42</v>
      </c>
      <c r="B183" s="27" t="s">
        <v>592</v>
      </c>
      <c r="C183" s="27" t="s">
        <v>593</v>
      </c>
      <c r="D183" s="27" t="s">
        <v>594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1.0</v>
      </c>
      <c r="K183" s="33" t="n">
        <f>1982</f>
        <v>1982.0</v>
      </c>
      <c r="L183" s="34" t="s">
        <v>48</v>
      </c>
      <c r="M183" s="33" t="n">
        <f>2021</f>
        <v>2021.0</v>
      </c>
      <c r="N183" s="34" t="s">
        <v>50</v>
      </c>
      <c r="O183" s="33" t="n">
        <f>1977</f>
        <v>1977.0</v>
      </c>
      <c r="P183" s="34" t="s">
        <v>48</v>
      </c>
      <c r="Q183" s="33" t="n">
        <f>1998</f>
        <v>1998.0</v>
      </c>
      <c r="R183" s="34" t="s">
        <v>51</v>
      </c>
      <c r="S183" s="35" t="n">
        <f>2001.11</f>
        <v>2001.11</v>
      </c>
      <c r="T183" s="32" t="n">
        <f>2665122</f>
        <v>2665122.0</v>
      </c>
      <c r="U183" s="32" t="n">
        <f>2500003</f>
        <v>2500003.0</v>
      </c>
      <c r="V183" s="32" t="n">
        <f>5319256249</f>
        <v>5.319256249E9</v>
      </c>
      <c r="W183" s="32" t="n">
        <f>4989512781</f>
        <v>4.989512781E9</v>
      </c>
      <c r="X183" s="36" t="n">
        <f>19</f>
        <v>19.0</v>
      </c>
    </row>
    <row r="184">
      <c r="A184" s="27" t="s">
        <v>42</v>
      </c>
      <c r="B184" s="27" t="s">
        <v>595</v>
      </c>
      <c r="C184" s="27" t="s">
        <v>596</v>
      </c>
      <c r="D184" s="27" t="s">
        <v>597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1.0</v>
      </c>
      <c r="K184" s="33" t="n">
        <f>1094</f>
        <v>1094.0</v>
      </c>
      <c r="L184" s="34" t="s">
        <v>48</v>
      </c>
      <c r="M184" s="33" t="n">
        <f>1113</f>
        <v>1113.0</v>
      </c>
      <c r="N184" s="34" t="s">
        <v>49</v>
      </c>
      <c r="O184" s="33" t="n">
        <f>995</f>
        <v>995.0</v>
      </c>
      <c r="P184" s="34" t="s">
        <v>72</v>
      </c>
      <c r="Q184" s="33" t="n">
        <f>1060</f>
        <v>1060.0</v>
      </c>
      <c r="R184" s="34" t="s">
        <v>51</v>
      </c>
      <c r="S184" s="35" t="n">
        <f>1046.11</f>
        <v>1046.11</v>
      </c>
      <c r="T184" s="32" t="n">
        <f>4437769</f>
        <v>4437769.0</v>
      </c>
      <c r="U184" s="32" t="n">
        <f>889401</f>
        <v>889401.0</v>
      </c>
      <c r="V184" s="32" t="n">
        <f>4633386220</f>
        <v>4.63338622E9</v>
      </c>
      <c r="W184" s="32" t="n">
        <f>929686145</f>
        <v>9.29686145E8</v>
      </c>
      <c r="X184" s="36" t="n">
        <f>19</f>
        <v>19.0</v>
      </c>
    </row>
    <row r="185">
      <c r="A185" s="27" t="s">
        <v>42</v>
      </c>
      <c r="B185" s="27" t="s">
        <v>598</v>
      </c>
      <c r="C185" s="27" t="s">
        <v>599</v>
      </c>
      <c r="D185" s="27" t="s">
        <v>600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1114</f>
        <v>1114.0</v>
      </c>
      <c r="L185" s="34" t="s">
        <v>48</v>
      </c>
      <c r="M185" s="33" t="n">
        <f>1162</f>
        <v>1162.0</v>
      </c>
      <c r="N185" s="34" t="s">
        <v>464</v>
      </c>
      <c r="O185" s="33" t="n">
        <f>1095</f>
        <v>1095.0</v>
      </c>
      <c r="P185" s="34" t="s">
        <v>230</v>
      </c>
      <c r="Q185" s="33" t="n">
        <f>1118</f>
        <v>1118.0</v>
      </c>
      <c r="R185" s="34" t="s">
        <v>51</v>
      </c>
      <c r="S185" s="35" t="n">
        <f>1123.89</f>
        <v>1123.89</v>
      </c>
      <c r="T185" s="32" t="n">
        <f>96669</f>
        <v>96669.0</v>
      </c>
      <c r="U185" s="32" t="str">
        <f>"－"</f>
        <v>－</v>
      </c>
      <c r="V185" s="32" t="n">
        <f>109458010</f>
        <v>1.0945801E8</v>
      </c>
      <c r="W185" s="32" t="str">
        <f>"－"</f>
        <v>－</v>
      </c>
      <c r="X185" s="36" t="n">
        <f>19</f>
        <v>19.0</v>
      </c>
    </row>
    <row r="186">
      <c r="A186" s="27" t="s">
        <v>42</v>
      </c>
      <c r="B186" s="27" t="s">
        <v>601</v>
      </c>
      <c r="C186" s="27" t="s">
        <v>602</v>
      </c>
      <c r="D186" s="27" t="s">
        <v>603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1.0</v>
      </c>
      <c r="K186" s="33" t="n">
        <f>1043</f>
        <v>1043.0</v>
      </c>
      <c r="L186" s="34" t="s">
        <v>48</v>
      </c>
      <c r="M186" s="33" t="n">
        <f>1089</f>
        <v>1089.0</v>
      </c>
      <c r="N186" s="34" t="s">
        <v>48</v>
      </c>
      <c r="O186" s="33" t="n">
        <f>991</f>
        <v>991.0</v>
      </c>
      <c r="P186" s="34" t="s">
        <v>50</v>
      </c>
      <c r="Q186" s="33" t="n">
        <f>1029</f>
        <v>1029.0</v>
      </c>
      <c r="R186" s="34" t="s">
        <v>51</v>
      </c>
      <c r="S186" s="35" t="n">
        <f>1019.26</f>
        <v>1019.26</v>
      </c>
      <c r="T186" s="32" t="n">
        <f>93738</f>
        <v>93738.0</v>
      </c>
      <c r="U186" s="32" t="n">
        <f>9</f>
        <v>9.0</v>
      </c>
      <c r="V186" s="32" t="n">
        <f>95090183</f>
        <v>9.5090183E7</v>
      </c>
      <c r="W186" s="32" t="n">
        <f>8747</f>
        <v>8747.0</v>
      </c>
      <c r="X186" s="36" t="n">
        <f>19</f>
        <v>19.0</v>
      </c>
    </row>
    <row r="187">
      <c r="A187" s="27" t="s">
        <v>42</v>
      </c>
      <c r="B187" s="27" t="s">
        <v>604</v>
      </c>
      <c r="C187" s="27" t="s">
        <v>605</v>
      </c>
      <c r="D187" s="27" t="s">
        <v>606</v>
      </c>
      <c r="E187" s="28" t="s">
        <v>46</v>
      </c>
      <c r="F187" s="29" t="s">
        <v>46</v>
      </c>
      <c r="G187" s="30" t="s">
        <v>46</v>
      </c>
      <c r="H187" s="31"/>
      <c r="I187" s="31" t="s">
        <v>47</v>
      </c>
      <c r="J187" s="32" t="n">
        <v>10.0</v>
      </c>
      <c r="K187" s="33" t="n">
        <f>201.6</f>
        <v>201.6</v>
      </c>
      <c r="L187" s="34" t="s">
        <v>48</v>
      </c>
      <c r="M187" s="33" t="n">
        <f>208</f>
        <v>208.0</v>
      </c>
      <c r="N187" s="34" t="s">
        <v>49</v>
      </c>
      <c r="O187" s="33" t="n">
        <f>190.2</f>
        <v>190.2</v>
      </c>
      <c r="P187" s="34" t="s">
        <v>72</v>
      </c>
      <c r="Q187" s="33" t="n">
        <f>199.5</f>
        <v>199.5</v>
      </c>
      <c r="R187" s="34" t="s">
        <v>51</v>
      </c>
      <c r="S187" s="35" t="n">
        <f>198.33</f>
        <v>198.33</v>
      </c>
      <c r="T187" s="32" t="n">
        <f>12520150</f>
        <v>1.252015E7</v>
      </c>
      <c r="U187" s="32" t="n">
        <f>252420</f>
        <v>252420.0</v>
      </c>
      <c r="V187" s="32" t="n">
        <f>2500247034</f>
        <v>2.500247034E9</v>
      </c>
      <c r="W187" s="32" t="n">
        <f>50094689</f>
        <v>5.0094689E7</v>
      </c>
      <c r="X187" s="36" t="n">
        <f>19</f>
        <v>19.0</v>
      </c>
    </row>
    <row r="188">
      <c r="A188" s="27" t="s">
        <v>42</v>
      </c>
      <c r="B188" s="27" t="s">
        <v>607</v>
      </c>
      <c r="C188" s="27" t="s">
        <v>608</v>
      </c>
      <c r="D188" s="27" t="s">
        <v>609</v>
      </c>
      <c r="E188" s="28" t="s">
        <v>46</v>
      </c>
      <c r="F188" s="29" t="s">
        <v>46</v>
      </c>
      <c r="G188" s="30" t="s">
        <v>46</v>
      </c>
      <c r="H188" s="31"/>
      <c r="I188" s="31" t="s">
        <v>421</v>
      </c>
      <c r="J188" s="32" t="n">
        <v>1.0</v>
      </c>
      <c r="K188" s="33" t="n">
        <f>4505</f>
        <v>4505.0</v>
      </c>
      <c r="L188" s="34" t="s">
        <v>48</v>
      </c>
      <c r="M188" s="33" t="n">
        <f>6150</f>
        <v>6150.0</v>
      </c>
      <c r="N188" s="34" t="s">
        <v>51</v>
      </c>
      <c r="O188" s="33" t="n">
        <f>3845</f>
        <v>3845.0</v>
      </c>
      <c r="P188" s="34" t="s">
        <v>50</v>
      </c>
      <c r="Q188" s="33" t="n">
        <f>6150</f>
        <v>6150.0</v>
      </c>
      <c r="R188" s="34" t="s">
        <v>51</v>
      </c>
      <c r="S188" s="35" t="n">
        <f>4458.16</f>
        <v>4458.16</v>
      </c>
      <c r="T188" s="32" t="n">
        <f>128401</f>
        <v>128401.0</v>
      </c>
      <c r="U188" s="32" t="str">
        <f>"－"</f>
        <v>－</v>
      </c>
      <c r="V188" s="32" t="n">
        <f>658087450</f>
        <v>6.5808745E8</v>
      </c>
      <c r="W188" s="32" t="str">
        <f>"－"</f>
        <v>－</v>
      </c>
      <c r="X188" s="36" t="n">
        <f>19</f>
        <v>19.0</v>
      </c>
    </row>
    <row r="189">
      <c r="A189" s="27" t="s">
        <v>42</v>
      </c>
      <c r="B189" s="27" t="s">
        <v>610</v>
      </c>
      <c r="C189" s="27" t="s">
        <v>611</v>
      </c>
      <c r="D189" s="27" t="s">
        <v>612</v>
      </c>
      <c r="E189" s="28" t="s">
        <v>46</v>
      </c>
      <c r="F189" s="29" t="s">
        <v>46</v>
      </c>
      <c r="G189" s="30" t="s">
        <v>46</v>
      </c>
      <c r="H189" s="31"/>
      <c r="I189" s="31" t="s">
        <v>421</v>
      </c>
      <c r="J189" s="32" t="n">
        <v>1.0</v>
      </c>
      <c r="K189" s="33" t="n">
        <f>8750</f>
        <v>8750.0</v>
      </c>
      <c r="L189" s="34" t="s">
        <v>48</v>
      </c>
      <c r="M189" s="33" t="n">
        <f>9057</f>
        <v>9057.0</v>
      </c>
      <c r="N189" s="34" t="s">
        <v>72</v>
      </c>
      <c r="O189" s="33" t="n">
        <f>7058</f>
        <v>7058.0</v>
      </c>
      <c r="P189" s="34" t="s">
        <v>51</v>
      </c>
      <c r="Q189" s="33" t="n">
        <f>7142</f>
        <v>7142.0</v>
      </c>
      <c r="R189" s="34" t="s">
        <v>51</v>
      </c>
      <c r="S189" s="35" t="n">
        <f>8508.63</f>
        <v>8508.63</v>
      </c>
      <c r="T189" s="32" t="n">
        <f>9518</f>
        <v>9518.0</v>
      </c>
      <c r="U189" s="32" t="str">
        <f>"－"</f>
        <v>－</v>
      </c>
      <c r="V189" s="32" t="n">
        <f>75887733</f>
        <v>7.5887733E7</v>
      </c>
      <c r="W189" s="32" t="str">
        <f>"－"</f>
        <v>－</v>
      </c>
      <c r="X189" s="36" t="n">
        <f>19</f>
        <v>19.0</v>
      </c>
    </row>
    <row r="190">
      <c r="A190" s="27" t="s">
        <v>42</v>
      </c>
      <c r="B190" s="27" t="s">
        <v>613</v>
      </c>
      <c r="C190" s="27" t="s">
        <v>614</v>
      </c>
      <c r="D190" s="27" t="s">
        <v>615</v>
      </c>
      <c r="E190" s="28" t="s">
        <v>46</v>
      </c>
      <c r="F190" s="29" t="s">
        <v>46</v>
      </c>
      <c r="G190" s="30" t="s">
        <v>46</v>
      </c>
      <c r="H190" s="31"/>
      <c r="I190" s="31" t="s">
        <v>421</v>
      </c>
      <c r="J190" s="32" t="n">
        <v>1.0</v>
      </c>
      <c r="K190" s="33" t="n">
        <f>12650</f>
        <v>12650.0</v>
      </c>
      <c r="L190" s="34" t="s">
        <v>103</v>
      </c>
      <c r="M190" s="33" t="n">
        <f>12650</f>
        <v>12650.0</v>
      </c>
      <c r="N190" s="34" t="s">
        <v>103</v>
      </c>
      <c r="O190" s="33" t="n">
        <f>10600</f>
        <v>10600.0</v>
      </c>
      <c r="P190" s="34" t="s">
        <v>50</v>
      </c>
      <c r="Q190" s="33" t="n">
        <f>11720</f>
        <v>11720.0</v>
      </c>
      <c r="R190" s="34" t="s">
        <v>51</v>
      </c>
      <c r="S190" s="35" t="n">
        <f>11528.33</f>
        <v>11528.33</v>
      </c>
      <c r="T190" s="32" t="n">
        <f>1601</f>
        <v>1601.0</v>
      </c>
      <c r="U190" s="32" t="str">
        <f>"－"</f>
        <v>－</v>
      </c>
      <c r="V190" s="32" t="n">
        <f>18758150</f>
        <v>1.875815E7</v>
      </c>
      <c r="W190" s="32" t="str">
        <f>"－"</f>
        <v>－</v>
      </c>
      <c r="X190" s="36" t="n">
        <f>18</f>
        <v>18.0</v>
      </c>
    </row>
    <row r="191">
      <c r="A191" s="27" t="s">
        <v>42</v>
      </c>
      <c r="B191" s="27" t="s">
        <v>616</v>
      </c>
      <c r="C191" s="27" t="s">
        <v>617</v>
      </c>
      <c r="D191" s="27" t="s">
        <v>618</v>
      </c>
      <c r="E191" s="28" t="s">
        <v>46</v>
      </c>
      <c r="F191" s="29" t="s">
        <v>46</v>
      </c>
      <c r="G191" s="30" t="s">
        <v>46</v>
      </c>
      <c r="H191" s="31"/>
      <c r="I191" s="31" t="s">
        <v>421</v>
      </c>
      <c r="J191" s="32" t="n">
        <v>1.0</v>
      </c>
      <c r="K191" s="33" t="n">
        <f>7281</f>
        <v>7281.0</v>
      </c>
      <c r="L191" s="34" t="s">
        <v>48</v>
      </c>
      <c r="M191" s="33" t="n">
        <f>7789</f>
        <v>7789.0</v>
      </c>
      <c r="N191" s="34" t="s">
        <v>72</v>
      </c>
      <c r="O191" s="33" t="n">
        <f>7281</f>
        <v>7281.0</v>
      </c>
      <c r="P191" s="34" t="s">
        <v>48</v>
      </c>
      <c r="Q191" s="33" t="n">
        <f>7702</f>
        <v>7702.0</v>
      </c>
      <c r="R191" s="34" t="s">
        <v>51</v>
      </c>
      <c r="S191" s="35" t="n">
        <f>7622.32</f>
        <v>7622.32</v>
      </c>
      <c r="T191" s="32" t="n">
        <f>4471</f>
        <v>4471.0</v>
      </c>
      <c r="U191" s="32" t="str">
        <f>"－"</f>
        <v>－</v>
      </c>
      <c r="V191" s="32" t="n">
        <f>34139542</f>
        <v>3.4139542E7</v>
      </c>
      <c r="W191" s="32" t="str">
        <f>"－"</f>
        <v>－</v>
      </c>
      <c r="X191" s="36" t="n">
        <f>19</f>
        <v>19.0</v>
      </c>
    </row>
    <row r="192">
      <c r="A192" s="27" t="s">
        <v>42</v>
      </c>
      <c r="B192" s="27" t="s">
        <v>619</v>
      </c>
      <c r="C192" s="27" t="s">
        <v>620</v>
      </c>
      <c r="D192" s="27" t="s">
        <v>621</v>
      </c>
      <c r="E192" s="28" t="s">
        <v>46</v>
      </c>
      <c r="F192" s="29" t="s">
        <v>46</v>
      </c>
      <c r="G192" s="30" t="s">
        <v>46</v>
      </c>
      <c r="H192" s="31"/>
      <c r="I192" s="31" t="s">
        <v>421</v>
      </c>
      <c r="J192" s="32" t="n">
        <v>1.0</v>
      </c>
      <c r="K192" s="33" t="n">
        <f>56810</f>
        <v>56810.0</v>
      </c>
      <c r="L192" s="34" t="s">
        <v>48</v>
      </c>
      <c r="M192" s="33" t="n">
        <f>63400</f>
        <v>63400.0</v>
      </c>
      <c r="N192" s="34" t="s">
        <v>49</v>
      </c>
      <c r="O192" s="33" t="n">
        <f>52700</f>
        <v>52700.0</v>
      </c>
      <c r="P192" s="34" t="s">
        <v>50</v>
      </c>
      <c r="Q192" s="33" t="n">
        <f>59870</f>
        <v>59870.0</v>
      </c>
      <c r="R192" s="34" t="s">
        <v>51</v>
      </c>
      <c r="S192" s="35" t="n">
        <f>56377.89</f>
        <v>56377.89</v>
      </c>
      <c r="T192" s="32" t="n">
        <f>60005</f>
        <v>60005.0</v>
      </c>
      <c r="U192" s="32" t="n">
        <f>95</f>
        <v>95.0</v>
      </c>
      <c r="V192" s="32" t="n">
        <f>3513145930</f>
        <v>3.51314593E9</v>
      </c>
      <c r="W192" s="32" t="n">
        <f>5087600</f>
        <v>5087600.0</v>
      </c>
      <c r="X192" s="36" t="n">
        <f>19</f>
        <v>19.0</v>
      </c>
    </row>
    <row r="193">
      <c r="A193" s="27" t="s">
        <v>42</v>
      </c>
      <c r="B193" s="27" t="s">
        <v>622</v>
      </c>
      <c r="C193" s="27" t="s">
        <v>623</v>
      </c>
      <c r="D193" s="27" t="s">
        <v>624</v>
      </c>
      <c r="E193" s="28" t="s">
        <v>46</v>
      </c>
      <c r="F193" s="29" t="s">
        <v>46</v>
      </c>
      <c r="G193" s="30" t="s">
        <v>46</v>
      </c>
      <c r="H193" s="31"/>
      <c r="I193" s="31" t="s">
        <v>421</v>
      </c>
      <c r="J193" s="32" t="n">
        <v>1.0</v>
      </c>
      <c r="K193" s="33" t="n">
        <f>2743</f>
        <v>2743.0</v>
      </c>
      <c r="L193" s="34" t="s">
        <v>48</v>
      </c>
      <c r="M193" s="33" t="n">
        <f>2857</f>
        <v>2857.0</v>
      </c>
      <c r="N193" s="34" t="s">
        <v>50</v>
      </c>
      <c r="O193" s="33" t="n">
        <f>2590</f>
        <v>2590.0</v>
      </c>
      <c r="P193" s="34" t="s">
        <v>49</v>
      </c>
      <c r="Q193" s="33" t="n">
        <f>2674</f>
        <v>2674.0</v>
      </c>
      <c r="R193" s="34" t="s">
        <v>51</v>
      </c>
      <c r="S193" s="35" t="n">
        <f>2756.79</f>
        <v>2756.79</v>
      </c>
      <c r="T193" s="32" t="n">
        <f>21834</f>
        <v>21834.0</v>
      </c>
      <c r="U193" s="32" t="str">
        <f>"－"</f>
        <v>－</v>
      </c>
      <c r="V193" s="32" t="n">
        <f>60121767</f>
        <v>6.0121767E7</v>
      </c>
      <c r="W193" s="32" t="str">
        <f>"－"</f>
        <v>－</v>
      </c>
      <c r="X193" s="36" t="n">
        <f>19</f>
        <v>19.0</v>
      </c>
    </row>
    <row r="194">
      <c r="A194" s="27" t="s">
        <v>42</v>
      </c>
      <c r="B194" s="27" t="s">
        <v>625</v>
      </c>
      <c r="C194" s="27" t="s">
        <v>626</v>
      </c>
      <c r="D194" s="27" t="s">
        <v>627</v>
      </c>
      <c r="E194" s="28" t="s">
        <v>46</v>
      </c>
      <c r="F194" s="29" t="s">
        <v>46</v>
      </c>
      <c r="G194" s="30" t="s">
        <v>46</v>
      </c>
      <c r="H194" s="31"/>
      <c r="I194" s="31" t="s">
        <v>421</v>
      </c>
      <c r="J194" s="32" t="n">
        <v>1.0</v>
      </c>
      <c r="K194" s="33" t="n">
        <f>1734</f>
        <v>1734.0</v>
      </c>
      <c r="L194" s="34" t="s">
        <v>48</v>
      </c>
      <c r="M194" s="33" t="n">
        <f>1774</f>
        <v>1774.0</v>
      </c>
      <c r="N194" s="34" t="s">
        <v>103</v>
      </c>
      <c r="O194" s="33" t="n">
        <f>1367</f>
        <v>1367.0</v>
      </c>
      <c r="P194" s="34" t="s">
        <v>50</v>
      </c>
      <c r="Q194" s="33" t="n">
        <f>1504</f>
        <v>1504.0</v>
      </c>
      <c r="R194" s="34" t="s">
        <v>51</v>
      </c>
      <c r="S194" s="35" t="n">
        <f>1548.21</f>
        <v>1548.21</v>
      </c>
      <c r="T194" s="32" t="n">
        <f>10467563</f>
        <v>1.0467563E7</v>
      </c>
      <c r="U194" s="32" t="n">
        <f>71004</f>
        <v>71004.0</v>
      </c>
      <c r="V194" s="32" t="n">
        <f>16258592840</f>
        <v>1.625859284E10</v>
      </c>
      <c r="W194" s="32" t="n">
        <f>110430370</f>
        <v>1.1043037E8</v>
      </c>
      <c r="X194" s="36" t="n">
        <f>19</f>
        <v>19.0</v>
      </c>
    </row>
    <row r="195">
      <c r="A195" s="27" t="s">
        <v>42</v>
      </c>
      <c r="B195" s="27" t="s">
        <v>628</v>
      </c>
      <c r="C195" s="27" t="s">
        <v>629</v>
      </c>
      <c r="D195" s="27" t="s">
        <v>630</v>
      </c>
      <c r="E195" s="28" t="s">
        <v>46</v>
      </c>
      <c r="F195" s="29" t="s">
        <v>46</v>
      </c>
      <c r="G195" s="30" t="s">
        <v>46</v>
      </c>
      <c r="H195" s="31"/>
      <c r="I195" s="31" t="s">
        <v>421</v>
      </c>
      <c r="J195" s="32" t="n">
        <v>1.0</v>
      </c>
      <c r="K195" s="33" t="n">
        <f>1016</f>
        <v>1016.0</v>
      </c>
      <c r="L195" s="34" t="s">
        <v>48</v>
      </c>
      <c r="M195" s="33" t="n">
        <f>1138</f>
        <v>1138.0</v>
      </c>
      <c r="N195" s="34" t="s">
        <v>50</v>
      </c>
      <c r="O195" s="33" t="n">
        <f>999</f>
        <v>999.0</v>
      </c>
      <c r="P195" s="34" t="s">
        <v>103</v>
      </c>
      <c r="Q195" s="33" t="n">
        <f>1072</f>
        <v>1072.0</v>
      </c>
      <c r="R195" s="34" t="s">
        <v>51</v>
      </c>
      <c r="S195" s="35" t="n">
        <f>1070.11</f>
        <v>1070.11</v>
      </c>
      <c r="T195" s="32" t="n">
        <f>1414655</f>
        <v>1414655.0</v>
      </c>
      <c r="U195" s="32" t="str">
        <f>"－"</f>
        <v>－</v>
      </c>
      <c r="V195" s="32" t="n">
        <f>1519829739</f>
        <v>1.519829739E9</v>
      </c>
      <c r="W195" s="32" t="str">
        <f>"－"</f>
        <v>－</v>
      </c>
      <c r="X195" s="36" t="n">
        <f>19</f>
        <v>19.0</v>
      </c>
    </row>
    <row r="196">
      <c r="A196" s="27" t="s">
        <v>42</v>
      </c>
      <c r="B196" s="27" t="s">
        <v>631</v>
      </c>
      <c r="C196" s="27" t="s">
        <v>632</v>
      </c>
      <c r="D196" s="27" t="s">
        <v>633</v>
      </c>
      <c r="E196" s="28" t="s">
        <v>46</v>
      </c>
      <c r="F196" s="29" t="s">
        <v>46</v>
      </c>
      <c r="G196" s="30" t="s">
        <v>46</v>
      </c>
      <c r="H196" s="31"/>
      <c r="I196" s="31" t="s">
        <v>421</v>
      </c>
      <c r="J196" s="32" t="n">
        <v>1.0</v>
      </c>
      <c r="K196" s="33" t="n">
        <f>30370</f>
        <v>30370.0</v>
      </c>
      <c r="L196" s="34" t="s">
        <v>48</v>
      </c>
      <c r="M196" s="33" t="n">
        <f>31260</f>
        <v>31260.0</v>
      </c>
      <c r="N196" s="34" t="s">
        <v>51</v>
      </c>
      <c r="O196" s="33" t="n">
        <f>28650</f>
        <v>28650.0</v>
      </c>
      <c r="P196" s="34" t="s">
        <v>72</v>
      </c>
      <c r="Q196" s="33" t="n">
        <f>31160</f>
        <v>31160.0</v>
      </c>
      <c r="R196" s="34" t="s">
        <v>51</v>
      </c>
      <c r="S196" s="35" t="n">
        <f>30142.11</f>
        <v>30142.11</v>
      </c>
      <c r="T196" s="32" t="n">
        <f>23369</f>
        <v>23369.0</v>
      </c>
      <c r="U196" s="32" t="n">
        <f>1</f>
        <v>1.0</v>
      </c>
      <c r="V196" s="32" t="n">
        <f>714599125</f>
        <v>7.14599125E8</v>
      </c>
      <c r="W196" s="32" t="n">
        <f>29675</f>
        <v>29675.0</v>
      </c>
      <c r="X196" s="36" t="n">
        <f>19</f>
        <v>19.0</v>
      </c>
    </row>
    <row r="197">
      <c r="A197" s="27" t="s">
        <v>42</v>
      </c>
      <c r="B197" s="27" t="s">
        <v>634</v>
      </c>
      <c r="C197" s="27" t="s">
        <v>635</v>
      </c>
      <c r="D197" s="27" t="s">
        <v>636</v>
      </c>
      <c r="E197" s="28" t="s">
        <v>46</v>
      </c>
      <c r="F197" s="29" t="s">
        <v>46</v>
      </c>
      <c r="G197" s="30" t="s">
        <v>46</v>
      </c>
      <c r="H197" s="31"/>
      <c r="I197" s="31" t="s">
        <v>421</v>
      </c>
      <c r="J197" s="32" t="n">
        <v>1.0</v>
      </c>
      <c r="K197" s="33" t="n">
        <f>2437</f>
        <v>2437.0</v>
      </c>
      <c r="L197" s="34" t="s">
        <v>48</v>
      </c>
      <c r="M197" s="33" t="n">
        <f>2514</f>
        <v>2514.0</v>
      </c>
      <c r="N197" s="34" t="s">
        <v>72</v>
      </c>
      <c r="O197" s="33" t="n">
        <f>2388</f>
        <v>2388.0</v>
      </c>
      <c r="P197" s="34" t="s">
        <v>51</v>
      </c>
      <c r="Q197" s="33" t="n">
        <f>2393</f>
        <v>2393.0</v>
      </c>
      <c r="R197" s="34" t="s">
        <v>51</v>
      </c>
      <c r="S197" s="35" t="n">
        <f>2443.58</f>
        <v>2443.58</v>
      </c>
      <c r="T197" s="32" t="n">
        <f>451387</f>
        <v>451387.0</v>
      </c>
      <c r="U197" s="32" t="n">
        <f>170</f>
        <v>170.0</v>
      </c>
      <c r="V197" s="32" t="n">
        <f>1105182661</f>
        <v>1.105182661E9</v>
      </c>
      <c r="W197" s="32" t="n">
        <f>419410</f>
        <v>419410.0</v>
      </c>
      <c r="X197" s="36" t="n">
        <f>19</f>
        <v>19.0</v>
      </c>
    </row>
    <row r="198">
      <c r="A198" s="27" t="s">
        <v>42</v>
      </c>
      <c r="B198" s="27" t="s">
        <v>637</v>
      </c>
      <c r="C198" s="27" t="s">
        <v>638</v>
      </c>
      <c r="D198" s="27" t="s">
        <v>639</v>
      </c>
      <c r="E198" s="28" t="s">
        <v>46</v>
      </c>
      <c r="F198" s="29" t="s">
        <v>46</v>
      </c>
      <c r="G198" s="30" t="s">
        <v>46</v>
      </c>
      <c r="H198" s="31"/>
      <c r="I198" s="31" t="s">
        <v>421</v>
      </c>
      <c r="J198" s="32" t="n">
        <v>1.0</v>
      </c>
      <c r="K198" s="33" t="n">
        <f>7114</f>
        <v>7114.0</v>
      </c>
      <c r="L198" s="34" t="s">
        <v>48</v>
      </c>
      <c r="M198" s="33" t="n">
        <f>7213</f>
        <v>7213.0</v>
      </c>
      <c r="N198" s="34" t="s">
        <v>103</v>
      </c>
      <c r="O198" s="33" t="n">
        <f>6576</f>
        <v>6576.0</v>
      </c>
      <c r="P198" s="34" t="s">
        <v>72</v>
      </c>
      <c r="Q198" s="33" t="n">
        <f>6880</f>
        <v>6880.0</v>
      </c>
      <c r="R198" s="34" t="s">
        <v>51</v>
      </c>
      <c r="S198" s="35" t="n">
        <f>6911.26</f>
        <v>6911.26</v>
      </c>
      <c r="T198" s="32" t="n">
        <f>55009</f>
        <v>55009.0</v>
      </c>
      <c r="U198" s="32" t="str">
        <f>"－"</f>
        <v>－</v>
      </c>
      <c r="V198" s="32" t="n">
        <f>382893176</f>
        <v>3.82893176E8</v>
      </c>
      <c r="W198" s="32" t="str">
        <f>"－"</f>
        <v>－</v>
      </c>
      <c r="X198" s="36" t="n">
        <f>19</f>
        <v>19.0</v>
      </c>
    </row>
    <row r="199">
      <c r="A199" s="27" t="s">
        <v>42</v>
      </c>
      <c r="B199" s="27" t="s">
        <v>640</v>
      </c>
      <c r="C199" s="27" t="s">
        <v>641</v>
      </c>
      <c r="D199" s="27" t="s">
        <v>642</v>
      </c>
      <c r="E199" s="28" t="s">
        <v>46</v>
      </c>
      <c r="F199" s="29" t="s">
        <v>46</v>
      </c>
      <c r="G199" s="30" t="s">
        <v>46</v>
      </c>
      <c r="H199" s="31"/>
      <c r="I199" s="31" t="s">
        <v>421</v>
      </c>
      <c r="J199" s="32" t="n">
        <v>1.0</v>
      </c>
      <c r="K199" s="33" t="n">
        <f>19755</f>
        <v>19755.0</v>
      </c>
      <c r="L199" s="34" t="s">
        <v>48</v>
      </c>
      <c r="M199" s="33" t="n">
        <f>20790</f>
        <v>20790.0</v>
      </c>
      <c r="N199" s="34" t="s">
        <v>567</v>
      </c>
      <c r="O199" s="33" t="n">
        <f>19045</f>
        <v>19045.0</v>
      </c>
      <c r="P199" s="34" t="s">
        <v>93</v>
      </c>
      <c r="Q199" s="33" t="n">
        <f>20335</f>
        <v>20335.0</v>
      </c>
      <c r="R199" s="34" t="s">
        <v>51</v>
      </c>
      <c r="S199" s="35" t="n">
        <f>19911.67</f>
        <v>19911.67</v>
      </c>
      <c r="T199" s="32" t="n">
        <f>424</f>
        <v>424.0</v>
      </c>
      <c r="U199" s="32" t="str">
        <f>"－"</f>
        <v>－</v>
      </c>
      <c r="V199" s="32" t="n">
        <f>8473490</f>
        <v>8473490.0</v>
      </c>
      <c r="W199" s="32" t="str">
        <f>"－"</f>
        <v>－</v>
      </c>
      <c r="X199" s="36" t="n">
        <f>18</f>
        <v>18.0</v>
      </c>
    </row>
    <row r="200">
      <c r="A200" s="27" t="s">
        <v>42</v>
      </c>
      <c r="B200" s="27" t="s">
        <v>643</v>
      </c>
      <c r="C200" s="27" t="s">
        <v>644</v>
      </c>
      <c r="D200" s="27" t="s">
        <v>645</v>
      </c>
      <c r="E200" s="28" t="s">
        <v>46</v>
      </c>
      <c r="F200" s="29" t="s">
        <v>46</v>
      </c>
      <c r="G200" s="30" t="s">
        <v>46</v>
      </c>
      <c r="H200" s="31"/>
      <c r="I200" s="31" t="s">
        <v>421</v>
      </c>
      <c r="J200" s="32" t="n">
        <v>1.0</v>
      </c>
      <c r="K200" s="33" t="n">
        <f>29010</f>
        <v>29010.0</v>
      </c>
      <c r="L200" s="34" t="s">
        <v>48</v>
      </c>
      <c r="M200" s="33" t="n">
        <f>29615</f>
        <v>29615.0</v>
      </c>
      <c r="N200" s="34" t="s">
        <v>49</v>
      </c>
      <c r="O200" s="33" t="n">
        <f>27760</f>
        <v>27760.0</v>
      </c>
      <c r="P200" s="34" t="s">
        <v>72</v>
      </c>
      <c r="Q200" s="33" t="n">
        <f>29010</f>
        <v>29010.0</v>
      </c>
      <c r="R200" s="34" t="s">
        <v>51</v>
      </c>
      <c r="S200" s="35" t="n">
        <f>28594.21</f>
        <v>28594.21</v>
      </c>
      <c r="T200" s="32" t="n">
        <f>10892</f>
        <v>10892.0</v>
      </c>
      <c r="U200" s="32" t="n">
        <f>50</f>
        <v>50.0</v>
      </c>
      <c r="V200" s="32" t="n">
        <f>312891990</f>
        <v>3.1289199E8</v>
      </c>
      <c r="W200" s="32" t="n">
        <f>1449500</f>
        <v>1449500.0</v>
      </c>
      <c r="X200" s="36" t="n">
        <f>19</f>
        <v>19.0</v>
      </c>
    </row>
    <row r="201">
      <c r="A201" s="27" t="s">
        <v>42</v>
      </c>
      <c r="B201" s="27" t="s">
        <v>646</v>
      </c>
      <c r="C201" s="27" t="s">
        <v>647</v>
      </c>
      <c r="D201" s="27" t="s">
        <v>648</v>
      </c>
      <c r="E201" s="28" t="s">
        <v>46</v>
      </c>
      <c r="F201" s="29" t="s">
        <v>46</v>
      </c>
      <c r="G201" s="30" t="s">
        <v>46</v>
      </c>
      <c r="H201" s="31"/>
      <c r="I201" s="31" t="s">
        <v>421</v>
      </c>
      <c r="J201" s="32" t="n">
        <v>1.0</v>
      </c>
      <c r="K201" s="33" t="n">
        <f>17205</f>
        <v>17205.0</v>
      </c>
      <c r="L201" s="34" t="s">
        <v>103</v>
      </c>
      <c r="M201" s="33" t="n">
        <f>18105</f>
        <v>18105.0</v>
      </c>
      <c r="N201" s="34" t="s">
        <v>649</v>
      </c>
      <c r="O201" s="33" t="n">
        <f>16505</f>
        <v>16505.0</v>
      </c>
      <c r="P201" s="34" t="s">
        <v>93</v>
      </c>
      <c r="Q201" s="33" t="n">
        <f>17545</f>
        <v>17545.0</v>
      </c>
      <c r="R201" s="34" t="s">
        <v>464</v>
      </c>
      <c r="S201" s="35" t="n">
        <f>17315.45</f>
        <v>17315.45</v>
      </c>
      <c r="T201" s="32" t="n">
        <f>86</f>
        <v>86.0</v>
      </c>
      <c r="U201" s="32" t="str">
        <f>"－"</f>
        <v>－</v>
      </c>
      <c r="V201" s="32" t="n">
        <f>1492140</f>
        <v>1492140.0</v>
      </c>
      <c r="W201" s="32" t="str">
        <f>"－"</f>
        <v>－</v>
      </c>
      <c r="X201" s="36" t="n">
        <f>11</f>
        <v>11.0</v>
      </c>
    </row>
    <row r="202">
      <c r="A202" s="27" t="s">
        <v>42</v>
      </c>
      <c r="B202" s="27" t="s">
        <v>650</v>
      </c>
      <c r="C202" s="27" t="s">
        <v>651</v>
      </c>
      <c r="D202" s="27" t="s">
        <v>652</v>
      </c>
      <c r="E202" s="28" t="s">
        <v>46</v>
      </c>
      <c r="F202" s="29" t="s">
        <v>46</v>
      </c>
      <c r="G202" s="30" t="s">
        <v>46</v>
      </c>
      <c r="H202" s="31"/>
      <c r="I202" s="31" t="s">
        <v>421</v>
      </c>
      <c r="J202" s="32" t="n">
        <v>1.0</v>
      </c>
      <c r="K202" s="33" t="n">
        <f>34190</f>
        <v>34190.0</v>
      </c>
      <c r="L202" s="34" t="s">
        <v>48</v>
      </c>
      <c r="M202" s="33" t="n">
        <f>36660</f>
        <v>36660.0</v>
      </c>
      <c r="N202" s="34" t="s">
        <v>49</v>
      </c>
      <c r="O202" s="33" t="n">
        <f>31260</f>
        <v>31260.0</v>
      </c>
      <c r="P202" s="34" t="s">
        <v>72</v>
      </c>
      <c r="Q202" s="33" t="n">
        <f>35430</f>
        <v>35430.0</v>
      </c>
      <c r="R202" s="34" t="s">
        <v>51</v>
      </c>
      <c r="S202" s="35" t="n">
        <f>34067.89</f>
        <v>34067.89</v>
      </c>
      <c r="T202" s="32" t="n">
        <f>58924</f>
        <v>58924.0</v>
      </c>
      <c r="U202" s="32" t="n">
        <f>68</f>
        <v>68.0</v>
      </c>
      <c r="V202" s="32" t="n">
        <f>2044083170</f>
        <v>2.04408317E9</v>
      </c>
      <c r="W202" s="32" t="n">
        <f>2294490</f>
        <v>2294490.0</v>
      </c>
      <c r="X202" s="36" t="n">
        <f>19</f>
        <v>19.0</v>
      </c>
    </row>
    <row r="203">
      <c r="A203" s="27" t="s">
        <v>42</v>
      </c>
      <c r="B203" s="27" t="s">
        <v>653</v>
      </c>
      <c r="C203" s="27" t="s">
        <v>654</v>
      </c>
      <c r="D203" s="27" t="s">
        <v>655</v>
      </c>
      <c r="E203" s="28" t="s">
        <v>46</v>
      </c>
      <c r="F203" s="29" t="s">
        <v>46</v>
      </c>
      <c r="G203" s="30" t="s">
        <v>46</v>
      </c>
      <c r="H203" s="31"/>
      <c r="I203" s="31" t="s">
        <v>421</v>
      </c>
      <c r="J203" s="32" t="n">
        <v>1.0</v>
      </c>
      <c r="K203" s="33" t="n">
        <f>3270</f>
        <v>3270.0</v>
      </c>
      <c r="L203" s="34" t="s">
        <v>48</v>
      </c>
      <c r="M203" s="33" t="n">
        <f>3390</f>
        <v>3390.0</v>
      </c>
      <c r="N203" s="34" t="s">
        <v>50</v>
      </c>
      <c r="O203" s="33" t="n">
        <f>3145</f>
        <v>3145.0</v>
      </c>
      <c r="P203" s="34" t="s">
        <v>61</v>
      </c>
      <c r="Q203" s="33" t="n">
        <f>3145</f>
        <v>3145.0</v>
      </c>
      <c r="R203" s="34" t="s">
        <v>51</v>
      </c>
      <c r="S203" s="35" t="n">
        <f>3233.68</f>
        <v>3233.68</v>
      </c>
      <c r="T203" s="32" t="n">
        <f>8318</f>
        <v>8318.0</v>
      </c>
      <c r="U203" s="32" t="str">
        <f>"－"</f>
        <v>－</v>
      </c>
      <c r="V203" s="32" t="n">
        <f>27130110</f>
        <v>2.713011E7</v>
      </c>
      <c r="W203" s="32" t="str">
        <f>"－"</f>
        <v>－</v>
      </c>
      <c r="X203" s="36" t="n">
        <f>19</f>
        <v>19.0</v>
      </c>
    </row>
    <row r="204">
      <c r="A204" s="27" t="s">
        <v>42</v>
      </c>
      <c r="B204" s="27" t="s">
        <v>656</v>
      </c>
      <c r="C204" s="27" t="s">
        <v>657</v>
      </c>
      <c r="D204" s="27" t="s">
        <v>658</v>
      </c>
      <c r="E204" s="28" t="s">
        <v>46</v>
      </c>
      <c r="F204" s="29" t="s">
        <v>46</v>
      </c>
      <c r="G204" s="30" t="s">
        <v>46</v>
      </c>
      <c r="H204" s="31"/>
      <c r="I204" s="31" t="s">
        <v>421</v>
      </c>
      <c r="J204" s="32" t="n">
        <v>1.0</v>
      </c>
      <c r="K204" s="33" t="n">
        <f>29170</f>
        <v>29170.0</v>
      </c>
      <c r="L204" s="34" t="s">
        <v>48</v>
      </c>
      <c r="M204" s="33" t="n">
        <f>29345</f>
        <v>29345.0</v>
      </c>
      <c r="N204" s="34" t="s">
        <v>103</v>
      </c>
      <c r="O204" s="33" t="n">
        <f>26260</f>
        <v>26260.0</v>
      </c>
      <c r="P204" s="34" t="s">
        <v>50</v>
      </c>
      <c r="Q204" s="33" t="n">
        <f>28140</f>
        <v>28140.0</v>
      </c>
      <c r="R204" s="34" t="s">
        <v>51</v>
      </c>
      <c r="S204" s="35" t="n">
        <f>27810</f>
        <v>27810.0</v>
      </c>
      <c r="T204" s="32" t="n">
        <f>661</f>
        <v>661.0</v>
      </c>
      <c r="U204" s="32" t="str">
        <f>"－"</f>
        <v>－</v>
      </c>
      <c r="V204" s="32" t="n">
        <f>18581965</f>
        <v>1.8581965E7</v>
      </c>
      <c r="W204" s="32" t="str">
        <f>"－"</f>
        <v>－</v>
      </c>
      <c r="X204" s="36" t="n">
        <f>18</f>
        <v>18.0</v>
      </c>
    </row>
    <row r="205">
      <c r="A205" s="27" t="s">
        <v>42</v>
      </c>
      <c r="B205" s="27" t="s">
        <v>659</v>
      </c>
      <c r="C205" s="27" t="s">
        <v>660</v>
      </c>
      <c r="D205" s="27" t="s">
        <v>661</v>
      </c>
      <c r="E205" s="28" t="s">
        <v>46</v>
      </c>
      <c r="F205" s="29" t="s">
        <v>46</v>
      </c>
      <c r="G205" s="30" t="s">
        <v>46</v>
      </c>
      <c r="H205" s="31"/>
      <c r="I205" s="31" t="s">
        <v>421</v>
      </c>
      <c r="J205" s="32" t="n">
        <v>1.0</v>
      </c>
      <c r="K205" s="33" t="n">
        <f>19135</f>
        <v>19135.0</v>
      </c>
      <c r="L205" s="34" t="s">
        <v>48</v>
      </c>
      <c r="M205" s="33" t="n">
        <f>19700</f>
        <v>19700.0</v>
      </c>
      <c r="N205" s="34" t="s">
        <v>49</v>
      </c>
      <c r="O205" s="33" t="n">
        <f>18115</f>
        <v>18115.0</v>
      </c>
      <c r="P205" s="34" t="s">
        <v>72</v>
      </c>
      <c r="Q205" s="33" t="n">
        <f>19700</f>
        <v>19700.0</v>
      </c>
      <c r="R205" s="34" t="s">
        <v>49</v>
      </c>
      <c r="S205" s="35" t="n">
        <f>18820</f>
        <v>18820.0</v>
      </c>
      <c r="T205" s="32" t="n">
        <f>109</f>
        <v>109.0</v>
      </c>
      <c r="U205" s="32" t="str">
        <f>"－"</f>
        <v>－</v>
      </c>
      <c r="V205" s="32" t="n">
        <f>2093120</f>
        <v>2093120.0</v>
      </c>
      <c r="W205" s="32" t="str">
        <f>"－"</f>
        <v>－</v>
      </c>
      <c r="X205" s="36" t="n">
        <f>8</f>
        <v>8.0</v>
      </c>
    </row>
    <row r="206">
      <c r="A206" s="27" t="s">
        <v>42</v>
      </c>
      <c r="B206" s="27" t="s">
        <v>662</v>
      </c>
      <c r="C206" s="27" t="s">
        <v>663</v>
      </c>
      <c r="D206" s="27" t="s">
        <v>664</v>
      </c>
      <c r="E206" s="28" t="s">
        <v>46</v>
      </c>
      <c r="F206" s="29" t="s">
        <v>46</v>
      </c>
      <c r="G206" s="30" t="s">
        <v>46</v>
      </c>
      <c r="H206" s="31"/>
      <c r="I206" s="31" t="s">
        <v>421</v>
      </c>
      <c r="J206" s="32" t="n">
        <v>1.0</v>
      </c>
      <c r="K206" s="33" t="n">
        <f>32780</f>
        <v>32780.0</v>
      </c>
      <c r="L206" s="34" t="s">
        <v>48</v>
      </c>
      <c r="M206" s="33" t="n">
        <f>33000</f>
        <v>33000.0</v>
      </c>
      <c r="N206" s="34" t="s">
        <v>49</v>
      </c>
      <c r="O206" s="33" t="n">
        <f>30850</f>
        <v>30850.0</v>
      </c>
      <c r="P206" s="34" t="s">
        <v>50</v>
      </c>
      <c r="Q206" s="33" t="n">
        <f>31950</f>
        <v>31950.0</v>
      </c>
      <c r="R206" s="34" t="s">
        <v>51</v>
      </c>
      <c r="S206" s="35" t="n">
        <f>31904.38</f>
        <v>31904.38</v>
      </c>
      <c r="T206" s="32" t="n">
        <f>1740</f>
        <v>1740.0</v>
      </c>
      <c r="U206" s="32" t="str">
        <f>"－"</f>
        <v>－</v>
      </c>
      <c r="V206" s="32" t="n">
        <f>55628600</f>
        <v>5.56286E7</v>
      </c>
      <c r="W206" s="32" t="str">
        <f>"－"</f>
        <v>－</v>
      </c>
      <c r="X206" s="36" t="n">
        <f>16</f>
        <v>16.0</v>
      </c>
    </row>
    <row r="207">
      <c r="A207" s="27" t="s">
        <v>42</v>
      </c>
      <c r="B207" s="27" t="s">
        <v>665</v>
      </c>
      <c r="C207" s="27" t="s">
        <v>666</v>
      </c>
      <c r="D207" s="27" t="s">
        <v>667</v>
      </c>
      <c r="E207" s="28" t="s">
        <v>46</v>
      </c>
      <c r="F207" s="29" t="s">
        <v>46</v>
      </c>
      <c r="G207" s="30" t="s">
        <v>46</v>
      </c>
      <c r="H207" s="31"/>
      <c r="I207" s="31" t="s">
        <v>421</v>
      </c>
      <c r="J207" s="32" t="n">
        <v>1.0</v>
      </c>
      <c r="K207" s="33" t="n">
        <f>18510</f>
        <v>18510.0</v>
      </c>
      <c r="L207" s="34" t="s">
        <v>72</v>
      </c>
      <c r="M207" s="33" t="n">
        <f>18510</f>
        <v>18510.0</v>
      </c>
      <c r="N207" s="34" t="s">
        <v>72</v>
      </c>
      <c r="O207" s="33" t="n">
        <f>18510</f>
        <v>18510.0</v>
      </c>
      <c r="P207" s="34" t="s">
        <v>72</v>
      </c>
      <c r="Q207" s="33" t="n">
        <f>18510</f>
        <v>18510.0</v>
      </c>
      <c r="R207" s="34" t="s">
        <v>72</v>
      </c>
      <c r="S207" s="35" t="n">
        <f>18510</f>
        <v>18510.0</v>
      </c>
      <c r="T207" s="32" t="n">
        <f>20</f>
        <v>20.0</v>
      </c>
      <c r="U207" s="32" t="str">
        <f>"－"</f>
        <v>－</v>
      </c>
      <c r="V207" s="32" t="n">
        <f>370200</f>
        <v>370200.0</v>
      </c>
      <c r="W207" s="32" t="str">
        <f>"－"</f>
        <v>－</v>
      </c>
      <c r="X207" s="36" t="n">
        <f>1</f>
        <v>1.0</v>
      </c>
    </row>
    <row r="208">
      <c r="A208" s="27" t="s">
        <v>42</v>
      </c>
      <c r="B208" s="27" t="s">
        <v>668</v>
      </c>
      <c r="C208" s="27" t="s">
        <v>669</v>
      </c>
      <c r="D208" s="27" t="s">
        <v>670</v>
      </c>
      <c r="E208" s="28" t="s">
        <v>46</v>
      </c>
      <c r="F208" s="29" t="s">
        <v>46</v>
      </c>
      <c r="G208" s="30" t="s">
        <v>46</v>
      </c>
      <c r="H208" s="31"/>
      <c r="I208" s="31" t="s">
        <v>421</v>
      </c>
      <c r="J208" s="32" t="n">
        <v>1.0</v>
      </c>
      <c r="K208" s="33" t="n">
        <f>19295</f>
        <v>19295.0</v>
      </c>
      <c r="L208" s="34" t="s">
        <v>48</v>
      </c>
      <c r="M208" s="33" t="n">
        <f>19845</f>
        <v>19845.0</v>
      </c>
      <c r="N208" s="34" t="s">
        <v>49</v>
      </c>
      <c r="O208" s="33" t="n">
        <f>18025</f>
        <v>18025.0</v>
      </c>
      <c r="P208" s="34" t="s">
        <v>50</v>
      </c>
      <c r="Q208" s="33" t="n">
        <f>19845</f>
        <v>19845.0</v>
      </c>
      <c r="R208" s="34" t="s">
        <v>49</v>
      </c>
      <c r="S208" s="35" t="n">
        <f>18769.38</f>
        <v>18769.38</v>
      </c>
      <c r="T208" s="32" t="n">
        <f>3429</f>
        <v>3429.0</v>
      </c>
      <c r="U208" s="32" t="n">
        <f>3000</f>
        <v>3000.0</v>
      </c>
      <c r="V208" s="32" t="n">
        <f>64905640</f>
        <v>6.490564E7</v>
      </c>
      <c r="W208" s="32" t="n">
        <f>56703000</f>
        <v>5.6703E7</v>
      </c>
      <c r="X208" s="36" t="n">
        <f>16</f>
        <v>16.0</v>
      </c>
    </row>
    <row r="209">
      <c r="A209" s="27" t="s">
        <v>42</v>
      </c>
      <c r="B209" s="27" t="s">
        <v>671</v>
      </c>
      <c r="C209" s="27" t="s">
        <v>672</v>
      </c>
      <c r="D209" s="27" t="s">
        <v>673</v>
      </c>
      <c r="E209" s="28" t="s">
        <v>46</v>
      </c>
      <c r="F209" s="29" t="s">
        <v>46</v>
      </c>
      <c r="G209" s="30" t="s">
        <v>46</v>
      </c>
      <c r="H209" s="31"/>
      <c r="I209" s="31" t="s">
        <v>421</v>
      </c>
      <c r="J209" s="32" t="n">
        <v>1.0</v>
      </c>
      <c r="K209" s="33" t="n">
        <f>23245</f>
        <v>23245.0</v>
      </c>
      <c r="L209" s="34" t="s">
        <v>48</v>
      </c>
      <c r="M209" s="33" t="n">
        <f>23685</f>
        <v>23685.0</v>
      </c>
      <c r="N209" s="34" t="s">
        <v>49</v>
      </c>
      <c r="O209" s="33" t="n">
        <f>21310</f>
        <v>21310.0</v>
      </c>
      <c r="P209" s="34" t="s">
        <v>162</v>
      </c>
      <c r="Q209" s="33" t="n">
        <f>23685</f>
        <v>23685.0</v>
      </c>
      <c r="R209" s="34" t="s">
        <v>49</v>
      </c>
      <c r="S209" s="35" t="n">
        <f>22710</f>
        <v>22710.0</v>
      </c>
      <c r="T209" s="32" t="n">
        <f>9</f>
        <v>9.0</v>
      </c>
      <c r="U209" s="32" t="str">
        <f>"－"</f>
        <v>－</v>
      </c>
      <c r="V209" s="32" t="n">
        <f>205230</f>
        <v>205230.0</v>
      </c>
      <c r="W209" s="32" t="str">
        <f>"－"</f>
        <v>－</v>
      </c>
      <c r="X209" s="36" t="n">
        <f>5</f>
        <v>5.0</v>
      </c>
    </row>
    <row r="210">
      <c r="A210" s="27" t="s">
        <v>42</v>
      </c>
      <c r="B210" s="27" t="s">
        <v>674</v>
      </c>
      <c r="C210" s="27" t="s">
        <v>675</v>
      </c>
      <c r="D210" s="27" t="s">
        <v>676</v>
      </c>
      <c r="E210" s="28" t="s">
        <v>46</v>
      </c>
      <c r="F210" s="29" t="s">
        <v>46</v>
      </c>
      <c r="G210" s="30" t="s">
        <v>46</v>
      </c>
      <c r="H210" s="31"/>
      <c r="I210" s="31" t="s">
        <v>421</v>
      </c>
      <c r="J210" s="32" t="n">
        <v>1.0</v>
      </c>
      <c r="K210" s="33" t="n">
        <f>17895</f>
        <v>17895.0</v>
      </c>
      <c r="L210" s="34" t="s">
        <v>649</v>
      </c>
      <c r="M210" s="33" t="n">
        <f>17895</f>
        <v>17895.0</v>
      </c>
      <c r="N210" s="34" t="s">
        <v>649</v>
      </c>
      <c r="O210" s="33" t="n">
        <f>17895</f>
        <v>17895.0</v>
      </c>
      <c r="P210" s="34" t="s">
        <v>649</v>
      </c>
      <c r="Q210" s="33" t="n">
        <f>17895</f>
        <v>17895.0</v>
      </c>
      <c r="R210" s="34" t="s">
        <v>649</v>
      </c>
      <c r="S210" s="35" t="n">
        <f>17895</f>
        <v>17895.0</v>
      </c>
      <c r="T210" s="32" t="n">
        <f>15</f>
        <v>15.0</v>
      </c>
      <c r="U210" s="32" t="str">
        <f>"－"</f>
        <v>－</v>
      </c>
      <c r="V210" s="32" t="n">
        <f>268425</f>
        <v>268425.0</v>
      </c>
      <c r="W210" s="32" t="str">
        <f>"－"</f>
        <v>－</v>
      </c>
      <c r="X210" s="36" t="n">
        <f>1</f>
        <v>1.0</v>
      </c>
    </row>
    <row r="211">
      <c r="A211" s="27" t="s">
        <v>42</v>
      </c>
      <c r="B211" s="27" t="s">
        <v>677</v>
      </c>
      <c r="C211" s="27" t="s">
        <v>678</v>
      </c>
      <c r="D211" s="27" t="s">
        <v>679</v>
      </c>
      <c r="E211" s="28" t="s">
        <v>46</v>
      </c>
      <c r="F211" s="29" t="s">
        <v>46</v>
      </c>
      <c r="G211" s="30" t="s">
        <v>46</v>
      </c>
      <c r="H211" s="31"/>
      <c r="I211" s="31" t="s">
        <v>421</v>
      </c>
      <c r="J211" s="32" t="n">
        <v>1.0</v>
      </c>
      <c r="K211" s="33" t="n">
        <f>12070</f>
        <v>12070.0</v>
      </c>
      <c r="L211" s="34" t="s">
        <v>48</v>
      </c>
      <c r="M211" s="33" t="n">
        <f>12255</f>
        <v>12255.0</v>
      </c>
      <c r="N211" s="34" t="s">
        <v>49</v>
      </c>
      <c r="O211" s="33" t="n">
        <f>11560</f>
        <v>11560.0</v>
      </c>
      <c r="P211" s="34" t="s">
        <v>50</v>
      </c>
      <c r="Q211" s="33" t="n">
        <f>11990</f>
        <v>11990.0</v>
      </c>
      <c r="R211" s="34" t="s">
        <v>51</v>
      </c>
      <c r="S211" s="35" t="n">
        <f>11891.82</f>
        <v>11891.82</v>
      </c>
      <c r="T211" s="32" t="n">
        <f>1726</f>
        <v>1726.0</v>
      </c>
      <c r="U211" s="32" t="str">
        <f>"－"</f>
        <v>－</v>
      </c>
      <c r="V211" s="32" t="n">
        <f>20316930</f>
        <v>2.031693E7</v>
      </c>
      <c r="W211" s="32" t="str">
        <f>"－"</f>
        <v>－</v>
      </c>
      <c r="X211" s="36" t="n">
        <f>11</f>
        <v>11.0</v>
      </c>
    </row>
    <row r="212">
      <c r="A212" s="27" t="s">
        <v>42</v>
      </c>
      <c r="B212" s="27" t="s">
        <v>680</v>
      </c>
      <c r="C212" s="27" t="s">
        <v>681</v>
      </c>
      <c r="D212" s="27" t="s">
        <v>682</v>
      </c>
      <c r="E212" s="28" t="s">
        <v>46</v>
      </c>
      <c r="F212" s="29" t="s">
        <v>46</v>
      </c>
      <c r="G212" s="30" t="s">
        <v>46</v>
      </c>
      <c r="H212" s="31"/>
      <c r="I212" s="31" t="s">
        <v>421</v>
      </c>
      <c r="J212" s="32" t="n">
        <v>1.0</v>
      </c>
      <c r="K212" s="33" t="n">
        <f>14670</f>
        <v>14670.0</v>
      </c>
      <c r="L212" s="34" t="s">
        <v>48</v>
      </c>
      <c r="M212" s="33" t="n">
        <f>14850</f>
        <v>14850.0</v>
      </c>
      <c r="N212" s="34" t="s">
        <v>49</v>
      </c>
      <c r="O212" s="33" t="n">
        <f>13520</f>
        <v>13520.0</v>
      </c>
      <c r="P212" s="34" t="s">
        <v>72</v>
      </c>
      <c r="Q212" s="33" t="n">
        <f>14395</f>
        <v>14395.0</v>
      </c>
      <c r="R212" s="34" t="s">
        <v>51</v>
      </c>
      <c r="S212" s="35" t="n">
        <f>14225</f>
        <v>14225.0</v>
      </c>
      <c r="T212" s="32" t="n">
        <f>11873</f>
        <v>11873.0</v>
      </c>
      <c r="U212" s="32" t="str">
        <f>"－"</f>
        <v>－</v>
      </c>
      <c r="V212" s="32" t="n">
        <f>168372805</f>
        <v>1.68372805E8</v>
      </c>
      <c r="W212" s="32" t="str">
        <f>"－"</f>
        <v>－</v>
      </c>
      <c r="X212" s="36" t="n">
        <f>19</f>
        <v>19.0</v>
      </c>
    </row>
    <row r="213">
      <c r="A213" s="27" t="s">
        <v>42</v>
      </c>
      <c r="B213" s="27" t="s">
        <v>683</v>
      </c>
      <c r="C213" s="27" t="s">
        <v>684</v>
      </c>
      <c r="D213" s="27" t="s">
        <v>685</v>
      </c>
      <c r="E213" s="28" t="s">
        <v>46</v>
      </c>
      <c r="F213" s="29" t="s">
        <v>46</v>
      </c>
      <c r="G213" s="30" t="s">
        <v>46</v>
      </c>
      <c r="H213" s="31"/>
      <c r="I213" s="31" t="s">
        <v>421</v>
      </c>
      <c r="J213" s="32" t="n">
        <v>1.0</v>
      </c>
      <c r="K213" s="33" t="n">
        <f>12830</f>
        <v>12830.0</v>
      </c>
      <c r="L213" s="34" t="s">
        <v>48</v>
      </c>
      <c r="M213" s="33" t="n">
        <f>13075</f>
        <v>13075.0</v>
      </c>
      <c r="N213" s="34" t="s">
        <v>49</v>
      </c>
      <c r="O213" s="33" t="n">
        <f>12210</f>
        <v>12210.0</v>
      </c>
      <c r="P213" s="34" t="s">
        <v>50</v>
      </c>
      <c r="Q213" s="33" t="n">
        <f>12825</f>
        <v>12825.0</v>
      </c>
      <c r="R213" s="34" t="s">
        <v>51</v>
      </c>
      <c r="S213" s="35" t="n">
        <f>12621</f>
        <v>12621.0</v>
      </c>
      <c r="T213" s="32" t="n">
        <f>1460</f>
        <v>1460.0</v>
      </c>
      <c r="U213" s="32" t="str">
        <f>"－"</f>
        <v>－</v>
      </c>
      <c r="V213" s="32" t="n">
        <f>18315875</f>
        <v>1.8315875E7</v>
      </c>
      <c r="W213" s="32" t="str">
        <f>"－"</f>
        <v>－</v>
      </c>
      <c r="X213" s="36" t="n">
        <f>15</f>
        <v>15.0</v>
      </c>
    </row>
    <row r="214">
      <c r="A214" s="27" t="s">
        <v>42</v>
      </c>
      <c r="B214" s="27" t="s">
        <v>686</v>
      </c>
      <c r="C214" s="27" t="s">
        <v>687</v>
      </c>
      <c r="D214" s="27" t="s">
        <v>688</v>
      </c>
      <c r="E214" s="28" t="s">
        <v>46</v>
      </c>
      <c r="F214" s="29" t="s">
        <v>46</v>
      </c>
      <c r="G214" s="30" t="s">
        <v>46</v>
      </c>
      <c r="H214" s="31"/>
      <c r="I214" s="31" t="s">
        <v>421</v>
      </c>
      <c r="J214" s="32" t="n">
        <v>1.0</v>
      </c>
      <c r="K214" s="33" t="n">
        <f>13510</f>
        <v>13510.0</v>
      </c>
      <c r="L214" s="34" t="s">
        <v>49</v>
      </c>
      <c r="M214" s="33" t="n">
        <f>13625</f>
        <v>13625.0</v>
      </c>
      <c r="N214" s="34" t="s">
        <v>49</v>
      </c>
      <c r="O214" s="33" t="n">
        <f>13120</f>
        <v>13120.0</v>
      </c>
      <c r="P214" s="34" t="s">
        <v>51</v>
      </c>
      <c r="Q214" s="33" t="n">
        <f>13120</f>
        <v>13120.0</v>
      </c>
      <c r="R214" s="34" t="s">
        <v>51</v>
      </c>
      <c r="S214" s="35" t="n">
        <f>13372.5</f>
        <v>13372.5</v>
      </c>
      <c r="T214" s="32" t="n">
        <f>3</f>
        <v>3.0</v>
      </c>
      <c r="U214" s="32" t="str">
        <f>"－"</f>
        <v>－</v>
      </c>
      <c r="V214" s="32" t="n">
        <f>40255</f>
        <v>40255.0</v>
      </c>
      <c r="W214" s="32" t="str">
        <f>"－"</f>
        <v>－</v>
      </c>
      <c r="X214" s="36" t="n">
        <f>2</f>
        <v>2.0</v>
      </c>
    </row>
    <row r="215">
      <c r="A215" s="27" t="s">
        <v>42</v>
      </c>
      <c r="B215" s="27" t="s">
        <v>689</v>
      </c>
      <c r="C215" s="27" t="s">
        <v>690</v>
      </c>
      <c r="D215" s="27" t="s">
        <v>691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1170</f>
        <v>1170.0</v>
      </c>
      <c r="L215" s="34" t="s">
        <v>48</v>
      </c>
      <c r="M215" s="33" t="n">
        <f>1185</f>
        <v>1185.0</v>
      </c>
      <c r="N215" s="34" t="s">
        <v>103</v>
      </c>
      <c r="O215" s="33" t="n">
        <f>1054</f>
        <v>1054.0</v>
      </c>
      <c r="P215" s="34" t="s">
        <v>61</v>
      </c>
      <c r="Q215" s="33" t="n">
        <f>1112</f>
        <v>1112.0</v>
      </c>
      <c r="R215" s="34" t="s">
        <v>51</v>
      </c>
      <c r="S215" s="35" t="n">
        <f>1109.21</f>
        <v>1109.21</v>
      </c>
      <c r="T215" s="32" t="n">
        <f>1862974</f>
        <v>1862974.0</v>
      </c>
      <c r="U215" s="32" t="n">
        <f>44800</f>
        <v>44800.0</v>
      </c>
      <c r="V215" s="32" t="n">
        <f>2077340319</f>
        <v>2.077340319E9</v>
      </c>
      <c r="W215" s="32" t="n">
        <f>48602400</f>
        <v>4.86024E7</v>
      </c>
      <c r="X215" s="36" t="n">
        <f>19</f>
        <v>19.0</v>
      </c>
    </row>
    <row r="216">
      <c r="A216" s="27" t="s">
        <v>42</v>
      </c>
      <c r="B216" s="27" t="s">
        <v>692</v>
      </c>
      <c r="C216" s="27" t="s">
        <v>693</v>
      </c>
      <c r="D216" s="27" t="s">
        <v>694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1178</f>
        <v>1178.0</v>
      </c>
      <c r="L216" s="34" t="s">
        <v>48</v>
      </c>
      <c r="M216" s="33" t="n">
        <f>1191</f>
        <v>1191.0</v>
      </c>
      <c r="N216" s="34" t="s">
        <v>49</v>
      </c>
      <c r="O216" s="33" t="n">
        <f>1089</f>
        <v>1089.0</v>
      </c>
      <c r="P216" s="34" t="s">
        <v>50</v>
      </c>
      <c r="Q216" s="33" t="n">
        <f>1163</f>
        <v>1163.0</v>
      </c>
      <c r="R216" s="34" t="s">
        <v>51</v>
      </c>
      <c r="S216" s="35" t="n">
        <f>1138.79</f>
        <v>1138.79</v>
      </c>
      <c r="T216" s="32" t="n">
        <f>47789</f>
        <v>47789.0</v>
      </c>
      <c r="U216" s="32" t="str">
        <f>"－"</f>
        <v>－</v>
      </c>
      <c r="V216" s="32" t="n">
        <f>54616469</f>
        <v>5.4616469E7</v>
      </c>
      <c r="W216" s="32" t="str">
        <f>"－"</f>
        <v>－</v>
      </c>
      <c r="X216" s="36" t="n">
        <f>19</f>
        <v>19.0</v>
      </c>
    </row>
    <row r="217">
      <c r="A217" s="27" t="s">
        <v>42</v>
      </c>
      <c r="B217" s="27" t="s">
        <v>695</v>
      </c>
      <c r="C217" s="27" t="s">
        <v>696</v>
      </c>
      <c r="D217" s="27" t="s">
        <v>697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1046</f>
        <v>1046.0</v>
      </c>
      <c r="L217" s="34" t="s">
        <v>48</v>
      </c>
      <c r="M217" s="33" t="n">
        <f>1067</f>
        <v>1067.0</v>
      </c>
      <c r="N217" s="34" t="s">
        <v>49</v>
      </c>
      <c r="O217" s="33" t="n">
        <f>977</f>
        <v>977.0</v>
      </c>
      <c r="P217" s="34" t="s">
        <v>51</v>
      </c>
      <c r="Q217" s="33" t="n">
        <f>1049</f>
        <v>1049.0</v>
      </c>
      <c r="R217" s="34" t="s">
        <v>51</v>
      </c>
      <c r="S217" s="35" t="n">
        <f>1024.53</f>
        <v>1024.53</v>
      </c>
      <c r="T217" s="32" t="n">
        <f>8916</f>
        <v>8916.0</v>
      </c>
      <c r="U217" s="32" t="str">
        <f>"－"</f>
        <v>－</v>
      </c>
      <c r="V217" s="32" t="n">
        <f>9162146</f>
        <v>9162146.0</v>
      </c>
      <c r="W217" s="32" t="str">
        <f>"－"</f>
        <v>－</v>
      </c>
      <c r="X217" s="36" t="n">
        <f>19</f>
        <v>19.0</v>
      </c>
    </row>
    <row r="218">
      <c r="A218" s="27" t="s">
        <v>42</v>
      </c>
      <c r="B218" s="27" t="s">
        <v>698</v>
      </c>
      <c r="C218" s="27" t="s">
        <v>699</v>
      </c>
      <c r="D218" s="27" t="s">
        <v>700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2269</f>
        <v>2269.0</v>
      </c>
      <c r="L218" s="34" t="s">
        <v>48</v>
      </c>
      <c r="M218" s="33" t="n">
        <f>2285</f>
        <v>2285.0</v>
      </c>
      <c r="N218" s="34" t="s">
        <v>49</v>
      </c>
      <c r="O218" s="33" t="n">
        <f>2040</f>
        <v>2040.0</v>
      </c>
      <c r="P218" s="34" t="s">
        <v>72</v>
      </c>
      <c r="Q218" s="33" t="n">
        <f>2187</f>
        <v>2187.0</v>
      </c>
      <c r="R218" s="34" t="s">
        <v>51</v>
      </c>
      <c r="S218" s="35" t="n">
        <f>2151.74</f>
        <v>2151.74</v>
      </c>
      <c r="T218" s="32" t="n">
        <f>221652</f>
        <v>221652.0</v>
      </c>
      <c r="U218" s="32" t="str">
        <f>"－"</f>
        <v>－</v>
      </c>
      <c r="V218" s="32" t="n">
        <f>479665466</f>
        <v>4.79665466E8</v>
      </c>
      <c r="W218" s="32" t="str">
        <f>"－"</f>
        <v>－</v>
      </c>
      <c r="X218" s="36" t="n">
        <f>19</f>
        <v>19.0</v>
      </c>
    </row>
    <row r="219">
      <c r="A219" s="27" t="s">
        <v>42</v>
      </c>
      <c r="B219" s="27" t="s">
        <v>701</v>
      </c>
      <c r="C219" s="27" t="s">
        <v>702</v>
      </c>
      <c r="D219" s="27" t="s">
        <v>703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1.0</v>
      </c>
      <c r="K219" s="33" t="n">
        <f>2299</f>
        <v>2299.0</v>
      </c>
      <c r="L219" s="34" t="s">
        <v>48</v>
      </c>
      <c r="M219" s="33" t="n">
        <f>2311</f>
        <v>2311.0</v>
      </c>
      <c r="N219" s="34" t="s">
        <v>49</v>
      </c>
      <c r="O219" s="33" t="n">
        <f>2130</f>
        <v>2130.0</v>
      </c>
      <c r="P219" s="34" t="s">
        <v>50</v>
      </c>
      <c r="Q219" s="33" t="n">
        <f>2252</f>
        <v>2252.0</v>
      </c>
      <c r="R219" s="34" t="s">
        <v>51</v>
      </c>
      <c r="S219" s="35" t="n">
        <f>2223.74</f>
        <v>2223.74</v>
      </c>
      <c r="T219" s="32" t="n">
        <f>857882</f>
        <v>857882.0</v>
      </c>
      <c r="U219" s="32" t="n">
        <f>166514</f>
        <v>166514.0</v>
      </c>
      <c r="V219" s="32" t="n">
        <f>1918084014</f>
        <v>1.918084014E9</v>
      </c>
      <c r="W219" s="32" t="n">
        <f>380089562</f>
        <v>3.80089562E8</v>
      </c>
      <c r="X219" s="36" t="n">
        <f>19</f>
        <v>19.0</v>
      </c>
    </row>
    <row r="220">
      <c r="A220" s="27" t="s">
        <v>42</v>
      </c>
      <c r="B220" s="27" t="s">
        <v>704</v>
      </c>
      <c r="C220" s="27" t="s">
        <v>705</v>
      </c>
      <c r="D220" s="27" t="s">
        <v>706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10.0</v>
      </c>
      <c r="K220" s="33" t="n">
        <f>570.9</f>
        <v>570.9</v>
      </c>
      <c r="L220" s="34" t="s">
        <v>48</v>
      </c>
      <c r="M220" s="33" t="n">
        <f>573.5</f>
        <v>573.5</v>
      </c>
      <c r="N220" s="34" t="s">
        <v>49</v>
      </c>
      <c r="O220" s="33" t="n">
        <f>520.6</f>
        <v>520.6</v>
      </c>
      <c r="P220" s="34" t="s">
        <v>50</v>
      </c>
      <c r="Q220" s="33" t="n">
        <f>557.9</f>
        <v>557.9</v>
      </c>
      <c r="R220" s="34" t="s">
        <v>51</v>
      </c>
      <c r="S220" s="35" t="n">
        <f>547.97</f>
        <v>547.97</v>
      </c>
      <c r="T220" s="32" t="n">
        <f>1384050</f>
        <v>1384050.0</v>
      </c>
      <c r="U220" s="32" t="n">
        <f>144930</f>
        <v>144930.0</v>
      </c>
      <c r="V220" s="32" t="n">
        <f>754483315</f>
        <v>7.54483315E8</v>
      </c>
      <c r="W220" s="32" t="n">
        <f>80069401</f>
        <v>8.0069401E7</v>
      </c>
      <c r="X220" s="36" t="n">
        <f>19</f>
        <v>19.0</v>
      </c>
    </row>
    <row r="221">
      <c r="A221" s="27" t="s">
        <v>42</v>
      </c>
      <c r="B221" s="27" t="s">
        <v>707</v>
      </c>
      <c r="C221" s="27" t="s">
        <v>708</v>
      </c>
      <c r="D221" s="27" t="s">
        <v>709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2373</f>
        <v>2373.0</v>
      </c>
      <c r="L221" s="34" t="s">
        <v>119</v>
      </c>
      <c r="M221" s="33" t="n">
        <f>2474</f>
        <v>2474.0</v>
      </c>
      <c r="N221" s="34" t="s">
        <v>464</v>
      </c>
      <c r="O221" s="33" t="n">
        <f>2353.5</f>
        <v>2353.5</v>
      </c>
      <c r="P221" s="34" t="s">
        <v>267</v>
      </c>
      <c r="Q221" s="33" t="n">
        <f>2463</f>
        <v>2463.0</v>
      </c>
      <c r="R221" s="34" t="s">
        <v>51</v>
      </c>
      <c r="S221" s="35" t="n">
        <f>2410</f>
        <v>2410.0</v>
      </c>
      <c r="T221" s="32" t="n">
        <f>131530</f>
        <v>131530.0</v>
      </c>
      <c r="U221" s="32" t="str">
        <f>"－"</f>
        <v>－</v>
      </c>
      <c r="V221" s="32" t="n">
        <f>322905245</f>
        <v>3.22905245E8</v>
      </c>
      <c r="W221" s="32" t="str">
        <f>"－"</f>
        <v>－</v>
      </c>
      <c r="X221" s="36" t="n">
        <f>7</f>
        <v>7.0</v>
      </c>
    </row>
    <row r="222">
      <c r="A222" s="27" t="s">
        <v>42</v>
      </c>
      <c r="B222" s="27" t="s">
        <v>710</v>
      </c>
      <c r="C222" s="27" t="s">
        <v>711</v>
      </c>
      <c r="D222" s="27" t="s">
        <v>712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2466</f>
        <v>2466.0</v>
      </c>
      <c r="L222" s="34" t="s">
        <v>48</v>
      </c>
      <c r="M222" s="33" t="n">
        <f>2579.5</f>
        <v>2579.5</v>
      </c>
      <c r="N222" s="34" t="s">
        <v>51</v>
      </c>
      <c r="O222" s="33" t="n">
        <f>2327</f>
        <v>2327.0</v>
      </c>
      <c r="P222" s="34" t="s">
        <v>72</v>
      </c>
      <c r="Q222" s="33" t="n">
        <f>2513.5</f>
        <v>2513.5</v>
      </c>
      <c r="R222" s="34" t="s">
        <v>51</v>
      </c>
      <c r="S222" s="35" t="n">
        <f>2441.64</f>
        <v>2441.64</v>
      </c>
      <c r="T222" s="32" t="n">
        <f>345320</f>
        <v>345320.0</v>
      </c>
      <c r="U222" s="32" t="str">
        <f>"－"</f>
        <v>－</v>
      </c>
      <c r="V222" s="32" t="n">
        <f>852211010</f>
        <v>8.5221101E8</v>
      </c>
      <c r="W222" s="32" t="str">
        <f>"－"</f>
        <v>－</v>
      </c>
      <c r="X222" s="36" t="n">
        <f>18</f>
        <v>18.0</v>
      </c>
    </row>
    <row r="223">
      <c r="A223" s="27" t="s">
        <v>42</v>
      </c>
      <c r="B223" s="27" t="s">
        <v>713</v>
      </c>
      <c r="C223" s="27" t="s">
        <v>714</v>
      </c>
      <c r="D223" s="27" t="s">
        <v>715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str">
        <f>"－"</f>
        <v>－</v>
      </c>
      <c r="L223" s="34"/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5" t="str">
        <f>"－"</f>
        <v>－</v>
      </c>
      <c r="T223" s="32" t="str">
        <f>"－"</f>
        <v>－</v>
      </c>
      <c r="U223" s="32" t="str">
        <f>"－"</f>
        <v>－</v>
      </c>
      <c r="V223" s="32" t="str">
        <f>"－"</f>
        <v>－</v>
      </c>
      <c r="W223" s="32" t="str">
        <f>"－"</f>
        <v>－</v>
      </c>
      <c r="X223" s="36" t="str">
        <f>"－"</f>
        <v>－</v>
      </c>
    </row>
    <row r="224">
      <c r="A224" s="27" t="s">
        <v>42</v>
      </c>
      <c r="B224" s="27" t="s">
        <v>716</v>
      </c>
      <c r="C224" s="27" t="s">
        <v>717</v>
      </c>
      <c r="D224" s="27" t="s">
        <v>718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2248.5</f>
        <v>2248.5</v>
      </c>
      <c r="L224" s="34" t="s">
        <v>119</v>
      </c>
      <c r="M224" s="33" t="n">
        <f>2345</f>
        <v>2345.0</v>
      </c>
      <c r="N224" s="34" t="s">
        <v>51</v>
      </c>
      <c r="O224" s="33" t="n">
        <f>2248.5</f>
        <v>2248.5</v>
      </c>
      <c r="P224" s="34" t="s">
        <v>119</v>
      </c>
      <c r="Q224" s="33" t="n">
        <f>2345</f>
        <v>2345.0</v>
      </c>
      <c r="R224" s="34" t="s">
        <v>51</v>
      </c>
      <c r="S224" s="35" t="n">
        <f>2280.75</f>
        <v>2280.75</v>
      </c>
      <c r="T224" s="32" t="n">
        <f>100010</f>
        <v>100010.0</v>
      </c>
      <c r="U224" s="32" t="str">
        <f>"－"</f>
        <v>－</v>
      </c>
      <c r="V224" s="32" t="n">
        <f>225430295</f>
        <v>2.25430295E8</v>
      </c>
      <c r="W224" s="32" t="str">
        <f>"－"</f>
        <v>－</v>
      </c>
      <c r="X224" s="36" t="n">
        <f>4</f>
        <v>4.0</v>
      </c>
    </row>
    <row r="225">
      <c r="A225" s="27" t="s">
        <v>42</v>
      </c>
      <c r="B225" s="27" t="s">
        <v>719</v>
      </c>
      <c r="C225" s="27" t="s">
        <v>720</v>
      </c>
      <c r="D225" s="27" t="s">
        <v>721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5112</f>
        <v>5112.0</v>
      </c>
      <c r="L225" s="34" t="s">
        <v>93</v>
      </c>
      <c r="M225" s="33" t="n">
        <f>5140</f>
        <v>5140.0</v>
      </c>
      <c r="N225" s="34" t="s">
        <v>649</v>
      </c>
      <c r="O225" s="33" t="n">
        <f>5105</f>
        <v>5105.0</v>
      </c>
      <c r="P225" s="34" t="s">
        <v>464</v>
      </c>
      <c r="Q225" s="33" t="n">
        <f>5105</f>
        <v>5105.0</v>
      </c>
      <c r="R225" s="34" t="s">
        <v>464</v>
      </c>
      <c r="S225" s="35" t="n">
        <f>5119</f>
        <v>5119.0</v>
      </c>
      <c r="T225" s="32" t="n">
        <f>40050</f>
        <v>40050.0</v>
      </c>
      <c r="U225" s="32" t="str">
        <f>"－"</f>
        <v>－</v>
      </c>
      <c r="V225" s="32" t="n">
        <f>205155390</f>
        <v>2.0515539E8</v>
      </c>
      <c r="W225" s="32" t="str">
        <f>"－"</f>
        <v>－</v>
      </c>
      <c r="X225" s="36" t="n">
        <f>3</f>
        <v>3.0</v>
      </c>
    </row>
    <row r="226">
      <c r="A226" s="27" t="s">
        <v>42</v>
      </c>
      <c r="B226" s="27" t="s">
        <v>722</v>
      </c>
      <c r="C226" s="27" t="s">
        <v>723</v>
      </c>
      <c r="D226" s="27" t="s">
        <v>724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str">
        <f>"－"</f>
        <v>－</v>
      </c>
      <c r="L226" s="34"/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5" t="str">
        <f>"－"</f>
        <v>－</v>
      </c>
      <c r="T226" s="32" t="str">
        <f>"－"</f>
        <v>－</v>
      </c>
      <c r="U226" s="32" t="str">
        <f>"－"</f>
        <v>－</v>
      </c>
      <c r="V226" s="32" t="str">
        <f>"－"</f>
        <v>－</v>
      </c>
      <c r="W226" s="32" t="str">
        <f>"－"</f>
        <v>－</v>
      </c>
      <c r="X226" s="36" t="str">
        <f>"－"</f>
        <v>－</v>
      </c>
    </row>
    <row r="227">
      <c r="A227" s="27" t="s">
        <v>42</v>
      </c>
      <c r="B227" s="27" t="s">
        <v>725</v>
      </c>
      <c r="C227" s="27" t="s">
        <v>726</v>
      </c>
      <c r="D227" s="27" t="s">
        <v>727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str">
        <f>"－"</f>
        <v>－</v>
      </c>
      <c r="L227" s="34"/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5" t="str">
        <f>"－"</f>
        <v>－</v>
      </c>
      <c r="T227" s="32" t="str">
        <f>"－"</f>
        <v>－</v>
      </c>
      <c r="U227" s="32" t="str">
        <f>"－"</f>
        <v>－</v>
      </c>
      <c r="V227" s="32" t="str">
        <f>"－"</f>
        <v>－</v>
      </c>
      <c r="W227" s="32" t="str">
        <f>"－"</f>
        <v>－</v>
      </c>
      <c r="X227" s="36" t="str">
        <f>"－"</f>
        <v>－</v>
      </c>
    </row>
    <row r="228">
      <c r="A228" s="27" t="s">
        <v>42</v>
      </c>
      <c r="B228" s="27" t="s">
        <v>728</v>
      </c>
      <c r="C228" s="27" t="s">
        <v>729</v>
      </c>
      <c r="D228" s="27" t="s">
        <v>730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10.0</v>
      </c>
      <c r="K228" s="33" t="n">
        <f>4917</f>
        <v>4917.0</v>
      </c>
      <c r="L228" s="34" t="s">
        <v>48</v>
      </c>
      <c r="M228" s="33" t="n">
        <f>4938</f>
        <v>4938.0</v>
      </c>
      <c r="N228" s="34" t="s">
        <v>464</v>
      </c>
      <c r="O228" s="33" t="n">
        <f>4717</f>
        <v>4717.0</v>
      </c>
      <c r="P228" s="34" t="s">
        <v>72</v>
      </c>
      <c r="Q228" s="33" t="n">
        <f>4785</f>
        <v>4785.0</v>
      </c>
      <c r="R228" s="34" t="s">
        <v>51</v>
      </c>
      <c r="S228" s="35" t="n">
        <f>4812.33</f>
        <v>4812.33</v>
      </c>
      <c r="T228" s="32" t="n">
        <f>487800</f>
        <v>487800.0</v>
      </c>
      <c r="U228" s="32" t="n">
        <f>484010</f>
        <v>484010.0</v>
      </c>
      <c r="V228" s="32" t="n">
        <f>2379324217</f>
        <v>2.379324217E9</v>
      </c>
      <c r="W228" s="32" t="n">
        <f>2361045827</f>
        <v>2.361045827E9</v>
      </c>
      <c r="X228" s="36" t="n">
        <f>18</f>
        <v>18.0</v>
      </c>
    </row>
    <row r="229">
      <c r="A229" s="27" t="s">
        <v>42</v>
      </c>
      <c r="B229" s="27" t="s">
        <v>731</v>
      </c>
      <c r="C229" s="27" t="s">
        <v>732</v>
      </c>
      <c r="D229" s="27" t="s">
        <v>733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1.0</v>
      </c>
      <c r="K229" s="33" t="n">
        <f>950</f>
        <v>950.0</v>
      </c>
      <c r="L229" s="34" t="s">
        <v>48</v>
      </c>
      <c r="M229" s="33" t="n">
        <f>967</f>
        <v>967.0</v>
      </c>
      <c r="N229" s="34" t="s">
        <v>734</v>
      </c>
      <c r="O229" s="33" t="n">
        <f>942</f>
        <v>942.0</v>
      </c>
      <c r="P229" s="34" t="s">
        <v>567</v>
      </c>
      <c r="Q229" s="33" t="n">
        <f>961</f>
        <v>961.0</v>
      </c>
      <c r="R229" s="34" t="s">
        <v>51</v>
      </c>
      <c r="S229" s="35" t="n">
        <f>952.95</f>
        <v>952.95</v>
      </c>
      <c r="T229" s="32" t="n">
        <f>33564</f>
        <v>33564.0</v>
      </c>
      <c r="U229" s="32" t="str">
        <f>"－"</f>
        <v>－</v>
      </c>
      <c r="V229" s="32" t="n">
        <f>31956930</f>
        <v>3.195693E7</v>
      </c>
      <c r="W229" s="32" t="str">
        <f>"－"</f>
        <v>－</v>
      </c>
      <c r="X229" s="36" t="n">
        <f>19</f>
        <v>19.0</v>
      </c>
    </row>
    <row r="230">
      <c r="A230" s="27" t="s">
        <v>42</v>
      </c>
      <c r="B230" s="27" t="s">
        <v>735</v>
      </c>
      <c r="C230" s="27" t="s">
        <v>736</v>
      </c>
      <c r="D230" s="27" t="s">
        <v>737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1168</f>
        <v>1168.0</v>
      </c>
      <c r="L230" s="34" t="s">
        <v>48</v>
      </c>
      <c r="M230" s="33" t="n">
        <f>1207</f>
        <v>1207.0</v>
      </c>
      <c r="N230" s="34" t="s">
        <v>464</v>
      </c>
      <c r="O230" s="33" t="n">
        <f>1122</f>
        <v>1122.0</v>
      </c>
      <c r="P230" s="34" t="s">
        <v>72</v>
      </c>
      <c r="Q230" s="33" t="n">
        <f>1184</f>
        <v>1184.0</v>
      </c>
      <c r="R230" s="34" t="s">
        <v>51</v>
      </c>
      <c r="S230" s="35" t="n">
        <f>1168.16</f>
        <v>1168.16</v>
      </c>
      <c r="T230" s="32" t="n">
        <f>86501</f>
        <v>86501.0</v>
      </c>
      <c r="U230" s="32" t="str">
        <f>"－"</f>
        <v>－</v>
      </c>
      <c r="V230" s="32" t="n">
        <f>100439545</f>
        <v>1.00439545E8</v>
      </c>
      <c r="W230" s="32" t="str">
        <f>"－"</f>
        <v>－</v>
      </c>
      <c r="X230" s="36" t="n">
        <f>19</f>
        <v>19.0</v>
      </c>
    </row>
    <row r="231">
      <c r="A231" s="27" t="s">
        <v>42</v>
      </c>
      <c r="B231" s="27" t="s">
        <v>738</v>
      </c>
      <c r="C231" s="27" t="s">
        <v>739</v>
      </c>
      <c r="D231" s="27" t="s">
        <v>740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967</f>
        <v>967.0</v>
      </c>
      <c r="L231" s="34" t="s">
        <v>48</v>
      </c>
      <c r="M231" s="33" t="n">
        <f>987</f>
        <v>987.0</v>
      </c>
      <c r="N231" s="34" t="s">
        <v>49</v>
      </c>
      <c r="O231" s="33" t="n">
        <f>960</f>
        <v>960.0</v>
      </c>
      <c r="P231" s="34" t="s">
        <v>93</v>
      </c>
      <c r="Q231" s="33" t="n">
        <f>964</f>
        <v>964.0</v>
      </c>
      <c r="R231" s="34" t="s">
        <v>51</v>
      </c>
      <c r="S231" s="35" t="n">
        <f>972</f>
        <v>972.0</v>
      </c>
      <c r="T231" s="32" t="n">
        <f>143637</f>
        <v>143637.0</v>
      </c>
      <c r="U231" s="32" t="str">
        <f>"－"</f>
        <v>－</v>
      </c>
      <c r="V231" s="32" t="n">
        <f>140446051</f>
        <v>1.40446051E8</v>
      </c>
      <c r="W231" s="32" t="str">
        <f>"－"</f>
        <v>－</v>
      </c>
      <c r="X231" s="36" t="n">
        <f>19</f>
        <v>19.0</v>
      </c>
    </row>
    <row r="232">
      <c r="A232" s="27" t="s">
        <v>42</v>
      </c>
      <c r="B232" s="27" t="s">
        <v>741</v>
      </c>
      <c r="C232" s="27" t="s">
        <v>742</v>
      </c>
      <c r="D232" s="27" t="s">
        <v>743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1010</f>
        <v>1010.0</v>
      </c>
      <c r="L232" s="34" t="s">
        <v>48</v>
      </c>
      <c r="M232" s="33" t="n">
        <f>1030</f>
        <v>1030.0</v>
      </c>
      <c r="N232" s="34" t="s">
        <v>226</v>
      </c>
      <c r="O232" s="33" t="n">
        <f>979</f>
        <v>979.0</v>
      </c>
      <c r="P232" s="34" t="s">
        <v>61</v>
      </c>
      <c r="Q232" s="33" t="n">
        <f>980</f>
        <v>980.0</v>
      </c>
      <c r="R232" s="34" t="s">
        <v>51</v>
      </c>
      <c r="S232" s="35" t="n">
        <f>996.11</f>
        <v>996.11</v>
      </c>
      <c r="T232" s="32" t="n">
        <f>144101</f>
        <v>144101.0</v>
      </c>
      <c r="U232" s="32" t="str">
        <f>"－"</f>
        <v>－</v>
      </c>
      <c r="V232" s="32" t="n">
        <f>143150546</f>
        <v>1.43150546E8</v>
      </c>
      <c r="W232" s="32" t="str">
        <f>"－"</f>
        <v>－</v>
      </c>
      <c r="X232" s="36" t="n">
        <f>19</f>
        <v>19.0</v>
      </c>
    </row>
    <row r="233">
      <c r="A233" s="27" t="s">
        <v>42</v>
      </c>
      <c r="B233" s="27" t="s">
        <v>744</v>
      </c>
      <c r="C233" s="27" t="s">
        <v>745</v>
      </c>
      <c r="D233" s="27" t="s">
        <v>746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999</f>
        <v>999.0</v>
      </c>
      <c r="L233" s="34" t="s">
        <v>48</v>
      </c>
      <c r="M233" s="33" t="n">
        <f>999</f>
        <v>999.0</v>
      </c>
      <c r="N233" s="34" t="s">
        <v>48</v>
      </c>
      <c r="O233" s="33" t="n">
        <f>965</f>
        <v>965.0</v>
      </c>
      <c r="P233" s="34" t="s">
        <v>50</v>
      </c>
      <c r="Q233" s="33" t="n">
        <f>978</f>
        <v>978.0</v>
      </c>
      <c r="R233" s="34" t="s">
        <v>51</v>
      </c>
      <c r="S233" s="35" t="n">
        <f>980.47</f>
        <v>980.47</v>
      </c>
      <c r="T233" s="32" t="n">
        <f>40563</f>
        <v>40563.0</v>
      </c>
      <c r="U233" s="32" t="n">
        <f>3</f>
        <v>3.0</v>
      </c>
      <c r="V233" s="32" t="n">
        <f>39803960</f>
        <v>3.980396E7</v>
      </c>
      <c r="W233" s="32" t="n">
        <f>2940</f>
        <v>2940.0</v>
      </c>
      <c r="X233" s="36" t="n">
        <f>19</f>
        <v>19.0</v>
      </c>
    </row>
    <row r="234">
      <c r="A234" s="27" t="s">
        <v>42</v>
      </c>
      <c r="B234" s="27" t="s">
        <v>747</v>
      </c>
      <c r="C234" s="27" t="s">
        <v>748</v>
      </c>
      <c r="D234" s="27" t="s">
        <v>749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1525</f>
        <v>1525.0</v>
      </c>
      <c r="L234" s="34" t="s">
        <v>48</v>
      </c>
      <c r="M234" s="33" t="n">
        <f>1570</f>
        <v>1570.0</v>
      </c>
      <c r="N234" s="34" t="s">
        <v>103</v>
      </c>
      <c r="O234" s="33" t="n">
        <f>1471</f>
        <v>1471.0</v>
      </c>
      <c r="P234" s="34" t="s">
        <v>50</v>
      </c>
      <c r="Q234" s="33" t="n">
        <f>1476</f>
        <v>1476.0</v>
      </c>
      <c r="R234" s="34" t="s">
        <v>51</v>
      </c>
      <c r="S234" s="35" t="n">
        <f>1492.26</f>
        <v>1492.26</v>
      </c>
      <c r="T234" s="32" t="n">
        <f>207839</f>
        <v>207839.0</v>
      </c>
      <c r="U234" s="32" t="n">
        <f>114130</f>
        <v>114130.0</v>
      </c>
      <c r="V234" s="32" t="n">
        <f>310343581</f>
        <v>3.10343581E8</v>
      </c>
      <c r="W234" s="32" t="n">
        <f>170533717</f>
        <v>1.70533717E8</v>
      </c>
      <c r="X234" s="36" t="n">
        <f>19</f>
        <v>19.0</v>
      </c>
    </row>
    <row r="235">
      <c r="A235" s="27" t="s">
        <v>42</v>
      </c>
      <c r="B235" s="27" t="s">
        <v>750</v>
      </c>
      <c r="C235" s="27" t="s">
        <v>751</v>
      </c>
      <c r="D235" s="27" t="s">
        <v>752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10.0</v>
      </c>
      <c r="K235" s="33" t="n">
        <f>161.6</f>
        <v>161.6</v>
      </c>
      <c r="L235" s="34" t="s">
        <v>48</v>
      </c>
      <c r="M235" s="33" t="n">
        <f>161.6</f>
        <v>161.6</v>
      </c>
      <c r="N235" s="34" t="s">
        <v>48</v>
      </c>
      <c r="O235" s="33" t="n">
        <f>126</f>
        <v>126.0</v>
      </c>
      <c r="P235" s="34" t="s">
        <v>72</v>
      </c>
      <c r="Q235" s="33" t="n">
        <f>146.5</f>
        <v>146.5</v>
      </c>
      <c r="R235" s="34" t="s">
        <v>51</v>
      </c>
      <c r="S235" s="35" t="n">
        <f>141.98</f>
        <v>141.98</v>
      </c>
      <c r="T235" s="32" t="n">
        <f>10946410</f>
        <v>1.094641E7</v>
      </c>
      <c r="U235" s="32" t="n">
        <f>4600010</f>
        <v>4600010.0</v>
      </c>
      <c r="V235" s="32" t="n">
        <f>1514027843</f>
        <v>1.514027843E9</v>
      </c>
      <c r="W235" s="32" t="n">
        <f>605550370</f>
        <v>6.0555037E8</v>
      </c>
      <c r="X235" s="36" t="n">
        <f>19</f>
        <v>19.0</v>
      </c>
    </row>
    <row r="236">
      <c r="A236" s="27" t="s">
        <v>42</v>
      </c>
      <c r="B236" s="27" t="s">
        <v>753</v>
      </c>
      <c r="C236" s="27" t="s">
        <v>754</v>
      </c>
      <c r="D236" s="27" t="s">
        <v>755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10.0</v>
      </c>
      <c r="K236" s="33" t="n">
        <f>455.8</f>
        <v>455.8</v>
      </c>
      <c r="L236" s="34" t="s">
        <v>48</v>
      </c>
      <c r="M236" s="33" t="n">
        <f>455.8</f>
        <v>455.8</v>
      </c>
      <c r="N236" s="34" t="s">
        <v>48</v>
      </c>
      <c r="O236" s="33" t="n">
        <f>360.2</f>
        <v>360.2</v>
      </c>
      <c r="P236" s="34" t="s">
        <v>72</v>
      </c>
      <c r="Q236" s="33" t="n">
        <f>420.5</f>
        <v>420.5</v>
      </c>
      <c r="R236" s="34" t="s">
        <v>51</v>
      </c>
      <c r="S236" s="35" t="n">
        <f>404.34</f>
        <v>404.34</v>
      </c>
      <c r="T236" s="32" t="n">
        <f>626660</f>
        <v>626660.0</v>
      </c>
      <c r="U236" s="32" t="str">
        <f>"－"</f>
        <v>－</v>
      </c>
      <c r="V236" s="32" t="n">
        <f>254195305</f>
        <v>2.54195305E8</v>
      </c>
      <c r="W236" s="32" t="str">
        <f>"－"</f>
        <v>－</v>
      </c>
      <c r="X236" s="36" t="n">
        <f>19</f>
        <v>19.0</v>
      </c>
    </row>
    <row r="237">
      <c r="A237" s="27" t="s">
        <v>42</v>
      </c>
      <c r="B237" s="27" t="s">
        <v>756</v>
      </c>
      <c r="C237" s="27" t="s">
        <v>757</v>
      </c>
      <c r="D237" s="27" t="s">
        <v>758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10.0</v>
      </c>
      <c r="K237" s="33" t="n">
        <f>2660</f>
        <v>2660.0</v>
      </c>
      <c r="L237" s="34" t="s">
        <v>48</v>
      </c>
      <c r="M237" s="33" t="n">
        <f>2732</f>
        <v>2732.0</v>
      </c>
      <c r="N237" s="34" t="s">
        <v>51</v>
      </c>
      <c r="O237" s="33" t="n">
        <f>2489</f>
        <v>2489.0</v>
      </c>
      <c r="P237" s="34" t="s">
        <v>50</v>
      </c>
      <c r="Q237" s="33" t="n">
        <f>2613.5</f>
        <v>2613.5</v>
      </c>
      <c r="R237" s="34" t="s">
        <v>51</v>
      </c>
      <c r="S237" s="35" t="n">
        <f>2588.66</f>
        <v>2588.66</v>
      </c>
      <c r="T237" s="32" t="n">
        <f>206190</f>
        <v>206190.0</v>
      </c>
      <c r="U237" s="32" t="str">
        <f>"－"</f>
        <v>－</v>
      </c>
      <c r="V237" s="32" t="n">
        <f>530536110</f>
        <v>5.3053611E8</v>
      </c>
      <c r="W237" s="32" t="str">
        <f>"－"</f>
        <v>－</v>
      </c>
      <c r="X237" s="36" t="n">
        <f>19</f>
        <v>19.0</v>
      </c>
    </row>
    <row r="238">
      <c r="A238" s="27" t="s">
        <v>42</v>
      </c>
      <c r="B238" s="27" t="s">
        <v>759</v>
      </c>
      <c r="C238" s="27" t="s">
        <v>760</v>
      </c>
      <c r="D238" s="27" t="s">
        <v>761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1.0</v>
      </c>
      <c r="K238" s="33" t="n">
        <f>1245</f>
        <v>1245.0</v>
      </c>
      <c r="L238" s="34" t="s">
        <v>48</v>
      </c>
      <c r="M238" s="33" t="n">
        <f>1265</f>
        <v>1265.0</v>
      </c>
      <c r="N238" s="34" t="s">
        <v>49</v>
      </c>
      <c r="O238" s="33" t="n">
        <f>1187</f>
        <v>1187.0</v>
      </c>
      <c r="P238" s="34" t="s">
        <v>50</v>
      </c>
      <c r="Q238" s="33" t="n">
        <f>1230</f>
        <v>1230.0</v>
      </c>
      <c r="R238" s="34" t="s">
        <v>51</v>
      </c>
      <c r="S238" s="35" t="n">
        <f>1220.79</f>
        <v>1220.79</v>
      </c>
      <c r="T238" s="32" t="n">
        <f>687028</f>
        <v>687028.0</v>
      </c>
      <c r="U238" s="32" t="n">
        <f>100026</f>
        <v>100026.0</v>
      </c>
      <c r="V238" s="32" t="n">
        <f>841378054</f>
        <v>8.41378054E8</v>
      </c>
      <c r="W238" s="32" t="n">
        <f>121384639</f>
        <v>1.21384639E8</v>
      </c>
      <c r="X238" s="36" t="n">
        <f>19</f>
        <v>19.0</v>
      </c>
    </row>
    <row r="239">
      <c r="A239" s="27" t="s">
        <v>42</v>
      </c>
      <c r="B239" s="27" t="s">
        <v>762</v>
      </c>
      <c r="C239" s="27" t="s">
        <v>763</v>
      </c>
      <c r="D239" s="27" t="s">
        <v>764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1.0</v>
      </c>
      <c r="K239" s="33" t="n">
        <f>82080</f>
        <v>82080.0</v>
      </c>
      <c r="L239" s="34" t="s">
        <v>48</v>
      </c>
      <c r="M239" s="33" t="n">
        <f>86000</f>
        <v>86000.0</v>
      </c>
      <c r="N239" s="34" t="s">
        <v>49</v>
      </c>
      <c r="O239" s="33" t="n">
        <f>75350</f>
        <v>75350.0</v>
      </c>
      <c r="P239" s="34" t="s">
        <v>72</v>
      </c>
      <c r="Q239" s="33" t="n">
        <f>86000</f>
        <v>86000.0</v>
      </c>
      <c r="R239" s="34" t="s">
        <v>51</v>
      </c>
      <c r="S239" s="35" t="n">
        <f>81133.68</f>
        <v>81133.68</v>
      </c>
      <c r="T239" s="32" t="n">
        <f>36424</f>
        <v>36424.0</v>
      </c>
      <c r="U239" s="32" t="str">
        <f>"－"</f>
        <v>－</v>
      </c>
      <c r="V239" s="32" t="n">
        <f>2959158240</f>
        <v>2.95915824E9</v>
      </c>
      <c r="W239" s="32" t="str">
        <f>"－"</f>
        <v>－</v>
      </c>
      <c r="X239" s="36" t="n">
        <f>19</f>
        <v>19.0</v>
      </c>
    </row>
    <row r="240">
      <c r="A240" s="27" t="s">
        <v>42</v>
      </c>
      <c r="B240" s="27" t="s">
        <v>765</v>
      </c>
      <c r="C240" s="27" t="s">
        <v>766</v>
      </c>
      <c r="D240" s="27" t="s">
        <v>767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1.0</v>
      </c>
      <c r="K240" s="33" t="n">
        <f>7097</f>
        <v>7097.0</v>
      </c>
      <c r="L240" s="34" t="s">
        <v>48</v>
      </c>
      <c r="M240" s="33" t="n">
        <f>7400</f>
        <v>7400.0</v>
      </c>
      <c r="N240" s="34" t="s">
        <v>72</v>
      </c>
      <c r="O240" s="33" t="n">
        <f>6953</f>
        <v>6953.0</v>
      </c>
      <c r="P240" s="34" t="s">
        <v>464</v>
      </c>
      <c r="Q240" s="33" t="n">
        <f>7150</f>
        <v>7150.0</v>
      </c>
      <c r="R240" s="34" t="s">
        <v>51</v>
      </c>
      <c r="S240" s="35" t="n">
        <f>7140.11</f>
        <v>7140.11</v>
      </c>
      <c r="T240" s="32" t="n">
        <f>65161</f>
        <v>65161.0</v>
      </c>
      <c r="U240" s="32" t="n">
        <f>3310</f>
        <v>3310.0</v>
      </c>
      <c r="V240" s="32" t="n">
        <f>463740742</f>
        <v>4.63740742E8</v>
      </c>
      <c r="W240" s="32" t="n">
        <f>23954462</f>
        <v>2.3954462E7</v>
      </c>
      <c r="X240" s="36" t="n">
        <f>19</f>
        <v>19.0</v>
      </c>
    </row>
    <row r="241">
      <c r="A241" s="27" t="s">
        <v>42</v>
      </c>
      <c r="B241" s="27" t="s">
        <v>768</v>
      </c>
      <c r="C241" s="27" t="s">
        <v>769</v>
      </c>
      <c r="D241" s="27" t="s">
        <v>770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10.0</v>
      </c>
      <c r="K241" s="33" t="n">
        <f>17730</f>
        <v>17730.0</v>
      </c>
      <c r="L241" s="34" t="s">
        <v>48</v>
      </c>
      <c r="M241" s="33" t="n">
        <f>18630</f>
        <v>18630.0</v>
      </c>
      <c r="N241" s="34" t="s">
        <v>464</v>
      </c>
      <c r="O241" s="33" t="n">
        <f>16280</f>
        <v>16280.0</v>
      </c>
      <c r="P241" s="34" t="s">
        <v>72</v>
      </c>
      <c r="Q241" s="33" t="n">
        <f>18175</f>
        <v>18175.0</v>
      </c>
      <c r="R241" s="34" t="s">
        <v>51</v>
      </c>
      <c r="S241" s="35" t="n">
        <f>17518.16</f>
        <v>17518.16</v>
      </c>
      <c r="T241" s="32" t="n">
        <f>83200</f>
        <v>83200.0</v>
      </c>
      <c r="U241" s="32" t="str">
        <f>"－"</f>
        <v>－</v>
      </c>
      <c r="V241" s="32" t="n">
        <f>1446259500</f>
        <v>1.4462595E9</v>
      </c>
      <c r="W241" s="32" t="str">
        <f>"－"</f>
        <v>－</v>
      </c>
      <c r="X241" s="36" t="n">
        <f>19</f>
        <v>19.0</v>
      </c>
    </row>
    <row r="242">
      <c r="A242" s="27" t="s">
        <v>42</v>
      </c>
      <c r="B242" s="27" t="s">
        <v>771</v>
      </c>
      <c r="C242" s="27" t="s">
        <v>772</v>
      </c>
      <c r="D242" s="27" t="s">
        <v>773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1.0</v>
      </c>
      <c r="K242" s="33" t="n">
        <f>932</f>
        <v>932.0</v>
      </c>
      <c r="L242" s="34" t="s">
        <v>48</v>
      </c>
      <c r="M242" s="33" t="n">
        <f>985</f>
        <v>985.0</v>
      </c>
      <c r="N242" s="34" t="s">
        <v>49</v>
      </c>
      <c r="O242" s="33" t="n">
        <f>856</f>
        <v>856.0</v>
      </c>
      <c r="P242" s="34" t="s">
        <v>72</v>
      </c>
      <c r="Q242" s="33" t="n">
        <f>953</f>
        <v>953.0</v>
      </c>
      <c r="R242" s="34" t="s">
        <v>51</v>
      </c>
      <c r="S242" s="35" t="n">
        <f>911.16</f>
        <v>911.16</v>
      </c>
      <c r="T242" s="32" t="n">
        <f>181887</f>
        <v>181887.0</v>
      </c>
      <c r="U242" s="32" t="str">
        <f>"－"</f>
        <v>－</v>
      </c>
      <c r="V242" s="32" t="n">
        <f>172598736</f>
        <v>1.72598736E8</v>
      </c>
      <c r="W242" s="32" t="str">
        <f>"－"</f>
        <v>－</v>
      </c>
      <c r="X242" s="36" t="n">
        <f>19</f>
        <v>19.0</v>
      </c>
    </row>
    <row r="243">
      <c r="A243" s="27" t="s">
        <v>42</v>
      </c>
      <c r="B243" s="27" t="s">
        <v>774</v>
      </c>
      <c r="C243" s="27" t="s">
        <v>775</v>
      </c>
      <c r="D243" s="27" t="s">
        <v>776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7142</f>
        <v>7142.0</v>
      </c>
      <c r="L243" s="34" t="s">
        <v>48</v>
      </c>
      <c r="M243" s="33" t="n">
        <f>7449</f>
        <v>7449.0</v>
      </c>
      <c r="N243" s="34" t="s">
        <v>72</v>
      </c>
      <c r="O243" s="33" t="n">
        <f>7007</f>
        <v>7007.0</v>
      </c>
      <c r="P243" s="34" t="s">
        <v>464</v>
      </c>
      <c r="Q243" s="33" t="n">
        <f>7040</f>
        <v>7040.0</v>
      </c>
      <c r="R243" s="34" t="s">
        <v>51</v>
      </c>
      <c r="S243" s="35" t="n">
        <f>7182.21</f>
        <v>7182.21</v>
      </c>
      <c r="T243" s="32" t="n">
        <f>39500</f>
        <v>39500.0</v>
      </c>
      <c r="U243" s="32" t="str">
        <f>"－"</f>
        <v>－</v>
      </c>
      <c r="V243" s="32" t="n">
        <f>283555230</f>
        <v>2.8355523E8</v>
      </c>
      <c r="W243" s="32" t="str">
        <f>"－"</f>
        <v>－</v>
      </c>
      <c r="X243" s="36" t="n">
        <f>19</f>
        <v>19.0</v>
      </c>
    </row>
    <row r="244">
      <c r="A244" s="27" t="s">
        <v>42</v>
      </c>
      <c r="B244" s="27" t="s">
        <v>777</v>
      </c>
      <c r="C244" s="27" t="s">
        <v>778</v>
      </c>
      <c r="D244" s="27" t="s">
        <v>779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671.3</f>
        <v>671.3</v>
      </c>
      <c r="L244" s="34" t="s">
        <v>48</v>
      </c>
      <c r="M244" s="33" t="n">
        <f>690.2</f>
        <v>690.2</v>
      </c>
      <c r="N244" s="34" t="s">
        <v>49</v>
      </c>
      <c r="O244" s="33" t="n">
        <f>637.4</f>
        <v>637.4</v>
      </c>
      <c r="P244" s="34" t="s">
        <v>50</v>
      </c>
      <c r="Q244" s="33" t="n">
        <f>669.2</f>
        <v>669.2</v>
      </c>
      <c r="R244" s="34" t="s">
        <v>51</v>
      </c>
      <c r="S244" s="35" t="n">
        <f>663.15</f>
        <v>663.15</v>
      </c>
      <c r="T244" s="32" t="n">
        <f>535120</f>
        <v>535120.0</v>
      </c>
      <c r="U244" s="32" t="str">
        <f>"－"</f>
        <v>－</v>
      </c>
      <c r="V244" s="32" t="n">
        <f>352097890</f>
        <v>3.5209789E8</v>
      </c>
      <c r="W244" s="32" t="str">
        <f>"－"</f>
        <v>－</v>
      </c>
      <c r="X244" s="36" t="n">
        <f>19</f>
        <v>19.0</v>
      </c>
    </row>
    <row r="245">
      <c r="A245" s="27" t="s">
        <v>42</v>
      </c>
      <c r="B245" s="27" t="s">
        <v>780</v>
      </c>
      <c r="C245" s="27" t="s">
        <v>781</v>
      </c>
      <c r="D245" s="27" t="s">
        <v>782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580</f>
        <v>580.0</v>
      </c>
      <c r="L245" s="34" t="s">
        <v>48</v>
      </c>
      <c r="M245" s="33" t="n">
        <f>597.3</f>
        <v>597.3</v>
      </c>
      <c r="N245" s="34" t="s">
        <v>48</v>
      </c>
      <c r="O245" s="33" t="n">
        <f>557.5</f>
        <v>557.5</v>
      </c>
      <c r="P245" s="34" t="s">
        <v>72</v>
      </c>
      <c r="Q245" s="33" t="n">
        <f>587</f>
        <v>587.0</v>
      </c>
      <c r="R245" s="34" t="s">
        <v>51</v>
      </c>
      <c r="S245" s="35" t="n">
        <f>576.32</f>
        <v>576.32</v>
      </c>
      <c r="T245" s="32" t="n">
        <f>2323150</f>
        <v>2323150.0</v>
      </c>
      <c r="U245" s="32" t="n">
        <f>2124700</f>
        <v>2124700.0</v>
      </c>
      <c r="V245" s="32" t="n">
        <f>1343923560</f>
        <v>1.34392356E9</v>
      </c>
      <c r="W245" s="32" t="n">
        <f>1229634410</f>
        <v>1.22963441E9</v>
      </c>
      <c r="X245" s="36" t="n">
        <f>19</f>
        <v>19.0</v>
      </c>
    </row>
    <row r="246">
      <c r="A246" s="27" t="s">
        <v>42</v>
      </c>
      <c r="B246" s="27" t="s">
        <v>783</v>
      </c>
      <c r="C246" s="27" t="s">
        <v>784</v>
      </c>
      <c r="D246" s="27" t="s">
        <v>785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1.0</v>
      </c>
      <c r="K246" s="33" t="n">
        <f>1804</f>
        <v>1804.0</v>
      </c>
      <c r="L246" s="34" t="s">
        <v>48</v>
      </c>
      <c r="M246" s="33" t="n">
        <f>1858</f>
        <v>1858.0</v>
      </c>
      <c r="N246" s="34" t="s">
        <v>49</v>
      </c>
      <c r="O246" s="33" t="n">
        <f>1546</f>
        <v>1546.0</v>
      </c>
      <c r="P246" s="34" t="s">
        <v>72</v>
      </c>
      <c r="Q246" s="33" t="n">
        <f>1763</f>
        <v>1763.0</v>
      </c>
      <c r="R246" s="34" t="s">
        <v>51</v>
      </c>
      <c r="S246" s="35" t="n">
        <f>1695.47</f>
        <v>1695.47</v>
      </c>
      <c r="T246" s="32" t="n">
        <f>8824236</f>
        <v>8824236.0</v>
      </c>
      <c r="U246" s="32" t="n">
        <f>10197</f>
        <v>10197.0</v>
      </c>
      <c r="V246" s="32" t="n">
        <f>14931878024</f>
        <v>1.4931878024E10</v>
      </c>
      <c r="W246" s="32" t="n">
        <f>17608350</f>
        <v>1.760835E7</v>
      </c>
      <c r="X246" s="36" t="n">
        <f>19</f>
        <v>19.0</v>
      </c>
    </row>
    <row r="247">
      <c r="A247" s="27" t="s">
        <v>42</v>
      </c>
      <c r="B247" s="27" t="s">
        <v>786</v>
      </c>
      <c r="C247" s="27" t="s">
        <v>787</v>
      </c>
      <c r="D247" s="27" t="s">
        <v>788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1.0</v>
      </c>
      <c r="K247" s="33" t="n">
        <f>2025</f>
        <v>2025.0</v>
      </c>
      <c r="L247" s="34" t="s">
        <v>48</v>
      </c>
      <c r="M247" s="33" t="n">
        <f>2140</f>
        <v>2140.0</v>
      </c>
      <c r="N247" s="34" t="s">
        <v>49</v>
      </c>
      <c r="O247" s="33" t="n">
        <f>1843</f>
        <v>1843.0</v>
      </c>
      <c r="P247" s="34" t="s">
        <v>72</v>
      </c>
      <c r="Q247" s="33" t="n">
        <f>2052</f>
        <v>2052.0</v>
      </c>
      <c r="R247" s="34" t="s">
        <v>51</v>
      </c>
      <c r="S247" s="35" t="n">
        <f>1978.58</f>
        <v>1978.58</v>
      </c>
      <c r="T247" s="32" t="n">
        <f>6444591</f>
        <v>6444591.0</v>
      </c>
      <c r="U247" s="32" t="n">
        <f>422</f>
        <v>422.0</v>
      </c>
      <c r="V247" s="32" t="n">
        <f>12743582624</f>
        <v>1.2743582624E10</v>
      </c>
      <c r="W247" s="32" t="n">
        <f>806873</f>
        <v>806873.0</v>
      </c>
      <c r="X247" s="36" t="n">
        <f>19</f>
        <v>19.0</v>
      </c>
    </row>
    <row r="248">
      <c r="A248" s="27" t="s">
        <v>42</v>
      </c>
      <c r="B248" s="27" t="s">
        <v>789</v>
      </c>
      <c r="C248" s="27" t="s">
        <v>790</v>
      </c>
      <c r="D248" s="27" t="s">
        <v>791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777.2</f>
        <v>777.2</v>
      </c>
      <c r="L248" s="34" t="s">
        <v>48</v>
      </c>
      <c r="M248" s="33" t="n">
        <f>782.4</f>
        <v>782.4</v>
      </c>
      <c r="N248" s="34" t="s">
        <v>68</v>
      </c>
      <c r="O248" s="33" t="n">
        <f>767</f>
        <v>767.0</v>
      </c>
      <c r="P248" s="34" t="s">
        <v>72</v>
      </c>
      <c r="Q248" s="33" t="n">
        <f>780</f>
        <v>780.0</v>
      </c>
      <c r="R248" s="34" t="s">
        <v>464</v>
      </c>
      <c r="S248" s="35" t="n">
        <f>779.55</f>
        <v>779.55</v>
      </c>
      <c r="T248" s="32" t="n">
        <f>120460</f>
        <v>120460.0</v>
      </c>
      <c r="U248" s="32" t="n">
        <f>10</f>
        <v>10.0</v>
      </c>
      <c r="V248" s="32" t="n">
        <f>94093128</f>
        <v>9.4093128E7</v>
      </c>
      <c r="W248" s="32" t="n">
        <f>7787</f>
        <v>7787.0</v>
      </c>
      <c r="X248" s="36" t="n">
        <f>10</f>
        <v>10.0</v>
      </c>
    </row>
    <row r="249">
      <c r="A249" s="27" t="s">
        <v>42</v>
      </c>
      <c r="B249" s="27" t="s">
        <v>792</v>
      </c>
      <c r="C249" s="27" t="s">
        <v>793</v>
      </c>
      <c r="D249" s="27" t="s">
        <v>794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774.2</f>
        <v>774.2</v>
      </c>
      <c r="L249" s="34" t="s">
        <v>48</v>
      </c>
      <c r="M249" s="33" t="n">
        <f>779.5</f>
        <v>779.5</v>
      </c>
      <c r="N249" s="34" t="s">
        <v>50</v>
      </c>
      <c r="O249" s="33" t="n">
        <f>760.2</f>
        <v>760.2</v>
      </c>
      <c r="P249" s="34" t="s">
        <v>464</v>
      </c>
      <c r="Q249" s="33" t="n">
        <f>773.3</f>
        <v>773.3</v>
      </c>
      <c r="R249" s="34" t="s">
        <v>49</v>
      </c>
      <c r="S249" s="35" t="n">
        <f>775.08</f>
        <v>775.08</v>
      </c>
      <c r="T249" s="32" t="n">
        <f>118930</f>
        <v>118930.0</v>
      </c>
      <c r="U249" s="32" t="str">
        <f>"－"</f>
        <v>－</v>
      </c>
      <c r="V249" s="32" t="n">
        <f>92310414</f>
        <v>9.2310414E7</v>
      </c>
      <c r="W249" s="32" t="str">
        <f>"－"</f>
        <v>－</v>
      </c>
      <c r="X249" s="36" t="n">
        <f>11</f>
        <v>11.0</v>
      </c>
    </row>
    <row r="250">
      <c r="A250" s="27" t="s">
        <v>42</v>
      </c>
      <c r="B250" s="27" t="s">
        <v>795</v>
      </c>
      <c r="C250" s="27" t="s">
        <v>796</v>
      </c>
      <c r="D250" s="27" t="s">
        <v>797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15520</f>
        <v>15520.0</v>
      </c>
      <c r="L250" s="34" t="s">
        <v>48</v>
      </c>
      <c r="M250" s="33" t="n">
        <f>15800</f>
        <v>15800.0</v>
      </c>
      <c r="N250" s="34" t="s">
        <v>49</v>
      </c>
      <c r="O250" s="33" t="n">
        <f>14405</f>
        <v>14405.0</v>
      </c>
      <c r="P250" s="34" t="s">
        <v>72</v>
      </c>
      <c r="Q250" s="33" t="n">
        <f>15235</f>
        <v>15235.0</v>
      </c>
      <c r="R250" s="34" t="s">
        <v>51</v>
      </c>
      <c r="S250" s="35" t="n">
        <f>15094.47</f>
        <v>15094.47</v>
      </c>
      <c r="T250" s="32" t="n">
        <f>435318</f>
        <v>435318.0</v>
      </c>
      <c r="U250" s="32" t="n">
        <f>72</f>
        <v>72.0</v>
      </c>
      <c r="V250" s="32" t="n">
        <f>6579241690</f>
        <v>6.57924169E9</v>
      </c>
      <c r="W250" s="32" t="n">
        <f>1092875</f>
        <v>1092875.0</v>
      </c>
      <c r="X250" s="36" t="n">
        <f>19</f>
        <v>19.0</v>
      </c>
    </row>
    <row r="251">
      <c r="A251" s="27" t="s">
        <v>42</v>
      </c>
      <c r="B251" s="27" t="s">
        <v>798</v>
      </c>
      <c r="C251" s="27" t="s">
        <v>799</v>
      </c>
      <c r="D251" s="27" t="s">
        <v>800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44200</f>
        <v>44200.0</v>
      </c>
      <c r="L251" s="34" t="s">
        <v>48</v>
      </c>
      <c r="M251" s="33" t="n">
        <f>44600</f>
        <v>44600.0</v>
      </c>
      <c r="N251" s="34" t="s">
        <v>464</v>
      </c>
      <c r="O251" s="33" t="n">
        <f>42040</f>
        <v>42040.0</v>
      </c>
      <c r="P251" s="34" t="s">
        <v>72</v>
      </c>
      <c r="Q251" s="33" t="n">
        <f>44360</f>
        <v>44360.0</v>
      </c>
      <c r="R251" s="34" t="s">
        <v>51</v>
      </c>
      <c r="S251" s="35" t="n">
        <f>43585.26</f>
        <v>43585.26</v>
      </c>
      <c r="T251" s="32" t="n">
        <f>71127</f>
        <v>71127.0</v>
      </c>
      <c r="U251" s="32" t="str">
        <f>"－"</f>
        <v>－</v>
      </c>
      <c r="V251" s="32" t="n">
        <f>3114551710</f>
        <v>3.11455171E9</v>
      </c>
      <c r="W251" s="32" t="str">
        <f>"－"</f>
        <v>－</v>
      </c>
      <c r="X251" s="36" t="n">
        <f>19</f>
        <v>19.0</v>
      </c>
    </row>
    <row r="252">
      <c r="A252" s="27" t="s">
        <v>42</v>
      </c>
      <c r="B252" s="27" t="s">
        <v>801</v>
      </c>
      <c r="C252" s="27" t="s">
        <v>802</v>
      </c>
      <c r="D252" s="27" t="s">
        <v>803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18460</f>
        <v>18460.0</v>
      </c>
      <c r="L252" s="34" t="s">
        <v>48</v>
      </c>
      <c r="M252" s="33" t="n">
        <f>19920</f>
        <v>19920.0</v>
      </c>
      <c r="N252" s="34" t="s">
        <v>72</v>
      </c>
      <c r="O252" s="33" t="n">
        <f>17605</f>
        <v>17605.0</v>
      </c>
      <c r="P252" s="34" t="s">
        <v>464</v>
      </c>
      <c r="Q252" s="33" t="n">
        <f>17755</f>
        <v>17755.0</v>
      </c>
      <c r="R252" s="34" t="s">
        <v>51</v>
      </c>
      <c r="S252" s="35" t="n">
        <f>18527.11</f>
        <v>18527.11</v>
      </c>
      <c r="T252" s="32" t="n">
        <f>87268</f>
        <v>87268.0</v>
      </c>
      <c r="U252" s="32" t="n">
        <f>2</f>
        <v>2.0</v>
      </c>
      <c r="V252" s="32" t="n">
        <f>1635333970</f>
        <v>1.63533397E9</v>
      </c>
      <c r="W252" s="32" t="n">
        <f>39750</f>
        <v>39750.0</v>
      </c>
      <c r="X252" s="36" t="n">
        <f>19</f>
        <v>19.0</v>
      </c>
    </row>
    <row r="253">
      <c r="A253" s="27" t="s">
        <v>42</v>
      </c>
      <c r="B253" s="27" t="s">
        <v>804</v>
      </c>
      <c r="C253" s="27" t="s">
        <v>805</v>
      </c>
      <c r="D253" s="27" t="s">
        <v>806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1.0</v>
      </c>
      <c r="K253" s="33" t="n">
        <f>855</f>
        <v>855.0</v>
      </c>
      <c r="L253" s="34" t="s">
        <v>48</v>
      </c>
      <c r="M253" s="33" t="n">
        <f>979</f>
        <v>979.0</v>
      </c>
      <c r="N253" s="34" t="s">
        <v>49</v>
      </c>
      <c r="O253" s="33" t="n">
        <f>755</f>
        <v>755.0</v>
      </c>
      <c r="P253" s="34" t="s">
        <v>72</v>
      </c>
      <c r="Q253" s="33" t="n">
        <f>940</f>
        <v>940.0</v>
      </c>
      <c r="R253" s="34" t="s">
        <v>51</v>
      </c>
      <c r="S253" s="35" t="n">
        <f>845.37</f>
        <v>845.37</v>
      </c>
      <c r="T253" s="32" t="n">
        <f>96313</f>
        <v>96313.0</v>
      </c>
      <c r="U253" s="32" t="str">
        <f>"－"</f>
        <v>－</v>
      </c>
      <c r="V253" s="32" t="n">
        <f>82839545</f>
        <v>8.2839545E7</v>
      </c>
      <c r="W253" s="32" t="str">
        <f>"－"</f>
        <v>－</v>
      </c>
      <c r="X253" s="36" t="n">
        <f>19</f>
        <v>19.0</v>
      </c>
    </row>
    <row r="254">
      <c r="A254" s="27" t="s">
        <v>42</v>
      </c>
      <c r="B254" s="27" t="s">
        <v>807</v>
      </c>
      <c r="C254" s="27" t="s">
        <v>808</v>
      </c>
      <c r="D254" s="27" t="s">
        <v>809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237.4</f>
        <v>237.4</v>
      </c>
      <c r="L254" s="34" t="s">
        <v>48</v>
      </c>
      <c r="M254" s="33" t="n">
        <f>248.4</f>
        <v>248.4</v>
      </c>
      <c r="N254" s="34" t="s">
        <v>49</v>
      </c>
      <c r="O254" s="33" t="n">
        <f>223</f>
        <v>223.0</v>
      </c>
      <c r="P254" s="34" t="s">
        <v>50</v>
      </c>
      <c r="Q254" s="33" t="n">
        <f>236.9</f>
        <v>236.9</v>
      </c>
      <c r="R254" s="34" t="s">
        <v>51</v>
      </c>
      <c r="S254" s="35" t="n">
        <f>233.01</f>
        <v>233.01</v>
      </c>
      <c r="T254" s="32" t="n">
        <f>38130</f>
        <v>38130.0</v>
      </c>
      <c r="U254" s="32" t="str">
        <f>"－"</f>
        <v>－</v>
      </c>
      <c r="V254" s="32" t="n">
        <f>8864212</f>
        <v>8864212.0</v>
      </c>
      <c r="W254" s="32" t="str">
        <f>"－"</f>
        <v>－</v>
      </c>
      <c r="X254" s="36" t="n">
        <f>19</f>
        <v>19.0</v>
      </c>
    </row>
    <row r="255">
      <c r="A255" s="27" t="s">
        <v>42</v>
      </c>
      <c r="B255" s="27" t="s">
        <v>810</v>
      </c>
      <c r="C255" s="27" t="s">
        <v>811</v>
      </c>
      <c r="D255" s="27" t="s">
        <v>812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10.0</v>
      </c>
      <c r="K255" s="33" t="n">
        <f>753.5</f>
        <v>753.5</v>
      </c>
      <c r="L255" s="34" t="s">
        <v>48</v>
      </c>
      <c r="M255" s="33" t="n">
        <f>765</f>
        <v>765.0</v>
      </c>
      <c r="N255" s="34" t="s">
        <v>51</v>
      </c>
      <c r="O255" s="33" t="n">
        <f>739.8</f>
        <v>739.8</v>
      </c>
      <c r="P255" s="34" t="s">
        <v>49</v>
      </c>
      <c r="Q255" s="33" t="n">
        <f>747</f>
        <v>747.0</v>
      </c>
      <c r="R255" s="34" t="s">
        <v>51</v>
      </c>
      <c r="S255" s="35" t="n">
        <f>747.69</f>
        <v>747.69</v>
      </c>
      <c r="T255" s="32" t="n">
        <f>69310</f>
        <v>69310.0</v>
      </c>
      <c r="U255" s="32" t="n">
        <f>40</f>
        <v>40.0</v>
      </c>
      <c r="V255" s="32" t="n">
        <f>51846668</f>
        <v>5.1846668E7</v>
      </c>
      <c r="W255" s="32" t="n">
        <f>29846</f>
        <v>29846.0</v>
      </c>
      <c r="X255" s="36" t="n">
        <f>19</f>
        <v>19.0</v>
      </c>
    </row>
    <row r="256">
      <c r="A256" s="27" t="s">
        <v>42</v>
      </c>
      <c r="B256" s="27" t="s">
        <v>813</v>
      </c>
      <c r="C256" s="27" t="s">
        <v>814</v>
      </c>
      <c r="D256" s="27" t="s">
        <v>815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1.0</v>
      </c>
      <c r="K256" s="33" t="n">
        <f>1156</f>
        <v>1156.0</v>
      </c>
      <c r="L256" s="34" t="s">
        <v>48</v>
      </c>
      <c r="M256" s="33" t="n">
        <f>1179</f>
        <v>1179.0</v>
      </c>
      <c r="N256" s="34" t="s">
        <v>49</v>
      </c>
      <c r="O256" s="33" t="n">
        <f>1060</f>
        <v>1060.0</v>
      </c>
      <c r="P256" s="34" t="s">
        <v>50</v>
      </c>
      <c r="Q256" s="33" t="n">
        <f>1137</f>
        <v>1137.0</v>
      </c>
      <c r="R256" s="34" t="s">
        <v>51</v>
      </c>
      <c r="S256" s="35" t="n">
        <f>1116.89</f>
        <v>1116.89</v>
      </c>
      <c r="T256" s="32" t="n">
        <f>240878</f>
        <v>240878.0</v>
      </c>
      <c r="U256" s="32" t="str">
        <f>"－"</f>
        <v>－</v>
      </c>
      <c r="V256" s="32" t="n">
        <f>270905088</f>
        <v>2.70905088E8</v>
      </c>
      <c r="W256" s="32" t="str">
        <f>"－"</f>
        <v>－</v>
      </c>
      <c r="X256" s="36" t="n">
        <f>19</f>
        <v>19.0</v>
      </c>
    </row>
    <row r="257">
      <c r="A257" s="27" t="s">
        <v>42</v>
      </c>
      <c r="B257" s="27" t="s">
        <v>816</v>
      </c>
      <c r="C257" s="27" t="s">
        <v>817</v>
      </c>
      <c r="D257" s="27" t="s">
        <v>818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1159</f>
        <v>1159.0</v>
      </c>
      <c r="L257" s="34" t="s">
        <v>48</v>
      </c>
      <c r="M257" s="33" t="n">
        <f>1165</f>
        <v>1165.0</v>
      </c>
      <c r="N257" s="34" t="s">
        <v>649</v>
      </c>
      <c r="O257" s="33" t="n">
        <f>1100</f>
        <v>1100.0</v>
      </c>
      <c r="P257" s="34" t="s">
        <v>50</v>
      </c>
      <c r="Q257" s="33" t="n">
        <f>1128</f>
        <v>1128.0</v>
      </c>
      <c r="R257" s="34" t="s">
        <v>51</v>
      </c>
      <c r="S257" s="35" t="n">
        <f>1131.95</f>
        <v>1131.95</v>
      </c>
      <c r="T257" s="32" t="n">
        <f>307253</f>
        <v>307253.0</v>
      </c>
      <c r="U257" s="32" t="str">
        <f>"－"</f>
        <v>－</v>
      </c>
      <c r="V257" s="32" t="n">
        <f>347365134</f>
        <v>3.47365134E8</v>
      </c>
      <c r="W257" s="32" t="str">
        <f>"－"</f>
        <v>－</v>
      </c>
      <c r="X257" s="36" t="n">
        <f>19</f>
        <v>19.0</v>
      </c>
    </row>
    <row r="258">
      <c r="A258" s="27" t="s">
        <v>42</v>
      </c>
      <c r="B258" s="27" t="s">
        <v>819</v>
      </c>
      <c r="C258" s="27" t="s">
        <v>820</v>
      </c>
      <c r="D258" s="27" t="s">
        <v>821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1.0</v>
      </c>
      <c r="K258" s="33" t="n">
        <f>692</f>
        <v>692.0</v>
      </c>
      <c r="L258" s="34" t="s">
        <v>48</v>
      </c>
      <c r="M258" s="33" t="n">
        <f>888</f>
        <v>888.0</v>
      </c>
      <c r="N258" s="34" t="s">
        <v>51</v>
      </c>
      <c r="O258" s="33" t="n">
        <f>646</f>
        <v>646.0</v>
      </c>
      <c r="P258" s="34" t="s">
        <v>50</v>
      </c>
      <c r="Q258" s="33" t="n">
        <f>886</f>
        <v>886.0</v>
      </c>
      <c r="R258" s="34" t="s">
        <v>51</v>
      </c>
      <c r="S258" s="35" t="n">
        <f>693.05</f>
        <v>693.05</v>
      </c>
      <c r="T258" s="32" t="n">
        <f>1603313</f>
        <v>1603313.0</v>
      </c>
      <c r="U258" s="32" t="str">
        <f>"－"</f>
        <v>－</v>
      </c>
      <c r="V258" s="32" t="n">
        <f>1189276880</f>
        <v>1.18927688E9</v>
      </c>
      <c r="W258" s="32" t="str">
        <f>"－"</f>
        <v>－</v>
      </c>
      <c r="X258" s="36" t="n">
        <f>19</f>
        <v>19.0</v>
      </c>
    </row>
    <row r="259">
      <c r="A259" s="27" t="s">
        <v>42</v>
      </c>
      <c r="B259" s="27" t="s">
        <v>822</v>
      </c>
      <c r="C259" s="27" t="s">
        <v>823</v>
      </c>
      <c r="D259" s="27" t="s">
        <v>824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215.5</f>
        <v>215.5</v>
      </c>
      <c r="L259" s="34" t="s">
        <v>48</v>
      </c>
      <c r="M259" s="33" t="n">
        <f>218.3</f>
        <v>218.3</v>
      </c>
      <c r="N259" s="34" t="s">
        <v>50</v>
      </c>
      <c r="O259" s="33" t="n">
        <f>211.9</f>
        <v>211.9</v>
      </c>
      <c r="P259" s="34" t="s">
        <v>51</v>
      </c>
      <c r="Q259" s="33" t="n">
        <f>212</f>
        <v>212.0</v>
      </c>
      <c r="R259" s="34" t="s">
        <v>51</v>
      </c>
      <c r="S259" s="35" t="n">
        <f>215.73</f>
        <v>215.73</v>
      </c>
      <c r="T259" s="32" t="n">
        <f>14088060</f>
        <v>1.408806E7</v>
      </c>
      <c r="U259" s="32" t="n">
        <f>4140</f>
        <v>4140.0</v>
      </c>
      <c r="V259" s="32" t="n">
        <f>3037249031</f>
        <v>3.037249031E9</v>
      </c>
      <c r="W259" s="32" t="n">
        <f>894067</f>
        <v>894067.0</v>
      </c>
      <c r="X259" s="36" t="n">
        <f>19</f>
        <v>19.0</v>
      </c>
    </row>
    <row r="260">
      <c r="A260" s="27" t="s">
        <v>42</v>
      </c>
      <c r="B260" s="27" t="s">
        <v>825</v>
      </c>
      <c r="C260" s="27" t="s">
        <v>826</v>
      </c>
      <c r="D260" s="27" t="s">
        <v>827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207.5</f>
        <v>207.5</v>
      </c>
      <c r="L260" s="34" t="s">
        <v>48</v>
      </c>
      <c r="M260" s="33" t="n">
        <f>211</f>
        <v>211.0</v>
      </c>
      <c r="N260" s="34" t="s">
        <v>51</v>
      </c>
      <c r="O260" s="33" t="n">
        <f>192</f>
        <v>192.0</v>
      </c>
      <c r="P260" s="34" t="s">
        <v>103</v>
      </c>
      <c r="Q260" s="33" t="n">
        <f>204.9</f>
        <v>204.9</v>
      </c>
      <c r="R260" s="34" t="s">
        <v>51</v>
      </c>
      <c r="S260" s="35" t="n">
        <f>206.53</f>
        <v>206.53</v>
      </c>
      <c r="T260" s="32" t="n">
        <f>1159540</f>
        <v>1159540.0</v>
      </c>
      <c r="U260" s="32" t="n">
        <f>10</f>
        <v>10.0</v>
      </c>
      <c r="V260" s="32" t="n">
        <f>239307373</f>
        <v>2.39307373E8</v>
      </c>
      <c r="W260" s="32" t="n">
        <f>2040</f>
        <v>2040.0</v>
      </c>
      <c r="X260" s="36" t="n">
        <f>19</f>
        <v>19.0</v>
      </c>
    </row>
    <row r="261">
      <c r="A261" s="27" t="s">
        <v>42</v>
      </c>
      <c r="B261" s="27" t="s">
        <v>828</v>
      </c>
      <c r="C261" s="27" t="s">
        <v>829</v>
      </c>
      <c r="D261" s="27" t="s">
        <v>830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209.5</f>
        <v>209.5</v>
      </c>
      <c r="L261" s="34" t="s">
        <v>48</v>
      </c>
      <c r="M261" s="33" t="n">
        <f>215.3</f>
        <v>215.3</v>
      </c>
      <c r="N261" s="34" t="s">
        <v>51</v>
      </c>
      <c r="O261" s="33" t="n">
        <f>204.5</f>
        <v>204.5</v>
      </c>
      <c r="P261" s="34" t="s">
        <v>61</v>
      </c>
      <c r="Q261" s="33" t="n">
        <f>206.3</f>
        <v>206.3</v>
      </c>
      <c r="R261" s="34" t="s">
        <v>51</v>
      </c>
      <c r="S261" s="35" t="n">
        <f>207.52</f>
        <v>207.52</v>
      </c>
      <c r="T261" s="32" t="n">
        <f>323720</f>
        <v>323720.0</v>
      </c>
      <c r="U261" s="32" t="n">
        <f>410</f>
        <v>410.0</v>
      </c>
      <c r="V261" s="32" t="n">
        <f>67462494</f>
        <v>6.7462494E7</v>
      </c>
      <c r="W261" s="32" t="n">
        <f>82146</f>
        <v>82146.0</v>
      </c>
      <c r="X261" s="36" t="n">
        <f>19</f>
        <v>19.0</v>
      </c>
    </row>
    <row r="262">
      <c r="A262" s="27" t="s">
        <v>42</v>
      </c>
      <c r="B262" s="27" t="s">
        <v>831</v>
      </c>
      <c r="C262" s="27" t="s">
        <v>832</v>
      </c>
      <c r="D262" s="27" t="s">
        <v>833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208.2</f>
        <v>208.2</v>
      </c>
      <c r="L262" s="34" t="s">
        <v>48</v>
      </c>
      <c r="M262" s="33" t="n">
        <f>216</f>
        <v>216.0</v>
      </c>
      <c r="N262" s="34" t="s">
        <v>51</v>
      </c>
      <c r="O262" s="33" t="n">
        <f>201.8</f>
        <v>201.8</v>
      </c>
      <c r="P262" s="34" t="s">
        <v>50</v>
      </c>
      <c r="Q262" s="33" t="n">
        <f>206.4</f>
        <v>206.4</v>
      </c>
      <c r="R262" s="34" t="s">
        <v>51</v>
      </c>
      <c r="S262" s="35" t="n">
        <f>206.57</f>
        <v>206.57</v>
      </c>
      <c r="T262" s="32" t="n">
        <f>761740</f>
        <v>761740.0</v>
      </c>
      <c r="U262" s="32" t="n">
        <f>50</f>
        <v>50.0</v>
      </c>
      <c r="V262" s="32" t="n">
        <f>156590174</f>
        <v>1.56590174E8</v>
      </c>
      <c r="W262" s="32" t="n">
        <f>10935</f>
        <v>10935.0</v>
      </c>
      <c r="X262" s="36" t="n">
        <f>19</f>
        <v>19.0</v>
      </c>
    </row>
    <row r="263">
      <c r="A263" s="27" t="s">
        <v>42</v>
      </c>
      <c r="B263" s="27" t="s">
        <v>834</v>
      </c>
      <c r="C263" s="27" t="s">
        <v>835</v>
      </c>
      <c r="D263" s="27" t="s">
        <v>836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204</f>
        <v>204.0</v>
      </c>
      <c r="L263" s="34" t="s">
        <v>48</v>
      </c>
      <c r="M263" s="33" t="n">
        <f>204</f>
        <v>204.0</v>
      </c>
      <c r="N263" s="34" t="s">
        <v>48</v>
      </c>
      <c r="O263" s="33" t="n">
        <f>198.9</f>
        <v>198.9</v>
      </c>
      <c r="P263" s="34" t="s">
        <v>103</v>
      </c>
      <c r="Q263" s="33" t="n">
        <f>201</f>
        <v>201.0</v>
      </c>
      <c r="R263" s="34" t="s">
        <v>51</v>
      </c>
      <c r="S263" s="35" t="n">
        <f>201</f>
        <v>201.0</v>
      </c>
      <c r="T263" s="32" t="n">
        <f>4647890</f>
        <v>4647890.0</v>
      </c>
      <c r="U263" s="32" t="n">
        <f>4337800</f>
        <v>4337800.0</v>
      </c>
      <c r="V263" s="32" t="n">
        <f>930555954</f>
        <v>9.30555954E8</v>
      </c>
      <c r="W263" s="32" t="n">
        <f>868530097</f>
        <v>8.68530097E8</v>
      </c>
      <c r="X263" s="36" t="n">
        <f>19</f>
        <v>19.0</v>
      </c>
    </row>
    <row r="264">
      <c r="A264" s="27" t="s">
        <v>42</v>
      </c>
      <c r="B264" s="27" t="s">
        <v>837</v>
      </c>
      <c r="C264" s="27" t="s">
        <v>838</v>
      </c>
      <c r="D264" s="27" t="s">
        <v>839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1.0</v>
      </c>
      <c r="K264" s="33" t="n">
        <f>2095</f>
        <v>2095.0</v>
      </c>
      <c r="L264" s="34" t="s">
        <v>48</v>
      </c>
      <c r="M264" s="33" t="n">
        <f>2160</f>
        <v>2160.0</v>
      </c>
      <c r="N264" s="34" t="s">
        <v>49</v>
      </c>
      <c r="O264" s="33" t="n">
        <f>1972</f>
        <v>1972.0</v>
      </c>
      <c r="P264" s="34" t="s">
        <v>50</v>
      </c>
      <c r="Q264" s="33" t="n">
        <f>2064</f>
        <v>2064.0</v>
      </c>
      <c r="R264" s="34" t="s">
        <v>51</v>
      </c>
      <c r="S264" s="35" t="n">
        <f>2049.74</f>
        <v>2049.74</v>
      </c>
      <c r="T264" s="32" t="n">
        <f>762607</f>
        <v>762607.0</v>
      </c>
      <c r="U264" s="32" t="n">
        <f>17</f>
        <v>17.0</v>
      </c>
      <c r="V264" s="32" t="n">
        <f>1567916637</f>
        <v>1.567916637E9</v>
      </c>
      <c r="W264" s="32" t="n">
        <f>34468</f>
        <v>34468.0</v>
      </c>
      <c r="X264" s="36" t="n">
        <f>19</f>
        <v>19.0</v>
      </c>
    </row>
    <row r="265">
      <c r="A265" s="27" t="s">
        <v>42</v>
      </c>
      <c r="B265" s="27" t="s">
        <v>840</v>
      </c>
      <c r="C265" s="27" t="s">
        <v>841</v>
      </c>
      <c r="D265" s="27" t="s">
        <v>842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1.0</v>
      </c>
      <c r="K265" s="33" t="n">
        <f>1044</f>
        <v>1044.0</v>
      </c>
      <c r="L265" s="34" t="s">
        <v>48</v>
      </c>
      <c r="M265" s="33" t="n">
        <f>1055</f>
        <v>1055.0</v>
      </c>
      <c r="N265" s="34" t="s">
        <v>51</v>
      </c>
      <c r="O265" s="33" t="n">
        <f>957</f>
        <v>957.0</v>
      </c>
      <c r="P265" s="34" t="s">
        <v>50</v>
      </c>
      <c r="Q265" s="33" t="n">
        <f>1009</f>
        <v>1009.0</v>
      </c>
      <c r="R265" s="34" t="s">
        <v>51</v>
      </c>
      <c r="S265" s="35" t="n">
        <f>1006.37</f>
        <v>1006.37</v>
      </c>
      <c r="T265" s="32" t="n">
        <f>300198</f>
        <v>300198.0</v>
      </c>
      <c r="U265" s="32" t="n">
        <f>95002</f>
        <v>95002.0</v>
      </c>
      <c r="V265" s="32" t="n">
        <f>301055799</f>
        <v>3.01055799E8</v>
      </c>
      <c r="W265" s="32" t="n">
        <f>93778437</f>
        <v>9.3778437E7</v>
      </c>
      <c r="X265" s="36" t="n">
        <f>19</f>
        <v>19.0</v>
      </c>
    </row>
    <row r="266">
      <c r="A266" s="27" t="s">
        <v>42</v>
      </c>
      <c r="B266" s="27" t="s">
        <v>843</v>
      </c>
      <c r="C266" s="27" t="s">
        <v>844</v>
      </c>
      <c r="D266" s="27" t="s">
        <v>845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1.0</v>
      </c>
      <c r="K266" s="33" t="n">
        <f>1026</f>
        <v>1026.0</v>
      </c>
      <c r="L266" s="34" t="s">
        <v>48</v>
      </c>
      <c r="M266" s="33" t="n">
        <f>1033</f>
        <v>1033.0</v>
      </c>
      <c r="N266" s="34" t="s">
        <v>103</v>
      </c>
      <c r="O266" s="33" t="n">
        <f>950</f>
        <v>950.0</v>
      </c>
      <c r="P266" s="34" t="s">
        <v>61</v>
      </c>
      <c r="Q266" s="33" t="n">
        <f>992</f>
        <v>992.0</v>
      </c>
      <c r="R266" s="34" t="s">
        <v>51</v>
      </c>
      <c r="S266" s="35" t="n">
        <f>990.42</f>
        <v>990.42</v>
      </c>
      <c r="T266" s="32" t="n">
        <f>1996210</f>
        <v>1996210.0</v>
      </c>
      <c r="U266" s="32" t="n">
        <f>1072003</f>
        <v>1072003.0</v>
      </c>
      <c r="V266" s="32" t="n">
        <f>1962563545</f>
        <v>1.962563545E9</v>
      </c>
      <c r="W266" s="32" t="n">
        <f>1047368729</f>
        <v>1.047368729E9</v>
      </c>
      <c r="X266" s="36" t="n">
        <f>19</f>
        <v>19.0</v>
      </c>
    </row>
    <row r="267">
      <c r="A267" s="27" t="s">
        <v>42</v>
      </c>
      <c r="B267" s="27" t="s">
        <v>846</v>
      </c>
      <c r="C267" s="27" t="s">
        <v>847</v>
      </c>
      <c r="D267" s="27" t="s">
        <v>848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500</f>
        <v>500.0</v>
      </c>
      <c r="L267" s="34" t="s">
        <v>48</v>
      </c>
      <c r="M267" s="33" t="n">
        <f>507.9</f>
        <v>507.9</v>
      </c>
      <c r="N267" s="34" t="s">
        <v>649</v>
      </c>
      <c r="O267" s="33" t="n">
        <f>496.8</f>
        <v>496.8</v>
      </c>
      <c r="P267" s="34" t="s">
        <v>103</v>
      </c>
      <c r="Q267" s="33" t="n">
        <f>501.2</f>
        <v>501.2</v>
      </c>
      <c r="R267" s="34" t="s">
        <v>51</v>
      </c>
      <c r="S267" s="35" t="n">
        <f>501.59</f>
        <v>501.59</v>
      </c>
      <c r="T267" s="32" t="n">
        <f>127040</f>
        <v>127040.0</v>
      </c>
      <c r="U267" s="32" t="n">
        <f>60210</f>
        <v>60210.0</v>
      </c>
      <c r="V267" s="32" t="n">
        <f>63884821</f>
        <v>6.3884821E7</v>
      </c>
      <c r="W267" s="32" t="n">
        <f>30288092</f>
        <v>3.0288092E7</v>
      </c>
      <c r="X267" s="36" t="n">
        <f>19</f>
        <v>19.0</v>
      </c>
    </row>
    <row r="268">
      <c r="A268" s="27" t="s">
        <v>42</v>
      </c>
      <c r="B268" s="27" t="s">
        <v>849</v>
      </c>
      <c r="C268" s="27" t="s">
        <v>850</v>
      </c>
      <c r="D268" s="27" t="s">
        <v>851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199.9</f>
        <v>199.9</v>
      </c>
      <c r="L268" s="34" t="s">
        <v>48</v>
      </c>
      <c r="M268" s="33" t="n">
        <f>213</f>
        <v>213.0</v>
      </c>
      <c r="N268" s="34" t="s">
        <v>93</v>
      </c>
      <c r="O268" s="33" t="n">
        <f>197.2</f>
        <v>197.2</v>
      </c>
      <c r="P268" s="34" t="s">
        <v>51</v>
      </c>
      <c r="Q268" s="33" t="n">
        <f>197.5</f>
        <v>197.5</v>
      </c>
      <c r="R268" s="34" t="s">
        <v>51</v>
      </c>
      <c r="S268" s="35" t="n">
        <f>203.05</f>
        <v>203.05</v>
      </c>
      <c r="T268" s="32" t="n">
        <f>1230990</f>
        <v>1230990.0</v>
      </c>
      <c r="U268" s="32" t="n">
        <f>30</f>
        <v>30.0</v>
      </c>
      <c r="V268" s="32" t="n">
        <f>249778536</f>
        <v>2.49778536E8</v>
      </c>
      <c r="W268" s="32" t="n">
        <f>6133</f>
        <v>6133.0</v>
      </c>
      <c r="X268" s="36" t="n">
        <f>19</f>
        <v>19.0</v>
      </c>
    </row>
    <row r="269">
      <c r="A269" s="27" t="s">
        <v>42</v>
      </c>
      <c r="B269" s="27" t="s">
        <v>852</v>
      </c>
      <c r="C269" s="27" t="s">
        <v>853</v>
      </c>
      <c r="D269" s="27" t="s">
        <v>854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196.9</f>
        <v>196.9</v>
      </c>
      <c r="L269" s="34" t="s">
        <v>48</v>
      </c>
      <c r="M269" s="33" t="n">
        <f>237</f>
        <v>237.0</v>
      </c>
      <c r="N269" s="34" t="s">
        <v>50</v>
      </c>
      <c r="O269" s="33" t="n">
        <f>195.2</f>
        <v>195.2</v>
      </c>
      <c r="P269" s="34" t="s">
        <v>103</v>
      </c>
      <c r="Q269" s="33" t="n">
        <f>199.4</f>
        <v>199.4</v>
      </c>
      <c r="R269" s="34" t="s">
        <v>51</v>
      </c>
      <c r="S269" s="35" t="n">
        <f>202.79</f>
        <v>202.79</v>
      </c>
      <c r="T269" s="32" t="n">
        <f>6143540</f>
        <v>6143540.0</v>
      </c>
      <c r="U269" s="32" t="str">
        <f>"－"</f>
        <v>－</v>
      </c>
      <c r="V269" s="32" t="n">
        <f>1247074040</f>
        <v>1.24707404E9</v>
      </c>
      <c r="W269" s="32" t="str">
        <f>"－"</f>
        <v>－</v>
      </c>
      <c r="X269" s="36" t="n">
        <f>19</f>
        <v>19.0</v>
      </c>
    </row>
    <row r="270">
      <c r="A270" s="27" t="s">
        <v>42</v>
      </c>
      <c r="B270" s="27" t="s">
        <v>855</v>
      </c>
      <c r="C270" s="27" t="s">
        <v>856</v>
      </c>
      <c r="D270" s="27" t="s">
        <v>857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10.0</v>
      </c>
      <c r="K270" s="33" t="n">
        <f>918.5</f>
        <v>918.5</v>
      </c>
      <c r="L270" s="34" t="s">
        <v>48</v>
      </c>
      <c r="M270" s="33" t="n">
        <f>951</f>
        <v>951.0</v>
      </c>
      <c r="N270" s="34" t="s">
        <v>93</v>
      </c>
      <c r="O270" s="33" t="n">
        <f>908</f>
        <v>908.0</v>
      </c>
      <c r="P270" s="34" t="s">
        <v>734</v>
      </c>
      <c r="Q270" s="33" t="n">
        <f>912.3</f>
        <v>912.3</v>
      </c>
      <c r="R270" s="34" t="s">
        <v>51</v>
      </c>
      <c r="S270" s="35" t="n">
        <f>915.13</f>
        <v>915.13</v>
      </c>
      <c r="T270" s="32" t="n">
        <f>9980580</f>
        <v>9980580.0</v>
      </c>
      <c r="U270" s="32" t="n">
        <f>8210750</f>
        <v>8210750.0</v>
      </c>
      <c r="V270" s="32" t="n">
        <f>9118326291</f>
        <v>9.118326291E9</v>
      </c>
      <c r="W270" s="32" t="n">
        <f>7500887724</f>
        <v>7.500887724E9</v>
      </c>
      <c r="X270" s="36" t="n">
        <f>19</f>
        <v>19.0</v>
      </c>
    </row>
    <row r="271">
      <c r="A271" s="27" t="s">
        <v>42</v>
      </c>
      <c r="B271" s="27" t="s">
        <v>858</v>
      </c>
      <c r="C271" s="27" t="s">
        <v>859</v>
      </c>
      <c r="D271" s="27" t="s">
        <v>860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1089.5</f>
        <v>1089.5</v>
      </c>
      <c r="L271" s="34" t="s">
        <v>48</v>
      </c>
      <c r="M271" s="33" t="n">
        <f>1155</f>
        <v>1155.0</v>
      </c>
      <c r="N271" s="34" t="s">
        <v>103</v>
      </c>
      <c r="O271" s="33" t="n">
        <f>1046</f>
        <v>1046.0</v>
      </c>
      <c r="P271" s="34" t="s">
        <v>50</v>
      </c>
      <c r="Q271" s="33" t="n">
        <f>1057</f>
        <v>1057.0</v>
      </c>
      <c r="R271" s="34" t="s">
        <v>51</v>
      </c>
      <c r="S271" s="35" t="n">
        <f>1071.16</f>
        <v>1071.16</v>
      </c>
      <c r="T271" s="32" t="n">
        <f>4929660</f>
        <v>4929660.0</v>
      </c>
      <c r="U271" s="32" t="n">
        <f>3629080</f>
        <v>3629080.0</v>
      </c>
      <c r="V271" s="32" t="n">
        <f>5239571396</f>
        <v>5.239571396E9</v>
      </c>
      <c r="W271" s="32" t="n">
        <f>3851990246</f>
        <v>3.851990246E9</v>
      </c>
      <c r="X271" s="36" t="n">
        <f>19</f>
        <v>19.0</v>
      </c>
    </row>
    <row r="272">
      <c r="A272" s="27" t="s">
        <v>42</v>
      </c>
      <c r="B272" s="27" t="s">
        <v>861</v>
      </c>
      <c r="C272" s="27" t="s">
        <v>862</v>
      </c>
      <c r="D272" s="27" t="s">
        <v>863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792.5</f>
        <v>792.5</v>
      </c>
      <c r="L272" s="34" t="s">
        <v>48</v>
      </c>
      <c r="M272" s="33" t="n">
        <f>796</f>
        <v>796.0</v>
      </c>
      <c r="N272" s="34" t="s">
        <v>119</v>
      </c>
      <c r="O272" s="33" t="n">
        <f>770</f>
        <v>770.0</v>
      </c>
      <c r="P272" s="34" t="s">
        <v>103</v>
      </c>
      <c r="Q272" s="33" t="n">
        <f>791.1</f>
        <v>791.1</v>
      </c>
      <c r="R272" s="34" t="s">
        <v>51</v>
      </c>
      <c r="S272" s="35" t="n">
        <f>790.95</f>
        <v>790.95</v>
      </c>
      <c r="T272" s="32" t="n">
        <f>10654670</f>
        <v>1.065467E7</v>
      </c>
      <c r="U272" s="32" t="n">
        <f>10140370</f>
        <v>1.014037E7</v>
      </c>
      <c r="V272" s="32" t="n">
        <f>8423929995</f>
        <v>8.423929995E9</v>
      </c>
      <c r="W272" s="32" t="n">
        <f>8017202544</f>
        <v>8.017202544E9</v>
      </c>
      <c r="X272" s="36" t="n">
        <f>19</f>
        <v>19.0</v>
      </c>
    </row>
    <row r="273">
      <c r="A273" s="27" t="s">
        <v>42</v>
      </c>
      <c r="B273" s="27" t="s">
        <v>864</v>
      </c>
      <c r="C273" s="27" t="s">
        <v>865</v>
      </c>
      <c r="D273" s="27" t="s">
        <v>866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2459.5</f>
        <v>2459.5</v>
      </c>
      <c r="L273" s="34" t="s">
        <v>48</v>
      </c>
      <c r="M273" s="33" t="n">
        <f>2487</f>
        <v>2487.0</v>
      </c>
      <c r="N273" s="34" t="s">
        <v>49</v>
      </c>
      <c r="O273" s="33" t="n">
        <f>2278</f>
        <v>2278.0</v>
      </c>
      <c r="P273" s="34" t="s">
        <v>50</v>
      </c>
      <c r="Q273" s="33" t="n">
        <f>2408</f>
        <v>2408.0</v>
      </c>
      <c r="R273" s="34" t="s">
        <v>51</v>
      </c>
      <c r="S273" s="35" t="n">
        <f>2382.95</f>
        <v>2382.95</v>
      </c>
      <c r="T273" s="32" t="n">
        <f>2315720</f>
        <v>2315720.0</v>
      </c>
      <c r="U273" s="32" t="n">
        <f>1948430</f>
        <v>1948430.0</v>
      </c>
      <c r="V273" s="32" t="n">
        <f>5514957362</f>
        <v>5.514957362E9</v>
      </c>
      <c r="W273" s="32" t="n">
        <f>4649419587</f>
        <v>4.649419587E9</v>
      </c>
      <c r="X273" s="36" t="n">
        <f>19</f>
        <v>19.0</v>
      </c>
    </row>
    <row r="274">
      <c r="A274" s="27" t="s">
        <v>42</v>
      </c>
      <c r="B274" s="27" t="s">
        <v>867</v>
      </c>
      <c r="C274" s="27" t="s">
        <v>868</v>
      </c>
      <c r="D274" s="27" t="s">
        <v>869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1633</f>
        <v>1633.0</v>
      </c>
      <c r="L274" s="34" t="s">
        <v>48</v>
      </c>
      <c r="M274" s="33" t="n">
        <f>1643</f>
        <v>1643.0</v>
      </c>
      <c r="N274" s="34" t="s">
        <v>464</v>
      </c>
      <c r="O274" s="33" t="n">
        <f>1554</f>
        <v>1554.0</v>
      </c>
      <c r="P274" s="34" t="s">
        <v>72</v>
      </c>
      <c r="Q274" s="33" t="n">
        <f>1638.5</f>
        <v>1638.5</v>
      </c>
      <c r="R274" s="34" t="s">
        <v>51</v>
      </c>
      <c r="S274" s="35" t="n">
        <f>1608.37</f>
        <v>1608.37</v>
      </c>
      <c r="T274" s="32" t="n">
        <f>848800</f>
        <v>848800.0</v>
      </c>
      <c r="U274" s="32" t="n">
        <f>580060</f>
        <v>580060.0</v>
      </c>
      <c r="V274" s="32" t="n">
        <f>1374765863</f>
        <v>1.374765863E9</v>
      </c>
      <c r="W274" s="32" t="n">
        <f>937881453</f>
        <v>9.37881453E8</v>
      </c>
      <c r="X274" s="36" t="n">
        <f>19</f>
        <v>19.0</v>
      </c>
    </row>
    <row r="275">
      <c r="A275" s="27" t="s">
        <v>42</v>
      </c>
      <c r="B275" s="27" t="s">
        <v>870</v>
      </c>
      <c r="C275" s="27" t="s">
        <v>871</v>
      </c>
      <c r="D275" s="27" t="s">
        <v>872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1461</f>
        <v>1461.0</v>
      </c>
      <c r="L275" s="34" t="s">
        <v>48</v>
      </c>
      <c r="M275" s="33" t="n">
        <f>1520</f>
        <v>1520.0</v>
      </c>
      <c r="N275" s="34" t="s">
        <v>119</v>
      </c>
      <c r="O275" s="33" t="n">
        <f>1392.5</f>
        <v>1392.5</v>
      </c>
      <c r="P275" s="34" t="s">
        <v>72</v>
      </c>
      <c r="Q275" s="33" t="n">
        <f>1436</f>
        <v>1436.0</v>
      </c>
      <c r="R275" s="34" t="s">
        <v>51</v>
      </c>
      <c r="S275" s="35" t="n">
        <f>1444.84</f>
        <v>1444.84</v>
      </c>
      <c r="T275" s="32" t="n">
        <f>833920</f>
        <v>833920.0</v>
      </c>
      <c r="U275" s="32" t="n">
        <f>169950</f>
        <v>169950.0</v>
      </c>
      <c r="V275" s="32" t="n">
        <f>1206444057</f>
        <v>1.206444057E9</v>
      </c>
      <c r="W275" s="32" t="n">
        <f>245417017</f>
        <v>2.45417017E8</v>
      </c>
      <c r="X275" s="36" t="n">
        <f>19</f>
        <v>19.0</v>
      </c>
    </row>
    <row r="276">
      <c r="A276" s="27" t="s">
        <v>42</v>
      </c>
      <c r="B276" s="27" t="s">
        <v>873</v>
      </c>
      <c r="C276" s="27" t="s">
        <v>874</v>
      </c>
      <c r="D276" s="27" t="s">
        <v>875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525.8</f>
        <v>525.8</v>
      </c>
      <c r="L276" s="34" t="s">
        <v>48</v>
      </c>
      <c r="M276" s="33" t="n">
        <f>533</f>
        <v>533.0</v>
      </c>
      <c r="N276" s="34" t="s">
        <v>103</v>
      </c>
      <c r="O276" s="33" t="n">
        <f>485.8</f>
        <v>485.8</v>
      </c>
      <c r="P276" s="34" t="s">
        <v>72</v>
      </c>
      <c r="Q276" s="33" t="n">
        <f>509.1</f>
        <v>509.1</v>
      </c>
      <c r="R276" s="34" t="s">
        <v>51</v>
      </c>
      <c r="S276" s="35" t="n">
        <f>511.48</f>
        <v>511.48</v>
      </c>
      <c r="T276" s="32" t="n">
        <f>29718310</f>
        <v>2.971831E7</v>
      </c>
      <c r="U276" s="32" t="n">
        <f>375390</f>
        <v>375390.0</v>
      </c>
      <c r="V276" s="32" t="n">
        <f>15219034363</f>
        <v>1.5219034363E10</v>
      </c>
      <c r="W276" s="32" t="n">
        <f>205832043</f>
        <v>2.05832043E8</v>
      </c>
      <c r="X276" s="36" t="n">
        <f>19</f>
        <v>19.0</v>
      </c>
    </row>
    <row r="277">
      <c r="A277" s="27" t="s">
        <v>42</v>
      </c>
      <c r="B277" s="27" t="s">
        <v>876</v>
      </c>
      <c r="C277" s="27" t="s">
        <v>877</v>
      </c>
      <c r="D277" s="27" t="s">
        <v>878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10.0</v>
      </c>
      <c r="K277" s="33" t="n">
        <f>1064</f>
        <v>1064.0</v>
      </c>
      <c r="L277" s="34" t="s">
        <v>48</v>
      </c>
      <c r="M277" s="33" t="n">
        <f>1065</f>
        <v>1065.0</v>
      </c>
      <c r="N277" s="34" t="s">
        <v>48</v>
      </c>
      <c r="O277" s="33" t="n">
        <f>1025.5</f>
        <v>1025.5</v>
      </c>
      <c r="P277" s="34" t="s">
        <v>49</v>
      </c>
      <c r="Q277" s="33" t="n">
        <f>1041</f>
        <v>1041.0</v>
      </c>
      <c r="R277" s="34" t="s">
        <v>51</v>
      </c>
      <c r="S277" s="35" t="n">
        <f>1053.95</f>
        <v>1053.95</v>
      </c>
      <c r="T277" s="32" t="n">
        <f>459100</f>
        <v>459100.0</v>
      </c>
      <c r="U277" s="32" t="n">
        <f>113890</f>
        <v>113890.0</v>
      </c>
      <c r="V277" s="32" t="n">
        <f>482974916</f>
        <v>4.82974916E8</v>
      </c>
      <c r="W277" s="32" t="n">
        <f>120215631</f>
        <v>1.20215631E8</v>
      </c>
      <c r="X277" s="36" t="n">
        <f>19</f>
        <v>19.0</v>
      </c>
    </row>
    <row r="278">
      <c r="A278" s="27" t="s">
        <v>42</v>
      </c>
      <c r="B278" s="27" t="s">
        <v>879</v>
      </c>
      <c r="C278" s="27" t="s">
        <v>880</v>
      </c>
      <c r="D278" s="27" t="s">
        <v>881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1.0</v>
      </c>
      <c r="K278" s="33" t="n">
        <f>1576</f>
        <v>1576.0</v>
      </c>
      <c r="L278" s="34" t="s">
        <v>48</v>
      </c>
      <c r="M278" s="33" t="n">
        <f>1597</f>
        <v>1597.0</v>
      </c>
      <c r="N278" s="34" t="s">
        <v>49</v>
      </c>
      <c r="O278" s="33" t="n">
        <f>1460</f>
        <v>1460.0</v>
      </c>
      <c r="P278" s="34" t="s">
        <v>72</v>
      </c>
      <c r="Q278" s="33" t="n">
        <f>1534</f>
        <v>1534.0</v>
      </c>
      <c r="R278" s="34" t="s">
        <v>51</v>
      </c>
      <c r="S278" s="35" t="n">
        <f>1522.11</f>
        <v>1522.11</v>
      </c>
      <c r="T278" s="32" t="n">
        <f>189013</f>
        <v>189013.0</v>
      </c>
      <c r="U278" s="32" t="n">
        <f>90000</f>
        <v>90000.0</v>
      </c>
      <c r="V278" s="32" t="n">
        <f>287836253</f>
        <v>2.87836253E8</v>
      </c>
      <c r="W278" s="32" t="n">
        <f>136111130</f>
        <v>1.3611113E8</v>
      </c>
      <c r="X278" s="36" t="n">
        <f>19</f>
        <v>19.0</v>
      </c>
    </row>
    <row r="279">
      <c r="A279" s="27" t="s">
        <v>42</v>
      </c>
      <c r="B279" s="27" t="s">
        <v>882</v>
      </c>
      <c r="C279" s="27" t="s">
        <v>883</v>
      </c>
      <c r="D279" s="27" t="s">
        <v>884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10.0</v>
      </c>
      <c r="K279" s="33" t="n">
        <f>1081</f>
        <v>1081.0</v>
      </c>
      <c r="L279" s="34" t="s">
        <v>48</v>
      </c>
      <c r="M279" s="33" t="n">
        <f>1082.5</f>
        <v>1082.5</v>
      </c>
      <c r="N279" s="34" t="s">
        <v>48</v>
      </c>
      <c r="O279" s="33" t="n">
        <f>970</f>
        <v>970.0</v>
      </c>
      <c r="P279" s="34" t="s">
        <v>72</v>
      </c>
      <c r="Q279" s="33" t="n">
        <f>1025</f>
        <v>1025.0</v>
      </c>
      <c r="R279" s="34" t="s">
        <v>51</v>
      </c>
      <c r="S279" s="35" t="n">
        <f>1031.11</f>
        <v>1031.11</v>
      </c>
      <c r="T279" s="32" t="n">
        <f>218370</f>
        <v>218370.0</v>
      </c>
      <c r="U279" s="32" t="n">
        <f>66210</f>
        <v>66210.0</v>
      </c>
      <c r="V279" s="32" t="n">
        <f>224982988</f>
        <v>2.24982988E8</v>
      </c>
      <c r="W279" s="32" t="n">
        <f>68937660</f>
        <v>6.893766E7</v>
      </c>
      <c r="X279" s="36" t="n">
        <f>19</f>
        <v>19.0</v>
      </c>
    </row>
    <row r="280">
      <c r="A280" s="27" t="s">
        <v>42</v>
      </c>
      <c r="B280" s="27" t="s">
        <v>885</v>
      </c>
      <c r="C280" s="27" t="s">
        <v>886</v>
      </c>
      <c r="D280" s="27" t="s">
        <v>887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1410</f>
        <v>1410.0</v>
      </c>
      <c r="L280" s="34" t="s">
        <v>48</v>
      </c>
      <c r="M280" s="33" t="n">
        <f>1500.5</f>
        <v>1500.5</v>
      </c>
      <c r="N280" s="34" t="s">
        <v>49</v>
      </c>
      <c r="O280" s="33" t="n">
        <f>1300.5</f>
        <v>1300.5</v>
      </c>
      <c r="P280" s="34" t="s">
        <v>50</v>
      </c>
      <c r="Q280" s="33" t="n">
        <f>1483</f>
        <v>1483.0</v>
      </c>
      <c r="R280" s="34" t="s">
        <v>51</v>
      </c>
      <c r="S280" s="35" t="n">
        <f>1373.29</f>
        <v>1373.29</v>
      </c>
      <c r="T280" s="32" t="n">
        <f>80520</f>
        <v>80520.0</v>
      </c>
      <c r="U280" s="32" t="n">
        <f>190</f>
        <v>190.0</v>
      </c>
      <c r="V280" s="32" t="n">
        <f>113706205</f>
        <v>1.13706205E8</v>
      </c>
      <c r="W280" s="32" t="n">
        <f>229805</f>
        <v>229805.0</v>
      </c>
      <c r="X280" s="36" t="n">
        <f>19</f>
        <v>19.0</v>
      </c>
    </row>
    <row r="281">
      <c r="A281" s="27" t="s">
        <v>42</v>
      </c>
      <c r="B281" s="27" t="s">
        <v>888</v>
      </c>
      <c r="C281" s="27" t="s">
        <v>889</v>
      </c>
      <c r="D281" s="27" t="s">
        <v>890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1729</f>
        <v>1729.0</v>
      </c>
      <c r="L281" s="34" t="s">
        <v>48</v>
      </c>
      <c r="M281" s="33" t="n">
        <f>1760</f>
        <v>1760.0</v>
      </c>
      <c r="N281" s="34" t="s">
        <v>464</v>
      </c>
      <c r="O281" s="33" t="n">
        <f>1657.5</f>
        <v>1657.5</v>
      </c>
      <c r="P281" s="34" t="s">
        <v>72</v>
      </c>
      <c r="Q281" s="33" t="n">
        <f>1751</f>
        <v>1751.0</v>
      </c>
      <c r="R281" s="34" t="s">
        <v>51</v>
      </c>
      <c r="S281" s="35" t="n">
        <f>1718.89</f>
        <v>1718.89</v>
      </c>
      <c r="T281" s="32" t="n">
        <f>1641950</f>
        <v>1641950.0</v>
      </c>
      <c r="U281" s="32" t="n">
        <f>266740</f>
        <v>266740.0</v>
      </c>
      <c r="V281" s="32" t="n">
        <f>2814954510</f>
        <v>2.81495451E9</v>
      </c>
      <c r="W281" s="32" t="n">
        <f>460003335</f>
        <v>4.60003335E8</v>
      </c>
      <c r="X281" s="36" t="n">
        <f>19</f>
        <v>19.0</v>
      </c>
    </row>
    <row r="282">
      <c r="A282" s="27" t="s">
        <v>42</v>
      </c>
      <c r="B282" s="27" t="s">
        <v>891</v>
      </c>
      <c r="C282" s="27" t="s">
        <v>892</v>
      </c>
      <c r="D282" s="27" t="s">
        <v>893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1.0</v>
      </c>
      <c r="K282" s="33" t="n">
        <f>5170</f>
        <v>5170.0</v>
      </c>
      <c r="L282" s="34" t="s">
        <v>48</v>
      </c>
      <c r="M282" s="33" t="n">
        <f>5250</f>
        <v>5250.0</v>
      </c>
      <c r="N282" s="34" t="s">
        <v>49</v>
      </c>
      <c r="O282" s="33" t="n">
        <f>4650</f>
        <v>4650.0</v>
      </c>
      <c r="P282" s="34" t="s">
        <v>72</v>
      </c>
      <c r="Q282" s="33" t="n">
        <f>5080</f>
        <v>5080.0</v>
      </c>
      <c r="R282" s="34" t="s">
        <v>51</v>
      </c>
      <c r="S282" s="35" t="n">
        <f>4926.84</f>
        <v>4926.84</v>
      </c>
      <c r="T282" s="32" t="n">
        <f>213433</f>
        <v>213433.0</v>
      </c>
      <c r="U282" s="32" t="n">
        <f>165000</f>
        <v>165000.0</v>
      </c>
      <c r="V282" s="32" t="n">
        <f>1097808842</f>
        <v>1.097808842E9</v>
      </c>
      <c r="W282" s="32" t="n">
        <f>859733127</f>
        <v>8.59733127E8</v>
      </c>
      <c r="X282" s="36" t="n">
        <f>19</f>
        <v>19.0</v>
      </c>
    </row>
    <row r="283">
      <c r="A283" s="27" t="s">
        <v>42</v>
      </c>
      <c r="B283" s="27" t="s">
        <v>894</v>
      </c>
      <c r="C283" s="27" t="s">
        <v>895</v>
      </c>
      <c r="D283" s="27" t="s">
        <v>896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10.0</v>
      </c>
      <c r="K283" s="33" t="n">
        <f>2217.5</f>
        <v>2217.5</v>
      </c>
      <c r="L283" s="34" t="s">
        <v>230</v>
      </c>
      <c r="M283" s="33" t="n">
        <f>2250</f>
        <v>2250.0</v>
      </c>
      <c r="N283" s="34" t="s">
        <v>464</v>
      </c>
      <c r="O283" s="33" t="n">
        <f>2166</f>
        <v>2166.0</v>
      </c>
      <c r="P283" s="34" t="s">
        <v>61</v>
      </c>
      <c r="Q283" s="33" t="n">
        <f>2250</f>
        <v>2250.0</v>
      </c>
      <c r="R283" s="34" t="s">
        <v>464</v>
      </c>
      <c r="S283" s="35" t="n">
        <f>2209.75</f>
        <v>2209.75</v>
      </c>
      <c r="T283" s="32" t="n">
        <f>290</f>
        <v>290.0</v>
      </c>
      <c r="U283" s="32" t="str">
        <f>"－"</f>
        <v>－</v>
      </c>
      <c r="V283" s="32" t="n">
        <f>637250</f>
        <v>637250.0</v>
      </c>
      <c r="W283" s="32" t="str">
        <f>"－"</f>
        <v>－</v>
      </c>
      <c r="X283" s="36" t="n">
        <f>4</f>
        <v>4.0</v>
      </c>
    </row>
    <row r="284">
      <c r="A284" s="27" t="s">
        <v>42</v>
      </c>
      <c r="B284" s="27" t="s">
        <v>897</v>
      </c>
      <c r="C284" s="27" t="s">
        <v>898</v>
      </c>
      <c r="D284" s="27" t="s">
        <v>899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10.0</v>
      </c>
      <c r="K284" s="33" t="n">
        <f>2764.5</f>
        <v>2764.5</v>
      </c>
      <c r="L284" s="34" t="s">
        <v>48</v>
      </c>
      <c r="M284" s="33" t="n">
        <f>2800</f>
        <v>2800.0</v>
      </c>
      <c r="N284" s="34" t="s">
        <v>49</v>
      </c>
      <c r="O284" s="33" t="n">
        <f>2563.5</f>
        <v>2563.5</v>
      </c>
      <c r="P284" s="34" t="s">
        <v>50</v>
      </c>
      <c r="Q284" s="33" t="n">
        <f>2720</f>
        <v>2720.0</v>
      </c>
      <c r="R284" s="34" t="s">
        <v>51</v>
      </c>
      <c r="S284" s="35" t="n">
        <f>2682.38</f>
        <v>2682.38</v>
      </c>
      <c r="T284" s="32" t="n">
        <f>3460590</f>
        <v>3460590.0</v>
      </c>
      <c r="U284" s="32" t="n">
        <f>3076970</f>
        <v>3076970.0</v>
      </c>
      <c r="V284" s="32" t="n">
        <f>9405894112</f>
        <v>9.405894112E9</v>
      </c>
      <c r="W284" s="32" t="n">
        <f>8368373592</f>
        <v>8.368373592E9</v>
      </c>
      <c r="X284" s="36" t="n">
        <f>16</f>
        <v>16.0</v>
      </c>
    </row>
    <row r="285">
      <c r="A285" s="27" t="s">
        <v>42</v>
      </c>
      <c r="B285" s="27" t="s">
        <v>900</v>
      </c>
      <c r="C285" s="27" t="s">
        <v>901</v>
      </c>
      <c r="D285" s="27" t="s">
        <v>902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39070</f>
        <v>39070.0</v>
      </c>
      <c r="L285" s="34" t="s">
        <v>48</v>
      </c>
      <c r="M285" s="33" t="n">
        <f>40020</f>
        <v>40020.0</v>
      </c>
      <c r="N285" s="34" t="s">
        <v>49</v>
      </c>
      <c r="O285" s="33" t="n">
        <f>35350</f>
        <v>35350.0</v>
      </c>
      <c r="P285" s="34" t="s">
        <v>72</v>
      </c>
      <c r="Q285" s="33" t="n">
        <f>38160</f>
        <v>38160.0</v>
      </c>
      <c r="R285" s="34" t="s">
        <v>51</v>
      </c>
      <c r="S285" s="35" t="n">
        <f>37391.58</f>
        <v>37391.58</v>
      </c>
      <c r="T285" s="32" t="n">
        <f>187017</f>
        <v>187017.0</v>
      </c>
      <c r="U285" s="32" t="n">
        <f>34290</f>
        <v>34290.0</v>
      </c>
      <c r="V285" s="32" t="n">
        <f>7034049700</f>
        <v>7.0340497E9</v>
      </c>
      <c r="W285" s="32" t="n">
        <f>1289864750</f>
        <v>1.28986475E9</v>
      </c>
      <c r="X285" s="36" t="n">
        <f>19</f>
        <v>19.0</v>
      </c>
    </row>
    <row r="286">
      <c r="A286" s="27" t="s">
        <v>42</v>
      </c>
      <c r="B286" s="27" t="s">
        <v>903</v>
      </c>
      <c r="C286" s="27" t="s">
        <v>904</v>
      </c>
      <c r="D286" s="27" t="s">
        <v>905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1.0</v>
      </c>
      <c r="K286" s="33" t="n">
        <f>25185</f>
        <v>25185.0</v>
      </c>
      <c r="L286" s="34" t="s">
        <v>48</v>
      </c>
      <c r="M286" s="33" t="n">
        <f>25345</f>
        <v>25345.0</v>
      </c>
      <c r="N286" s="34" t="s">
        <v>103</v>
      </c>
      <c r="O286" s="33" t="n">
        <f>23440</f>
        <v>23440.0</v>
      </c>
      <c r="P286" s="34" t="s">
        <v>50</v>
      </c>
      <c r="Q286" s="33" t="n">
        <f>24650</f>
        <v>24650.0</v>
      </c>
      <c r="R286" s="34" t="s">
        <v>51</v>
      </c>
      <c r="S286" s="35" t="n">
        <f>24291.25</f>
        <v>24291.25</v>
      </c>
      <c r="T286" s="32" t="n">
        <f>5009</f>
        <v>5009.0</v>
      </c>
      <c r="U286" s="32" t="n">
        <f>3000</f>
        <v>3000.0</v>
      </c>
      <c r="V286" s="32" t="n">
        <f>119971780</f>
        <v>1.1997178E8</v>
      </c>
      <c r="W286" s="32" t="n">
        <f>71419320</f>
        <v>7.141932E7</v>
      </c>
      <c r="X286" s="36" t="n">
        <f>12</f>
        <v>12.0</v>
      </c>
    </row>
    <row r="287">
      <c r="A287" s="27" t="s">
        <v>42</v>
      </c>
      <c r="B287" s="27" t="s">
        <v>906</v>
      </c>
      <c r="C287" s="27" t="s">
        <v>907</v>
      </c>
      <c r="D287" s="27" t="s">
        <v>908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10.0</v>
      </c>
      <c r="K287" s="33" t="n">
        <f>1067.5</f>
        <v>1067.5</v>
      </c>
      <c r="L287" s="34" t="s">
        <v>48</v>
      </c>
      <c r="M287" s="33" t="n">
        <f>1072</f>
        <v>1072.0</v>
      </c>
      <c r="N287" s="34" t="s">
        <v>103</v>
      </c>
      <c r="O287" s="33" t="n">
        <f>1034</f>
        <v>1034.0</v>
      </c>
      <c r="P287" s="34" t="s">
        <v>49</v>
      </c>
      <c r="Q287" s="33" t="n">
        <f>1050.5</f>
        <v>1050.5</v>
      </c>
      <c r="R287" s="34" t="s">
        <v>51</v>
      </c>
      <c r="S287" s="35" t="n">
        <f>1060.38</f>
        <v>1060.38</v>
      </c>
      <c r="T287" s="32" t="n">
        <f>230960</f>
        <v>230960.0</v>
      </c>
      <c r="U287" s="32" t="str">
        <f>"－"</f>
        <v>－</v>
      </c>
      <c r="V287" s="32" t="n">
        <f>244607150</f>
        <v>2.4460715E8</v>
      </c>
      <c r="W287" s="32" t="str">
        <f>"－"</f>
        <v>－</v>
      </c>
      <c r="X287" s="36" t="n">
        <f>17</f>
        <v>17.0</v>
      </c>
    </row>
    <row r="288">
      <c r="A288" s="27" t="s">
        <v>42</v>
      </c>
      <c r="B288" s="27" t="s">
        <v>909</v>
      </c>
      <c r="C288" s="27" t="s">
        <v>910</v>
      </c>
      <c r="D288" s="27" t="s">
        <v>911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1071</f>
        <v>1071.0</v>
      </c>
      <c r="L288" s="34" t="s">
        <v>48</v>
      </c>
      <c r="M288" s="33" t="n">
        <f>1071</f>
        <v>1071.0</v>
      </c>
      <c r="N288" s="34" t="s">
        <v>48</v>
      </c>
      <c r="O288" s="33" t="n">
        <f>1033</f>
        <v>1033.0</v>
      </c>
      <c r="P288" s="34" t="s">
        <v>51</v>
      </c>
      <c r="Q288" s="33" t="n">
        <f>1033</f>
        <v>1033.0</v>
      </c>
      <c r="R288" s="34" t="s">
        <v>51</v>
      </c>
      <c r="S288" s="35" t="n">
        <f>1050</f>
        <v>1050.0</v>
      </c>
      <c r="T288" s="32" t="n">
        <f>193182</f>
        <v>193182.0</v>
      </c>
      <c r="U288" s="32" t="n">
        <f>95002</f>
        <v>95002.0</v>
      </c>
      <c r="V288" s="32" t="n">
        <f>202477556</f>
        <v>2.02477556E8</v>
      </c>
      <c r="W288" s="32" t="n">
        <f>99333059</f>
        <v>9.9333059E7</v>
      </c>
      <c r="X288" s="36" t="n">
        <f>19</f>
        <v>19.0</v>
      </c>
    </row>
    <row r="289">
      <c r="A289" s="27" t="s">
        <v>42</v>
      </c>
      <c r="B289" s="27" t="s">
        <v>912</v>
      </c>
      <c r="C289" s="27" t="s">
        <v>913</v>
      </c>
      <c r="D289" s="27" t="s">
        <v>914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1.0</v>
      </c>
      <c r="K289" s="33" t="n">
        <f>1702</f>
        <v>1702.0</v>
      </c>
      <c r="L289" s="34" t="s">
        <v>48</v>
      </c>
      <c r="M289" s="33" t="n">
        <f>1724</f>
        <v>1724.0</v>
      </c>
      <c r="N289" s="34" t="s">
        <v>49</v>
      </c>
      <c r="O289" s="33" t="n">
        <f>1584</f>
        <v>1584.0</v>
      </c>
      <c r="P289" s="34" t="s">
        <v>50</v>
      </c>
      <c r="Q289" s="33" t="n">
        <f>1677</f>
        <v>1677.0</v>
      </c>
      <c r="R289" s="34" t="s">
        <v>51</v>
      </c>
      <c r="S289" s="35" t="n">
        <f>1655.74</f>
        <v>1655.74</v>
      </c>
      <c r="T289" s="32" t="n">
        <f>510591</f>
        <v>510591.0</v>
      </c>
      <c r="U289" s="32" t="n">
        <f>135870</f>
        <v>135870.0</v>
      </c>
      <c r="V289" s="32" t="n">
        <f>835260770</f>
        <v>8.3526077E8</v>
      </c>
      <c r="W289" s="32" t="n">
        <f>219501422</f>
        <v>2.19501422E8</v>
      </c>
      <c r="X289" s="36" t="n">
        <f>19</f>
        <v>19.0</v>
      </c>
    </row>
    <row r="290">
      <c r="A290" s="27" t="s">
        <v>42</v>
      </c>
      <c r="B290" s="27" t="s">
        <v>915</v>
      </c>
      <c r="C290" s="27" t="s">
        <v>916</v>
      </c>
      <c r="D290" s="27" t="s">
        <v>917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12320</f>
        <v>12320.0</v>
      </c>
      <c r="L290" s="34" t="s">
        <v>48</v>
      </c>
      <c r="M290" s="33" t="n">
        <f>16905</f>
        <v>16905.0</v>
      </c>
      <c r="N290" s="34" t="s">
        <v>51</v>
      </c>
      <c r="O290" s="33" t="n">
        <f>11440</f>
        <v>11440.0</v>
      </c>
      <c r="P290" s="34" t="s">
        <v>68</v>
      </c>
      <c r="Q290" s="33" t="n">
        <f>16905</f>
        <v>16905.0</v>
      </c>
      <c r="R290" s="34" t="s">
        <v>51</v>
      </c>
      <c r="S290" s="35" t="n">
        <f>12349.74</f>
        <v>12349.74</v>
      </c>
      <c r="T290" s="32" t="n">
        <f>4259</f>
        <v>4259.0</v>
      </c>
      <c r="U290" s="32" t="str">
        <f>"－"</f>
        <v>－</v>
      </c>
      <c r="V290" s="32" t="n">
        <f>62191785</f>
        <v>6.2191785E7</v>
      </c>
      <c r="W290" s="32" t="str">
        <f>"－"</f>
        <v>－</v>
      </c>
      <c r="X290" s="36" t="n">
        <f>19</f>
        <v>19.0</v>
      </c>
    </row>
    <row r="291">
      <c r="A291" s="27" t="s">
        <v>42</v>
      </c>
      <c r="B291" s="27" t="s">
        <v>918</v>
      </c>
      <c r="C291" s="27" t="s">
        <v>919</v>
      </c>
      <c r="D291" s="27" t="s">
        <v>920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1914</f>
        <v>1914.0</v>
      </c>
      <c r="L291" s="34" t="s">
        <v>48</v>
      </c>
      <c r="M291" s="33" t="n">
        <f>1915</f>
        <v>1915.0</v>
      </c>
      <c r="N291" s="34" t="s">
        <v>86</v>
      </c>
      <c r="O291" s="33" t="n">
        <f>1847</f>
        <v>1847.0</v>
      </c>
      <c r="P291" s="34" t="s">
        <v>72</v>
      </c>
      <c r="Q291" s="33" t="n">
        <f>1873</f>
        <v>1873.0</v>
      </c>
      <c r="R291" s="34" t="s">
        <v>51</v>
      </c>
      <c r="S291" s="35" t="n">
        <f>1889.79</f>
        <v>1889.79</v>
      </c>
      <c r="T291" s="32" t="n">
        <f>54271</f>
        <v>54271.0</v>
      </c>
      <c r="U291" s="32" t="n">
        <f>26422</f>
        <v>26422.0</v>
      </c>
      <c r="V291" s="32" t="n">
        <f>102656219</f>
        <v>1.02656219E8</v>
      </c>
      <c r="W291" s="32" t="n">
        <f>50003638</f>
        <v>5.0003638E7</v>
      </c>
      <c r="X291" s="36" t="n">
        <f>19</f>
        <v>19.0</v>
      </c>
    </row>
    <row r="292">
      <c r="A292" s="27" t="s">
        <v>42</v>
      </c>
      <c r="B292" s="27" t="s">
        <v>921</v>
      </c>
      <c r="C292" s="27" t="s">
        <v>922</v>
      </c>
      <c r="D292" s="27" t="s">
        <v>923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10.0</v>
      </c>
      <c r="K292" s="33" t="n">
        <f>1324</f>
        <v>1324.0</v>
      </c>
      <c r="L292" s="34" t="s">
        <v>93</v>
      </c>
      <c r="M292" s="33" t="n">
        <f>1999</f>
        <v>1999.0</v>
      </c>
      <c r="N292" s="34" t="s">
        <v>51</v>
      </c>
      <c r="O292" s="33" t="n">
        <f>1219.5</f>
        <v>1219.5</v>
      </c>
      <c r="P292" s="34" t="s">
        <v>649</v>
      </c>
      <c r="Q292" s="33" t="n">
        <f>1999</f>
        <v>1999.0</v>
      </c>
      <c r="R292" s="34" t="s">
        <v>51</v>
      </c>
      <c r="S292" s="35" t="n">
        <f>1399.27</f>
        <v>1399.27</v>
      </c>
      <c r="T292" s="32" t="n">
        <f>16230</f>
        <v>16230.0</v>
      </c>
      <c r="U292" s="32" t="str">
        <f>"－"</f>
        <v>－</v>
      </c>
      <c r="V292" s="32" t="n">
        <f>26822700</f>
        <v>2.68227E7</v>
      </c>
      <c r="W292" s="32" t="str">
        <f>"－"</f>
        <v>－</v>
      </c>
      <c r="X292" s="36" t="n">
        <f>11</f>
        <v>11.0</v>
      </c>
    </row>
    <row r="293">
      <c r="A293" s="27" t="s">
        <v>42</v>
      </c>
      <c r="B293" s="27" t="s">
        <v>924</v>
      </c>
      <c r="C293" s="27" t="s">
        <v>925</v>
      </c>
      <c r="D293" s="27" t="s">
        <v>926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10.0</v>
      </c>
      <c r="K293" s="33" t="n">
        <f>821</f>
        <v>821.0</v>
      </c>
      <c r="L293" s="34" t="s">
        <v>48</v>
      </c>
      <c r="M293" s="33" t="n">
        <f>824</f>
        <v>824.0</v>
      </c>
      <c r="N293" s="34" t="s">
        <v>226</v>
      </c>
      <c r="O293" s="33" t="n">
        <f>808.5</f>
        <v>808.5</v>
      </c>
      <c r="P293" s="34" t="s">
        <v>93</v>
      </c>
      <c r="Q293" s="33" t="n">
        <f>813.8</f>
        <v>813.8</v>
      </c>
      <c r="R293" s="34" t="s">
        <v>51</v>
      </c>
      <c r="S293" s="35" t="n">
        <f>812.83</f>
        <v>812.83</v>
      </c>
      <c r="T293" s="32" t="n">
        <f>1432340</f>
        <v>1432340.0</v>
      </c>
      <c r="U293" s="32" t="n">
        <f>1330130</f>
        <v>1330130.0</v>
      </c>
      <c r="V293" s="32" t="n">
        <f>1164937574</f>
        <v>1.164937574E9</v>
      </c>
      <c r="W293" s="32" t="n">
        <f>1081889478</f>
        <v>1.081889478E9</v>
      </c>
      <c r="X293" s="36" t="n">
        <f>19</f>
        <v>19.0</v>
      </c>
    </row>
    <row r="294">
      <c r="A294" s="27" t="s">
        <v>42</v>
      </c>
      <c r="B294" s="27" t="s">
        <v>927</v>
      </c>
      <c r="C294" s="27" t="s">
        <v>928</v>
      </c>
      <c r="D294" s="27" t="s">
        <v>929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1849.5</f>
        <v>1849.5</v>
      </c>
      <c r="L294" s="34" t="s">
        <v>48</v>
      </c>
      <c r="M294" s="33" t="n">
        <f>1849.5</f>
        <v>1849.5</v>
      </c>
      <c r="N294" s="34" t="s">
        <v>48</v>
      </c>
      <c r="O294" s="33" t="n">
        <f>1670</f>
        <v>1670.0</v>
      </c>
      <c r="P294" s="34" t="s">
        <v>49</v>
      </c>
      <c r="Q294" s="33" t="n">
        <f>1789</f>
        <v>1789.0</v>
      </c>
      <c r="R294" s="34" t="s">
        <v>51</v>
      </c>
      <c r="S294" s="35" t="n">
        <f>1809.79</f>
        <v>1809.79</v>
      </c>
      <c r="T294" s="32" t="n">
        <f>897730</f>
        <v>897730.0</v>
      </c>
      <c r="U294" s="32" t="n">
        <f>763140</f>
        <v>763140.0</v>
      </c>
      <c r="V294" s="32" t="n">
        <f>1628048556</f>
        <v>1.628048556E9</v>
      </c>
      <c r="W294" s="32" t="n">
        <f>1385852676</f>
        <v>1.385852676E9</v>
      </c>
      <c r="X294" s="36" t="n">
        <f>19</f>
        <v>19.0</v>
      </c>
    </row>
    <row r="295">
      <c r="A295" s="27" t="s">
        <v>42</v>
      </c>
      <c r="B295" s="27" t="s">
        <v>930</v>
      </c>
      <c r="C295" s="27" t="s">
        <v>931</v>
      </c>
      <c r="D295" s="27" t="s">
        <v>932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1830</f>
        <v>1830.0</v>
      </c>
      <c r="L295" s="34" t="s">
        <v>48</v>
      </c>
      <c r="M295" s="33" t="n">
        <f>1830</f>
        <v>1830.0</v>
      </c>
      <c r="N295" s="34" t="s">
        <v>48</v>
      </c>
      <c r="O295" s="33" t="n">
        <f>1782.5</f>
        <v>1782.5</v>
      </c>
      <c r="P295" s="34" t="s">
        <v>51</v>
      </c>
      <c r="Q295" s="33" t="n">
        <f>1783</f>
        <v>1783.0</v>
      </c>
      <c r="R295" s="34" t="s">
        <v>51</v>
      </c>
      <c r="S295" s="35" t="n">
        <f>1806.92</f>
        <v>1806.92</v>
      </c>
      <c r="T295" s="32" t="n">
        <f>290040</f>
        <v>290040.0</v>
      </c>
      <c r="U295" s="32" t="n">
        <f>11960</f>
        <v>11960.0</v>
      </c>
      <c r="V295" s="32" t="n">
        <f>522829269</f>
        <v>5.22829269E8</v>
      </c>
      <c r="W295" s="32" t="n">
        <f>21571569</f>
        <v>2.1571569E7</v>
      </c>
      <c r="X295" s="36" t="n">
        <f>19</f>
        <v>19.0</v>
      </c>
    </row>
    <row r="296">
      <c r="A296" s="27" t="s">
        <v>42</v>
      </c>
      <c r="B296" s="27" t="s">
        <v>933</v>
      </c>
      <c r="C296" s="27" t="s">
        <v>934</v>
      </c>
      <c r="D296" s="27" t="s">
        <v>935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10.0</v>
      </c>
      <c r="K296" s="33" t="n">
        <f>2762.5</f>
        <v>2762.5</v>
      </c>
      <c r="L296" s="34" t="s">
        <v>48</v>
      </c>
      <c r="M296" s="33" t="n">
        <f>2792.5</f>
        <v>2792.5</v>
      </c>
      <c r="N296" s="34" t="s">
        <v>49</v>
      </c>
      <c r="O296" s="33" t="n">
        <f>2545</f>
        <v>2545.0</v>
      </c>
      <c r="P296" s="34" t="s">
        <v>50</v>
      </c>
      <c r="Q296" s="33" t="n">
        <f>2785</f>
        <v>2785.0</v>
      </c>
      <c r="R296" s="34" t="s">
        <v>51</v>
      </c>
      <c r="S296" s="35" t="n">
        <f>2664.18</f>
        <v>2664.18</v>
      </c>
      <c r="T296" s="32" t="n">
        <f>1366600</f>
        <v>1366600.0</v>
      </c>
      <c r="U296" s="32" t="n">
        <f>406000</f>
        <v>406000.0</v>
      </c>
      <c r="V296" s="32" t="n">
        <f>3581981950</f>
        <v>3.58198195E9</v>
      </c>
      <c r="W296" s="32" t="n">
        <f>1052488500</f>
        <v>1.0524885E9</v>
      </c>
      <c r="X296" s="36" t="n">
        <f>19</f>
        <v>19.0</v>
      </c>
    </row>
    <row r="297">
      <c r="A297" s="27" t="s">
        <v>42</v>
      </c>
      <c r="B297" s="27" t="s">
        <v>936</v>
      </c>
      <c r="C297" s="27" t="s">
        <v>937</v>
      </c>
      <c r="D297" s="27" t="s">
        <v>938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23755</f>
        <v>23755.0</v>
      </c>
      <c r="L297" s="34" t="s">
        <v>48</v>
      </c>
      <c r="M297" s="33" t="n">
        <f>24245</f>
        <v>24245.0</v>
      </c>
      <c r="N297" s="34" t="s">
        <v>49</v>
      </c>
      <c r="O297" s="33" t="n">
        <f>22130</f>
        <v>22130.0</v>
      </c>
      <c r="P297" s="34" t="s">
        <v>50</v>
      </c>
      <c r="Q297" s="33" t="n">
        <f>23390</f>
        <v>23390.0</v>
      </c>
      <c r="R297" s="34" t="s">
        <v>51</v>
      </c>
      <c r="S297" s="35" t="n">
        <f>23141.32</f>
        <v>23141.32</v>
      </c>
      <c r="T297" s="32" t="n">
        <f>810712</f>
        <v>810712.0</v>
      </c>
      <c r="U297" s="32" t="n">
        <f>59638</f>
        <v>59638.0</v>
      </c>
      <c r="V297" s="32" t="n">
        <f>18825196243</f>
        <v>1.8825196243E10</v>
      </c>
      <c r="W297" s="32" t="n">
        <f>1401957108</f>
        <v>1.401957108E9</v>
      </c>
      <c r="X297" s="36" t="n">
        <f>19</f>
        <v>19.0</v>
      </c>
    </row>
    <row r="298">
      <c r="A298" s="27" t="s">
        <v>42</v>
      </c>
      <c r="B298" s="27" t="s">
        <v>939</v>
      </c>
      <c r="C298" s="27" t="s">
        <v>940</v>
      </c>
      <c r="D298" s="27" t="s">
        <v>941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20025</f>
        <v>20025.0</v>
      </c>
      <c r="L298" s="34" t="s">
        <v>48</v>
      </c>
      <c r="M298" s="33" t="n">
        <f>20540</f>
        <v>20540.0</v>
      </c>
      <c r="N298" s="34" t="s">
        <v>49</v>
      </c>
      <c r="O298" s="33" t="n">
        <f>18650</f>
        <v>18650.0</v>
      </c>
      <c r="P298" s="34" t="s">
        <v>50</v>
      </c>
      <c r="Q298" s="33" t="n">
        <f>19915</f>
        <v>19915.0</v>
      </c>
      <c r="R298" s="34" t="s">
        <v>51</v>
      </c>
      <c r="S298" s="35" t="n">
        <f>19535</f>
        <v>19535.0</v>
      </c>
      <c r="T298" s="32" t="n">
        <f>234372</f>
        <v>234372.0</v>
      </c>
      <c r="U298" s="32" t="n">
        <f>1086</f>
        <v>1086.0</v>
      </c>
      <c r="V298" s="32" t="n">
        <f>4592527941</f>
        <v>4.592527941E9</v>
      </c>
      <c r="W298" s="32" t="n">
        <f>21156021</f>
        <v>2.1156021E7</v>
      </c>
      <c r="X298" s="36" t="n">
        <f>19</f>
        <v>19.0</v>
      </c>
    </row>
    <row r="299">
      <c r="A299" s="27" t="s">
        <v>42</v>
      </c>
      <c r="B299" s="27" t="s">
        <v>942</v>
      </c>
      <c r="C299" s="27" t="s">
        <v>943</v>
      </c>
      <c r="D299" s="27" t="s">
        <v>944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36260</f>
        <v>36260.0</v>
      </c>
      <c r="L299" s="34" t="s">
        <v>48</v>
      </c>
      <c r="M299" s="33" t="n">
        <f>36650</f>
        <v>36650.0</v>
      </c>
      <c r="N299" s="34" t="s">
        <v>49</v>
      </c>
      <c r="O299" s="33" t="n">
        <f>33270</f>
        <v>33270.0</v>
      </c>
      <c r="P299" s="34" t="s">
        <v>51</v>
      </c>
      <c r="Q299" s="33" t="n">
        <f>35350</f>
        <v>35350.0</v>
      </c>
      <c r="R299" s="34" t="s">
        <v>51</v>
      </c>
      <c r="S299" s="35" t="n">
        <f>34835</f>
        <v>34835.0</v>
      </c>
      <c r="T299" s="32" t="n">
        <f>104</f>
        <v>104.0</v>
      </c>
      <c r="U299" s="32" t="str">
        <f>"－"</f>
        <v>－</v>
      </c>
      <c r="V299" s="32" t="n">
        <f>3616020</f>
        <v>3616020.0</v>
      </c>
      <c r="W299" s="32" t="str">
        <f>"－"</f>
        <v>－</v>
      </c>
      <c r="X299" s="36" t="n">
        <f>16</f>
        <v>16.0</v>
      </c>
    </row>
    <row r="300">
      <c r="A300" s="27" t="s">
        <v>42</v>
      </c>
      <c r="B300" s="27" t="s">
        <v>945</v>
      </c>
      <c r="C300" s="27" t="s">
        <v>946</v>
      </c>
      <c r="D300" s="27" t="s">
        <v>947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2375</f>
        <v>2375.0</v>
      </c>
      <c r="L300" s="34" t="s">
        <v>48</v>
      </c>
      <c r="M300" s="33" t="n">
        <f>2393</f>
        <v>2393.0</v>
      </c>
      <c r="N300" s="34" t="s">
        <v>162</v>
      </c>
      <c r="O300" s="33" t="n">
        <f>2357</f>
        <v>2357.0</v>
      </c>
      <c r="P300" s="34" t="s">
        <v>119</v>
      </c>
      <c r="Q300" s="33" t="n">
        <f>2376</f>
        <v>2376.0</v>
      </c>
      <c r="R300" s="34" t="s">
        <v>51</v>
      </c>
      <c r="S300" s="35" t="n">
        <f>2377.16</f>
        <v>2377.16</v>
      </c>
      <c r="T300" s="32" t="n">
        <f>763820</f>
        <v>763820.0</v>
      </c>
      <c r="U300" s="32" t="n">
        <f>562672</f>
        <v>562672.0</v>
      </c>
      <c r="V300" s="32" t="n">
        <f>1813300896</f>
        <v>1.813300896E9</v>
      </c>
      <c r="W300" s="32" t="n">
        <f>1334974521</f>
        <v>1.334974521E9</v>
      </c>
      <c r="X300" s="36" t="n">
        <f>19</f>
        <v>19.0</v>
      </c>
    </row>
    <row r="301">
      <c r="A301" s="27" t="s">
        <v>42</v>
      </c>
      <c r="B301" s="27" t="s">
        <v>948</v>
      </c>
      <c r="C301" s="27" t="s">
        <v>949</v>
      </c>
      <c r="D301" s="27" t="s">
        <v>950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10.0</v>
      </c>
      <c r="K301" s="33" t="n">
        <f>3133</f>
        <v>3133.0</v>
      </c>
      <c r="L301" s="34" t="s">
        <v>48</v>
      </c>
      <c r="M301" s="33" t="n">
        <f>3181</f>
        <v>3181.0</v>
      </c>
      <c r="N301" s="34" t="s">
        <v>51</v>
      </c>
      <c r="O301" s="33" t="n">
        <f>3040</f>
        <v>3040.0</v>
      </c>
      <c r="P301" s="34" t="s">
        <v>72</v>
      </c>
      <c r="Q301" s="33" t="n">
        <f>3178</f>
        <v>3178.0</v>
      </c>
      <c r="R301" s="34" t="s">
        <v>51</v>
      </c>
      <c r="S301" s="35" t="n">
        <f>3119.89</f>
        <v>3119.89</v>
      </c>
      <c r="T301" s="32" t="n">
        <f>248780</f>
        <v>248780.0</v>
      </c>
      <c r="U301" s="32" t="n">
        <f>32790</f>
        <v>32790.0</v>
      </c>
      <c r="V301" s="32" t="n">
        <f>777075890</f>
        <v>7.7707589E8</v>
      </c>
      <c r="W301" s="32" t="n">
        <f>102767410</f>
        <v>1.0276741E8</v>
      </c>
      <c r="X301" s="36" t="n">
        <f>19</f>
        <v>19.0</v>
      </c>
    </row>
    <row r="302">
      <c r="A302" s="27" t="s">
        <v>42</v>
      </c>
      <c r="B302" s="27" t="s">
        <v>951</v>
      </c>
      <c r="C302" s="27" t="s">
        <v>952</v>
      </c>
      <c r="D302" s="27" t="s">
        <v>953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10.0</v>
      </c>
      <c r="K302" s="33" t="n">
        <f>321.9</f>
        <v>321.9</v>
      </c>
      <c r="L302" s="34" t="s">
        <v>48</v>
      </c>
      <c r="M302" s="33" t="n">
        <f>342.6</f>
        <v>342.6</v>
      </c>
      <c r="N302" s="34" t="s">
        <v>49</v>
      </c>
      <c r="O302" s="33" t="n">
        <f>308.8</f>
        <v>308.8</v>
      </c>
      <c r="P302" s="34" t="s">
        <v>72</v>
      </c>
      <c r="Q302" s="33" t="n">
        <f>325.9</f>
        <v>325.9</v>
      </c>
      <c r="R302" s="34" t="s">
        <v>51</v>
      </c>
      <c r="S302" s="35" t="n">
        <f>320.06</f>
        <v>320.06</v>
      </c>
      <c r="T302" s="32" t="n">
        <f>42790900</f>
        <v>4.27909E7</v>
      </c>
      <c r="U302" s="32" t="n">
        <f>13271540</f>
        <v>1.327154E7</v>
      </c>
      <c r="V302" s="32" t="n">
        <f>13724275786</f>
        <v>1.3724275786E10</v>
      </c>
      <c r="W302" s="32" t="n">
        <f>4264193569</f>
        <v>4.264193569E9</v>
      </c>
      <c r="X302" s="36" t="n">
        <f>19</f>
        <v>19.0</v>
      </c>
    </row>
    <row r="303">
      <c r="A303" s="27" t="s">
        <v>42</v>
      </c>
      <c r="B303" s="27" t="s">
        <v>954</v>
      </c>
      <c r="C303" s="27" t="s">
        <v>955</v>
      </c>
      <c r="D303" s="27" t="s">
        <v>956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1.0</v>
      </c>
      <c r="K303" s="33" t="n">
        <f>2839</f>
        <v>2839.0</v>
      </c>
      <c r="L303" s="34" t="s">
        <v>48</v>
      </c>
      <c r="M303" s="33" t="n">
        <f>2840</f>
        <v>2840.0</v>
      </c>
      <c r="N303" s="34" t="s">
        <v>48</v>
      </c>
      <c r="O303" s="33" t="n">
        <f>2632</f>
        <v>2632.0</v>
      </c>
      <c r="P303" s="34" t="s">
        <v>50</v>
      </c>
      <c r="Q303" s="33" t="n">
        <f>2761</f>
        <v>2761.0</v>
      </c>
      <c r="R303" s="34" t="s">
        <v>51</v>
      </c>
      <c r="S303" s="35" t="n">
        <f>2738.47</f>
        <v>2738.47</v>
      </c>
      <c r="T303" s="32" t="n">
        <f>7761605</f>
        <v>7761605.0</v>
      </c>
      <c r="U303" s="32" t="n">
        <f>2043851</f>
        <v>2043851.0</v>
      </c>
      <c r="V303" s="32" t="n">
        <f>21164205402</f>
        <v>2.1164205402E10</v>
      </c>
      <c r="W303" s="32" t="n">
        <f>5564528320</f>
        <v>5.56452832E9</v>
      </c>
      <c r="X303" s="36" t="n">
        <f>19</f>
        <v>19.0</v>
      </c>
    </row>
    <row r="304">
      <c r="A304" s="27" t="s">
        <v>42</v>
      </c>
      <c r="B304" s="27" t="s">
        <v>957</v>
      </c>
      <c r="C304" s="27" t="s">
        <v>958</v>
      </c>
      <c r="D304" s="27" t="s">
        <v>959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884</f>
        <v>884.0</v>
      </c>
      <c r="L304" s="34" t="s">
        <v>48</v>
      </c>
      <c r="M304" s="33" t="n">
        <f>895</f>
        <v>895.0</v>
      </c>
      <c r="N304" s="34" t="s">
        <v>267</v>
      </c>
      <c r="O304" s="33" t="n">
        <f>864</f>
        <v>864.0</v>
      </c>
      <c r="P304" s="34" t="s">
        <v>51</v>
      </c>
      <c r="Q304" s="33" t="n">
        <f>866</f>
        <v>866.0</v>
      </c>
      <c r="R304" s="34" t="s">
        <v>51</v>
      </c>
      <c r="S304" s="35" t="n">
        <f>882.74</f>
        <v>882.74</v>
      </c>
      <c r="T304" s="32" t="n">
        <f>440930</f>
        <v>440930.0</v>
      </c>
      <c r="U304" s="32" t="n">
        <f>200023</f>
        <v>200023.0</v>
      </c>
      <c r="V304" s="32" t="n">
        <f>388201383</f>
        <v>3.88201383E8</v>
      </c>
      <c r="W304" s="32" t="n">
        <f>176700146</f>
        <v>1.76700146E8</v>
      </c>
      <c r="X304" s="36" t="n">
        <f>19</f>
        <v>19.0</v>
      </c>
    </row>
    <row r="305">
      <c r="A305" s="27" t="s">
        <v>42</v>
      </c>
      <c r="B305" s="27" t="s">
        <v>960</v>
      </c>
      <c r="C305" s="27" t="s">
        <v>961</v>
      </c>
      <c r="D305" s="27" t="s">
        <v>962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10.0</v>
      </c>
      <c r="K305" s="33" t="n">
        <f>991.9</f>
        <v>991.9</v>
      </c>
      <c r="L305" s="34" t="s">
        <v>48</v>
      </c>
      <c r="M305" s="33" t="n">
        <f>1009.5</f>
        <v>1009.5</v>
      </c>
      <c r="N305" s="34" t="s">
        <v>226</v>
      </c>
      <c r="O305" s="33" t="n">
        <f>980.4</f>
        <v>980.4</v>
      </c>
      <c r="P305" s="34" t="s">
        <v>51</v>
      </c>
      <c r="Q305" s="33" t="n">
        <f>980.5</f>
        <v>980.5</v>
      </c>
      <c r="R305" s="34" t="s">
        <v>51</v>
      </c>
      <c r="S305" s="35" t="n">
        <f>993.17</f>
        <v>993.17</v>
      </c>
      <c r="T305" s="32" t="n">
        <f>87340</f>
        <v>87340.0</v>
      </c>
      <c r="U305" s="32" t="n">
        <f>60</f>
        <v>60.0</v>
      </c>
      <c r="V305" s="32" t="n">
        <f>87044956</f>
        <v>8.7044956E7</v>
      </c>
      <c r="W305" s="32" t="n">
        <f>59921</f>
        <v>59921.0</v>
      </c>
      <c r="X305" s="36" t="n">
        <f>19</f>
        <v>19.0</v>
      </c>
    </row>
    <row r="306">
      <c r="A306" s="27" t="s">
        <v>42</v>
      </c>
      <c r="B306" s="27" t="s">
        <v>963</v>
      </c>
      <c r="C306" s="27" t="s">
        <v>964</v>
      </c>
      <c r="D306" s="27" t="s">
        <v>965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10.0</v>
      </c>
      <c r="K306" s="33" t="n">
        <f>349.2</f>
        <v>349.2</v>
      </c>
      <c r="L306" s="34" t="s">
        <v>48</v>
      </c>
      <c r="M306" s="33" t="n">
        <f>360</f>
        <v>360.0</v>
      </c>
      <c r="N306" s="34" t="s">
        <v>49</v>
      </c>
      <c r="O306" s="33" t="n">
        <f>306</f>
        <v>306.0</v>
      </c>
      <c r="P306" s="34" t="s">
        <v>72</v>
      </c>
      <c r="Q306" s="33" t="n">
        <f>356.2</f>
        <v>356.2</v>
      </c>
      <c r="R306" s="34" t="s">
        <v>51</v>
      </c>
      <c r="S306" s="35" t="n">
        <f>341.14</f>
        <v>341.14</v>
      </c>
      <c r="T306" s="32" t="n">
        <f>4860</f>
        <v>4860.0</v>
      </c>
      <c r="U306" s="32" t="str">
        <f>"－"</f>
        <v>－</v>
      </c>
      <c r="V306" s="32" t="n">
        <f>1641623</f>
        <v>1641623.0</v>
      </c>
      <c r="W306" s="32" t="str">
        <f>"－"</f>
        <v>－</v>
      </c>
      <c r="X306" s="36" t="n">
        <f>19</f>
        <v>19.0</v>
      </c>
    </row>
    <row r="307">
      <c r="A307" s="27" t="s">
        <v>42</v>
      </c>
      <c r="B307" s="27" t="s">
        <v>966</v>
      </c>
      <c r="C307" s="27" t="s">
        <v>967</v>
      </c>
      <c r="D307" s="27" t="s">
        <v>968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10.0</v>
      </c>
      <c r="K307" s="33" t="n">
        <f>4915</f>
        <v>4915.0</v>
      </c>
      <c r="L307" s="34" t="s">
        <v>48</v>
      </c>
      <c r="M307" s="33" t="n">
        <f>5065</f>
        <v>5065.0</v>
      </c>
      <c r="N307" s="34" t="s">
        <v>49</v>
      </c>
      <c r="O307" s="33" t="n">
        <f>4508</f>
        <v>4508.0</v>
      </c>
      <c r="P307" s="34" t="s">
        <v>72</v>
      </c>
      <c r="Q307" s="33" t="n">
        <f>4857</f>
        <v>4857.0</v>
      </c>
      <c r="R307" s="34" t="s">
        <v>51</v>
      </c>
      <c r="S307" s="35" t="n">
        <f>4773.16</f>
        <v>4773.16</v>
      </c>
      <c r="T307" s="32" t="n">
        <f>1824530</f>
        <v>1824530.0</v>
      </c>
      <c r="U307" s="32" t="n">
        <f>430210</f>
        <v>430210.0</v>
      </c>
      <c r="V307" s="32" t="n">
        <f>8640353760</f>
        <v>8.64035376E9</v>
      </c>
      <c r="W307" s="32" t="n">
        <f>2030035000</f>
        <v>2.030035E9</v>
      </c>
      <c r="X307" s="36" t="n">
        <f>19</f>
        <v>19.0</v>
      </c>
    </row>
    <row r="308">
      <c r="A308" s="27" t="s">
        <v>42</v>
      </c>
      <c r="B308" s="27" t="s">
        <v>969</v>
      </c>
      <c r="C308" s="27" t="s">
        <v>970</v>
      </c>
      <c r="D308" s="27" t="s">
        <v>971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10.0</v>
      </c>
      <c r="K308" s="33" t="n">
        <f>3074</f>
        <v>3074.0</v>
      </c>
      <c r="L308" s="34" t="s">
        <v>48</v>
      </c>
      <c r="M308" s="33" t="n">
        <f>3217</f>
        <v>3217.0</v>
      </c>
      <c r="N308" s="34" t="s">
        <v>49</v>
      </c>
      <c r="O308" s="33" t="n">
        <f>2898.5</f>
        <v>2898.5</v>
      </c>
      <c r="P308" s="34" t="s">
        <v>72</v>
      </c>
      <c r="Q308" s="33" t="n">
        <f>3126</f>
        <v>3126.0</v>
      </c>
      <c r="R308" s="34" t="s">
        <v>51</v>
      </c>
      <c r="S308" s="35" t="n">
        <f>3045.45</f>
        <v>3045.45</v>
      </c>
      <c r="T308" s="32" t="n">
        <f>2569950</f>
        <v>2569950.0</v>
      </c>
      <c r="U308" s="32" t="n">
        <f>1172630</f>
        <v>1172630.0</v>
      </c>
      <c r="V308" s="32" t="n">
        <f>7847672270</f>
        <v>7.84767227E9</v>
      </c>
      <c r="W308" s="32" t="n">
        <f>3631208395</f>
        <v>3.631208395E9</v>
      </c>
      <c r="X308" s="36" t="n">
        <f>19</f>
        <v>19.0</v>
      </c>
    </row>
    <row r="309">
      <c r="A309" s="27" t="s">
        <v>42</v>
      </c>
      <c r="B309" s="27" t="s">
        <v>972</v>
      </c>
      <c r="C309" s="27" t="s">
        <v>973</v>
      </c>
      <c r="D309" s="27" t="s">
        <v>974</v>
      </c>
      <c r="E309" s="28" t="s">
        <v>975</v>
      </c>
      <c r="F309" s="29" t="s">
        <v>976</v>
      </c>
      <c r="G309" s="30" t="s">
        <v>977</v>
      </c>
      <c r="H309" s="31"/>
      <c r="I309" s="31" t="s">
        <v>47</v>
      </c>
      <c r="J309" s="32" t="n">
        <v>1.0</v>
      </c>
      <c r="K309" s="33" t="n">
        <f>2075</f>
        <v>2075.0</v>
      </c>
      <c r="L309" s="34" t="s">
        <v>226</v>
      </c>
      <c r="M309" s="33" t="n">
        <f>2136</f>
        <v>2136.0</v>
      </c>
      <c r="N309" s="34" t="s">
        <v>49</v>
      </c>
      <c r="O309" s="33" t="n">
        <f>2018</f>
        <v>2018.0</v>
      </c>
      <c r="P309" s="34" t="s">
        <v>567</v>
      </c>
      <c r="Q309" s="33" t="n">
        <f>2040</f>
        <v>2040.0</v>
      </c>
      <c r="R309" s="34" t="s">
        <v>51</v>
      </c>
      <c r="S309" s="35" t="n">
        <f>2060.2</f>
        <v>2060.2</v>
      </c>
      <c r="T309" s="32" t="n">
        <f>7370</f>
        <v>7370.0</v>
      </c>
      <c r="U309" s="32" t="str">
        <f>"－"</f>
        <v>－</v>
      </c>
      <c r="V309" s="32" t="n">
        <f>14928883</f>
        <v>1.4928883E7</v>
      </c>
      <c r="W309" s="32" t="str">
        <f>"－"</f>
        <v>－</v>
      </c>
      <c r="X309" s="36" t="n">
        <f>5</f>
        <v>5.0</v>
      </c>
    </row>
    <row r="310">
      <c r="A310" s="27" t="s">
        <v>42</v>
      </c>
      <c r="B310" s="27" t="s">
        <v>978</v>
      </c>
      <c r="C310" s="27" t="s">
        <v>979</v>
      </c>
      <c r="D310" s="27" t="s">
        <v>980</v>
      </c>
      <c r="E310" s="28" t="s">
        <v>975</v>
      </c>
      <c r="F310" s="29" t="s">
        <v>976</v>
      </c>
      <c r="G310" s="30" t="s">
        <v>977</v>
      </c>
      <c r="H310" s="31"/>
      <c r="I310" s="31" t="s">
        <v>47</v>
      </c>
      <c r="J310" s="32" t="n">
        <v>1.0</v>
      </c>
      <c r="K310" s="33" t="n">
        <f>2003</f>
        <v>2003.0</v>
      </c>
      <c r="L310" s="34" t="s">
        <v>226</v>
      </c>
      <c r="M310" s="33" t="n">
        <f>2114</f>
        <v>2114.0</v>
      </c>
      <c r="N310" s="34" t="s">
        <v>567</v>
      </c>
      <c r="O310" s="33" t="n">
        <f>1977</f>
        <v>1977.0</v>
      </c>
      <c r="P310" s="34" t="s">
        <v>51</v>
      </c>
      <c r="Q310" s="33" t="n">
        <f>1993</f>
        <v>1993.0</v>
      </c>
      <c r="R310" s="34" t="s">
        <v>51</v>
      </c>
      <c r="S310" s="35" t="n">
        <f>2010.4</f>
        <v>2010.4</v>
      </c>
      <c r="T310" s="32" t="n">
        <f>4387</f>
        <v>4387.0</v>
      </c>
      <c r="U310" s="32" t="str">
        <f>"－"</f>
        <v>－</v>
      </c>
      <c r="V310" s="32" t="n">
        <f>8744842</f>
        <v>8744842.0</v>
      </c>
      <c r="W310" s="32" t="str">
        <f>"－"</f>
        <v>－</v>
      </c>
      <c r="X310" s="36" t="n">
        <f>5</f>
        <v>5.0</v>
      </c>
    </row>
    <row r="311">
      <c r="A311" s="27" t="s">
        <v>42</v>
      </c>
      <c r="B311" s="27" t="s">
        <v>981</v>
      </c>
      <c r="C311" s="27" t="s">
        <v>982</v>
      </c>
      <c r="D311" s="27" t="s">
        <v>983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10.0</v>
      </c>
      <c r="K311" s="33" t="n">
        <f>335.8</f>
        <v>335.8</v>
      </c>
      <c r="L311" s="34" t="s">
        <v>48</v>
      </c>
      <c r="M311" s="33" t="n">
        <f>338.8</f>
        <v>338.8</v>
      </c>
      <c r="N311" s="34" t="s">
        <v>49</v>
      </c>
      <c r="O311" s="33" t="n">
        <f>324.7</f>
        <v>324.7</v>
      </c>
      <c r="P311" s="34" t="s">
        <v>61</v>
      </c>
      <c r="Q311" s="33" t="n">
        <f>327.9</f>
        <v>327.9</v>
      </c>
      <c r="R311" s="34" t="s">
        <v>51</v>
      </c>
      <c r="S311" s="35" t="n">
        <f>330.72</f>
        <v>330.72</v>
      </c>
      <c r="T311" s="32" t="n">
        <f>12429740</f>
        <v>1.242974E7</v>
      </c>
      <c r="U311" s="32" t="n">
        <f>8790220</f>
        <v>8790220.0</v>
      </c>
      <c r="V311" s="32" t="n">
        <f>4062870295</f>
        <v>4.062870295E9</v>
      </c>
      <c r="W311" s="32" t="n">
        <f>2859295947</f>
        <v>2.859295947E9</v>
      </c>
      <c r="X311" s="36" t="n">
        <f>19</f>
        <v>19.0</v>
      </c>
    </row>
    <row r="312">
      <c r="A312" s="27" t="s">
        <v>42</v>
      </c>
      <c r="B312" s="27" t="s">
        <v>984</v>
      </c>
      <c r="C312" s="27" t="s">
        <v>985</v>
      </c>
      <c r="D312" s="27" t="s">
        <v>986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1276</f>
        <v>1276.0</v>
      </c>
      <c r="L312" s="34" t="s">
        <v>48</v>
      </c>
      <c r="M312" s="33" t="n">
        <f>1335</f>
        <v>1335.0</v>
      </c>
      <c r="N312" s="34" t="s">
        <v>61</v>
      </c>
      <c r="O312" s="33" t="n">
        <f>1271</f>
        <v>1271.0</v>
      </c>
      <c r="P312" s="34" t="s">
        <v>103</v>
      </c>
      <c r="Q312" s="33" t="n">
        <f>1296</f>
        <v>1296.0</v>
      </c>
      <c r="R312" s="34" t="s">
        <v>51</v>
      </c>
      <c r="S312" s="35" t="n">
        <f>1305.68</f>
        <v>1305.68</v>
      </c>
      <c r="T312" s="32" t="n">
        <f>39798356</f>
        <v>3.9798356E7</v>
      </c>
      <c r="U312" s="32" t="n">
        <f>10553353</f>
        <v>1.0553353E7</v>
      </c>
      <c r="V312" s="32" t="n">
        <f>51978862442</f>
        <v>5.1978862442E10</v>
      </c>
      <c r="W312" s="32" t="n">
        <f>13735709763</f>
        <v>1.3735709763E10</v>
      </c>
      <c r="X312" s="36" t="n">
        <f>19</f>
        <v>19.0</v>
      </c>
    </row>
    <row r="313">
      <c r="A313" s="27" t="s">
        <v>42</v>
      </c>
      <c r="B313" s="27" t="s">
        <v>987</v>
      </c>
      <c r="C313" s="27" t="s">
        <v>988</v>
      </c>
      <c r="D313" s="27" t="s">
        <v>989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1792</f>
        <v>1792.0</v>
      </c>
      <c r="L313" s="34" t="s">
        <v>48</v>
      </c>
      <c r="M313" s="33" t="n">
        <f>1904</f>
        <v>1904.0</v>
      </c>
      <c r="N313" s="34" t="s">
        <v>61</v>
      </c>
      <c r="O313" s="33" t="n">
        <f>1786</f>
        <v>1786.0</v>
      </c>
      <c r="P313" s="34" t="s">
        <v>119</v>
      </c>
      <c r="Q313" s="33" t="n">
        <f>1818</f>
        <v>1818.0</v>
      </c>
      <c r="R313" s="34" t="s">
        <v>51</v>
      </c>
      <c r="S313" s="35" t="n">
        <f>1809.42</f>
        <v>1809.42</v>
      </c>
      <c r="T313" s="32" t="n">
        <f>36225</f>
        <v>36225.0</v>
      </c>
      <c r="U313" s="32" t="n">
        <f>3</f>
        <v>3.0</v>
      </c>
      <c r="V313" s="32" t="n">
        <f>65940397</f>
        <v>6.5940397E7</v>
      </c>
      <c r="W313" s="32" t="n">
        <f>5452</f>
        <v>5452.0</v>
      </c>
      <c r="X313" s="36" t="n">
        <f>19</f>
        <v>19.0</v>
      </c>
    </row>
    <row r="314">
      <c r="A314" s="27" t="s">
        <v>42</v>
      </c>
      <c r="B314" s="27" t="s">
        <v>990</v>
      </c>
      <c r="C314" s="27" t="s">
        <v>991</v>
      </c>
      <c r="D314" s="27" t="s">
        <v>992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2084</f>
        <v>2084.0</v>
      </c>
      <c r="L314" s="34" t="s">
        <v>48</v>
      </c>
      <c r="M314" s="33" t="n">
        <f>2110</f>
        <v>2110.0</v>
      </c>
      <c r="N314" s="34" t="s">
        <v>49</v>
      </c>
      <c r="O314" s="33" t="n">
        <f>2080</f>
        <v>2080.0</v>
      </c>
      <c r="P314" s="34" t="s">
        <v>103</v>
      </c>
      <c r="Q314" s="33" t="n">
        <f>2105</f>
        <v>2105.0</v>
      </c>
      <c r="R314" s="34" t="s">
        <v>51</v>
      </c>
      <c r="S314" s="35" t="n">
        <f>2093.95</f>
        <v>2093.95</v>
      </c>
      <c r="T314" s="32" t="n">
        <f>1242600</f>
        <v>1242600.0</v>
      </c>
      <c r="U314" s="32" t="n">
        <f>1241000</f>
        <v>1241000.0</v>
      </c>
      <c r="V314" s="32" t="n">
        <f>2607343437</f>
        <v>2.607343437E9</v>
      </c>
      <c r="W314" s="32" t="n">
        <f>2603990300</f>
        <v>2.6039903E9</v>
      </c>
      <c r="X314" s="36" t="n">
        <f>19</f>
        <v>19.0</v>
      </c>
    </row>
    <row r="315">
      <c r="A315" s="27" t="s">
        <v>42</v>
      </c>
      <c r="B315" s="27" t="s">
        <v>993</v>
      </c>
      <c r="C315" s="27" t="s">
        <v>994</v>
      </c>
      <c r="D315" s="27" t="s">
        <v>995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3920</f>
        <v>3920.0</v>
      </c>
      <c r="L315" s="34" t="s">
        <v>48</v>
      </c>
      <c r="M315" s="33" t="n">
        <f>4015</f>
        <v>4015.0</v>
      </c>
      <c r="N315" s="34" t="s">
        <v>49</v>
      </c>
      <c r="O315" s="33" t="n">
        <f>3540</f>
        <v>3540.0</v>
      </c>
      <c r="P315" s="34" t="s">
        <v>72</v>
      </c>
      <c r="Q315" s="33" t="n">
        <f>3830</f>
        <v>3830.0</v>
      </c>
      <c r="R315" s="34" t="s">
        <v>51</v>
      </c>
      <c r="S315" s="35" t="n">
        <f>3747.63</f>
        <v>3747.63</v>
      </c>
      <c r="T315" s="32" t="n">
        <f>751421</f>
        <v>751421.0</v>
      </c>
      <c r="U315" s="32" t="n">
        <f>612146</f>
        <v>612146.0</v>
      </c>
      <c r="V315" s="32" t="n">
        <f>2802994708</f>
        <v>2.802994708E9</v>
      </c>
      <c r="W315" s="32" t="n">
        <f>2278406483</f>
        <v>2.278406483E9</v>
      </c>
      <c r="X315" s="36" t="n">
        <f>19</f>
        <v>19.0</v>
      </c>
    </row>
    <row r="316">
      <c r="A316" s="27" t="s">
        <v>42</v>
      </c>
      <c r="B316" s="27" t="s">
        <v>996</v>
      </c>
      <c r="C316" s="27" t="s">
        <v>997</v>
      </c>
      <c r="D316" s="27" t="s">
        <v>998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2742</f>
        <v>2742.0</v>
      </c>
      <c r="L316" s="34" t="s">
        <v>48</v>
      </c>
      <c r="M316" s="33" t="n">
        <f>2775</f>
        <v>2775.0</v>
      </c>
      <c r="N316" s="34" t="s">
        <v>49</v>
      </c>
      <c r="O316" s="33" t="n">
        <f>2512</f>
        <v>2512.0</v>
      </c>
      <c r="P316" s="34" t="s">
        <v>50</v>
      </c>
      <c r="Q316" s="33" t="n">
        <f>2672</f>
        <v>2672.0</v>
      </c>
      <c r="R316" s="34" t="s">
        <v>51</v>
      </c>
      <c r="S316" s="35" t="n">
        <f>2634.63</f>
        <v>2634.63</v>
      </c>
      <c r="T316" s="32" t="n">
        <f>746936</f>
        <v>746936.0</v>
      </c>
      <c r="U316" s="32" t="n">
        <f>250005</f>
        <v>250005.0</v>
      </c>
      <c r="V316" s="32" t="n">
        <f>1956449757</f>
        <v>1.956449757E9</v>
      </c>
      <c r="W316" s="32" t="n">
        <f>639963212</f>
        <v>6.39963212E8</v>
      </c>
      <c r="X316" s="36" t="n">
        <f>19</f>
        <v>19.0</v>
      </c>
    </row>
    <row r="317">
      <c r="A317" s="27" t="s">
        <v>42</v>
      </c>
      <c r="B317" s="27" t="s">
        <v>999</v>
      </c>
      <c r="C317" s="27" t="s">
        <v>1000</v>
      </c>
      <c r="D317" s="27" t="s">
        <v>1001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2315</f>
        <v>2315.0</v>
      </c>
      <c r="L317" s="34" t="s">
        <v>48</v>
      </c>
      <c r="M317" s="33" t="n">
        <f>2385</f>
        <v>2385.0</v>
      </c>
      <c r="N317" s="34" t="s">
        <v>49</v>
      </c>
      <c r="O317" s="33" t="n">
        <f>2203</f>
        <v>2203.0</v>
      </c>
      <c r="P317" s="34" t="s">
        <v>72</v>
      </c>
      <c r="Q317" s="33" t="n">
        <f>2308</f>
        <v>2308.0</v>
      </c>
      <c r="R317" s="34" t="s">
        <v>51</v>
      </c>
      <c r="S317" s="35" t="n">
        <f>2295.42</f>
        <v>2295.42</v>
      </c>
      <c r="T317" s="32" t="n">
        <f>101150</f>
        <v>101150.0</v>
      </c>
      <c r="U317" s="32" t="str">
        <f>"－"</f>
        <v>－</v>
      </c>
      <c r="V317" s="32" t="n">
        <f>231413621</f>
        <v>2.31413621E8</v>
      </c>
      <c r="W317" s="32" t="str">
        <f>"－"</f>
        <v>－</v>
      </c>
      <c r="X317" s="36" t="n">
        <f>19</f>
        <v>19.0</v>
      </c>
    </row>
    <row r="318">
      <c r="A318" s="27" t="s">
        <v>42</v>
      </c>
      <c r="B318" s="27" t="s">
        <v>1002</v>
      </c>
      <c r="C318" s="27" t="s">
        <v>1003</v>
      </c>
      <c r="D318" s="27" t="s">
        <v>1004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1397</f>
        <v>1397.0</v>
      </c>
      <c r="L318" s="34" t="s">
        <v>48</v>
      </c>
      <c r="M318" s="33" t="n">
        <f>1464</f>
        <v>1464.0</v>
      </c>
      <c r="N318" s="34" t="s">
        <v>49</v>
      </c>
      <c r="O318" s="33" t="n">
        <f>1363</f>
        <v>1363.0</v>
      </c>
      <c r="P318" s="34" t="s">
        <v>119</v>
      </c>
      <c r="Q318" s="33" t="n">
        <f>1424</f>
        <v>1424.0</v>
      </c>
      <c r="R318" s="34" t="s">
        <v>51</v>
      </c>
      <c r="S318" s="35" t="n">
        <f>1412.37</f>
        <v>1412.37</v>
      </c>
      <c r="T318" s="32" t="n">
        <f>18908</f>
        <v>18908.0</v>
      </c>
      <c r="U318" s="32" t="str">
        <f>"－"</f>
        <v>－</v>
      </c>
      <c r="V318" s="32" t="n">
        <f>26623185</f>
        <v>2.6623185E7</v>
      </c>
      <c r="W318" s="32" t="str">
        <f>"－"</f>
        <v>－</v>
      </c>
      <c r="X318" s="36" t="n">
        <f>19</f>
        <v>19.0</v>
      </c>
    </row>
    <row r="319">
      <c r="A319" s="27" t="s">
        <v>42</v>
      </c>
      <c r="B319" s="27" t="s">
        <v>1005</v>
      </c>
      <c r="C319" s="27" t="s">
        <v>1006</v>
      </c>
      <c r="D319" s="27" t="s">
        <v>1007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1451</f>
        <v>1451.0</v>
      </c>
      <c r="L319" s="34" t="s">
        <v>48</v>
      </c>
      <c r="M319" s="33" t="n">
        <f>1848</f>
        <v>1848.0</v>
      </c>
      <c r="N319" s="34" t="s">
        <v>51</v>
      </c>
      <c r="O319" s="33" t="n">
        <f>1321</f>
        <v>1321.0</v>
      </c>
      <c r="P319" s="34" t="s">
        <v>162</v>
      </c>
      <c r="Q319" s="33" t="n">
        <f>1823</f>
        <v>1823.0</v>
      </c>
      <c r="R319" s="34" t="s">
        <v>51</v>
      </c>
      <c r="S319" s="35" t="n">
        <f>1431.11</f>
        <v>1431.11</v>
      </c>
      <c r="T319" s="32" t="n">
        <f>49935</f>
        <v>49935.0</v>
      </c>
      <c r="U319" s="32" t="str">
        <f>"－"</f>
        <v>－</v>
      </c>
      <c r="V319" s="32" t="n">
        <f>76771672</f>
        <v>7.6771672E7</v>
      </c>
      <c r="W319" s="32" t="str">
        <f>"－"</f>
        <v>－</v>
      </c>
      <c r="X319" s="36" t="n">
        <f>19</f>
        <v>19.0</v>
      </c>
    </row>
    <row r="320">
      <c r="A320" s="27" t="s">
        <v>42</v>
      </c>
      <c r="B320" s="27" t="s">
        <v>1008</v>
      </c>
      <c r="C320" s="27" t="s">
        <v>1009</v>
      </c>
      <c r="D320" s="27" t="s">
        <v>1010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2313</f>
        <v>2313.0</v>
      </c>
      <c r="L320" s="34" t="s">
        <v>48</v>
      </c>
      <c r="M320" s="33" t="n">
        <f>2837</f>
        <v>2837.0</v>
      </c>
      <c r="N320" s="34" t="s">
        <v>51</v>
      </c>
      <c r="O320" s="33" t="n">
        <f>2180</f>
        <v>2180.0</v>
      </c>
      <c r="P320" s="34" t="s">
        <v>68</v>
      </c>
      <c r="Q320" s="33" t="n">
        <f>2834</f>
        <v>2834.0</v>
      </c>
      <c r="R320" s="34" t="s">
        <v>51</v>
      </c>
      <c r="S320" s="35" t="n">
        <f>2332.58</f>
        <v>2332.58</v>
      </c>
      <c r="T320" s="32" t="n">
        <f>6888</f>
        <v>6888.0</v>
      </c>
      <c r="U320" s="32" t="str">
        <f>"－"</f>
        <v>－</v>
      </c>
      <c r="V320" s="32" t="n">
        <f>17511766</f>
        <v>1.7511766E7</v>
      </c>
      <c r="W320" s="32" t="str">
        <f>"－"</f>
        <v>－</v>
      </c>
      <c r="X320" s="36" t="n">
        <f>19</f>
        <v>19.0</v>
      </c>
    </row>
    <row r="321">
      <c r="A321" s="27" t="s">
        <v>42</v>
      </c>
      <c r="B321" s="27" t="s">
        <v>1011</v>
      </c>
      <c r="C321" s="27" t="s">
        <v>1012</v>
      </c>
      <c r="D321" s="27" t="s">
        <v>1013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12760</f>
        <v>12760.0</v>
      </c>
      <c r="L321" s="34" t="s">
        <v>48</v>
      </c>
      <c r="M321" s="33" t="n">
        <f>13000</f>
        <v>13000.0</v>
      </c>
      <c r="N321" s="34" t="s">
        <v>464</v>
      </c>
      <c r="O321" s="33" t="n">
        <f>12240</f>
        <v>12240.0</v>
      </c>
      <c r="P321" s="34" t="s">
        <v>72</v>
      </c>
      <c r="Q321" s="33" t="n">
        <f>12935</f>
        <v>12935.0</v>
      </c>
      <c r="R321" s="34" t="s">
        <v>51</v>
      </c>
      <c r="S321" s="35" t="n">
        <f>12684.74</f>
        <v>12684.74</v>
      </c>
      <c r="T321" s="32" t="n">
        <f>361782</f>
        <v>361782.0</v>
      </c>
      <c r="U321" s="32" t="n">
        <f>221971</f>
        <v>221971.0</v>
      </c>
      <c r="V321" s="32" t="n">
        <f>4575552925</f>
        <v>4.575552925E9</v>
      </c>
      <c r="W321" s="32" t="n">
        <f>2802912035</f>
        <v>2.802912035E9</v>
      </c>
      <c r="X321" s="36" t="n">
        <f>19</f>
        <v>19.0</v>
      </c>
    </row>
    <row r="322">
      <c r="A322" s="27" t="s">
        <v>42</v>
      </c>
      <c r="B322" s="27" t="s">
        <v>1014</v>
      </c>
      <c r="C322" s="27" t="s">
        <v>1015</v>
      </c>
      <c r="D322" s="27" t="s">
        <v>1016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20510</f>
        <v>20510.0</v>
      </c>
      <c r="L322" s="34" t="s">
        <v>48</v>
      </c>
      <c r="M322" s="33" t="n">
        <f>21155</f>
        <v>21155.0</v>
      </c>
      <c r="N322" s="34" t="s">
        <v>49</v>
      </c>
      <c r="O322" s="33" t="n">
        <f>18825</f>
        <v>18825.0</v>
      </c>
      <c r="P322" s="34" t="s">
        <v>72</v>
      </c>
      <c r="Q322" s="33" t="n">
        <f>20320</f>
        <v>20320.0</v>
      </c>
      <c r="R322" s="34" t="s">
        <v>51</v>
      </c>
      <c r="S322" s="35" t="n">
        <f>19942.89</f>
        <v>19942.89</v>
      </c>
      <c r="T322" s="32" t="n">
        <f>460706</f>
        <v>460706.0</v>
      </c>
      <c r="U322" s="32" t="n">
        <f>5011</f>
        <v>5011.0</v>
      </c>
      <c r="V322" s="32" t="n">
        <f>9167463610</f>
        <v>9.16746361E9</v>
      </c>
      <c r="W322" s="32" t="n">
        <f>100449765</f>
        <v>1.00449765E8</v>
      </c>
      <c r="X322" s="36" t="n">
        <f>19</f>
        <v>19.0</v>
      </c>
    </row>
    <row r="323">
      <c r="A323" s="27" t="s">
        <v>42</v>
      </c>
      <c r="B323" s="27" t="s">
        <v>1017</v>
      </c>
      <c r="C323" s="27" t="s">
        <v>1018</v>
      </c>
      <c r="D323" s="27" t="s">
        <v>1019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12840</f>
        <v>12840.0</v>
      </c>
      <c r="L323" s="34" t="s">
        <v>48</v>
      </c>
      <c r="M323" s="33" t="n">
        <f>13400</f>
        <v>13400.0</v>
      </c>
      <c r="N323" s="34" t="s">
        <v>49</v>
      </c>
      <c r="O323" s="33" t="n">
        <f>12105</f>
        <v>12105.0</v>
      </c>
      <c r="P323" s="34" t="s">
        <v>72</v>
      </c>
      <c r="Q323" s="33" t="n">
        <f>13035</f>
        <v>13035.0</v>
      </c>
      <c r="R323" s="34" t="s">
        <v>51</v>
      </c>
      <c r="S323" s="35" t="n">
        <f>12729.74</f>
        <v>12729.74</v>
      </c>
      <c r="T323" s="32" t="n">
        <f>310712</f>
        <v>310712.0</v>
      </c>
      <c r="U323" s="32" t="n">
        <f>23135</f>
        <v>23135.0</v>
      </c>
      <c r="V323" s="32" t="n">
        <f>3972316160</f>
        <v>3.97231616E9</v>
      </c>
      <c r="W323" s="32" t="n">
        <f>305083105</f>
        <v>3.05083105E8</v>
      </c>
      <c r="X323" s="36" t="n">
        <f>19</f>
        <v>19.0</v>
      </c>
    </row>
    <row r="324">
      <c r="A324" s="27" t="s">
        <v>42</v>
      </c>
      <c r="B324" s="27" t="s">
        <v>1020</v>
      </c>
      <c r="C324" s="27" t="s">
        <v>1021</v>
      </c>
      <c r="D324" s="27" t="s">
        <v>1022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10.0</v>
      </c>
      <c r="K324" s="33" t="n">
        <f>382.2</f>
        <v>382.2</v>
      </c>
      <c r="L324" s="34" t="s">
        <v>48</v>
      </c>
      <c r="M324" s="33" t="n">
        <f>388</f>
        <v>388.0</v>
      </c>
      <c r="N324" s="34" t="s">
        <v>49</v>
      </c>
      <c r="O324" s="33" t="n">
        <f>354.4</f>
        <v>354.4</v>
      </c>
      <c r="P324" s="34" t="s">
        <v>50</v>
      </c>
      <c r="Q324" s="33" t="n">
        <f>374.4</f>
        <v>374.4</v>
      </c>
      <c r="R324" s="34" t="s">
        <v>51</v>
      </c>
      <c r="S324" s="35" t="n">
        <f>371.02</f>
        <v>371.02</v>
      </c>
      <c r="T324" s="32" t="n">
        <f>18739640</f>
        <v>1.873964E7</v>
      </c>
      <c r="U324" s="32" t="n">
        <f>210120</f>
        <v>210120.0</v>
      </c>
      <c r="V324" s="32" t="n">
        <f>6929416203</f>
        <v>6.929416203E9</v>
      </c>
      <c r="W324" s="32" t="n">
        <f>74824332</f>
        <v>7.4824332E7</v>
      </c>
      <c r="X324" s="36" t="n">
        <f>19</f>
        <v>19.0</v>
      </c>
    </row>
    <row r="325">
      <c r="A325" s="27" t="s">
        <v>42</v>
      </c>
      <c r="B325" s="27" t="s">
        <v>1023</v>
      </c>
      <c r="C325" s="27" t="s">
        <v>1024</v>
      </c>
      <c r="D325" s="27" t="s">
        <v>1025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2525</f>
        <v>2525.0</v>
      </c>
      <c r="L325" s="34" t="s">
        <v>48</v>
      </c>
      <c r="M325" s="33" t="n">
        <f>2560</f>
        <v>2560.0</v>
      </c>
      <c r="N325" s="34" t="s">
        <v>49</v>
      </c>
      <c r="O325" s="33" t="n">
        <f>2401</f>
        <v>2401.0</v>
      </c>
      <c r="P325" s="34" t="s">
        <v>72</v>
      </c>
      <c r="Q325" s="33" t="n">
        <f>2537.5</f>
        <v>2537.5</v>
      </c>
      <c r="R325" s="34" t="s">
        <v>51</v>
      </c>
      <c r="S325" s="35" t="n">
        <f>2491.58</f>
        <v>2491.58</v>
      </c>
      <c r="T325" s="32" t="n">
        <f>3879750</f>
        <v>3879750.0</v>
      </c>
      <c r="U325" s="32" t="n">
        <f>2230120</f>
        <v>2230120.0</v>
      </c>
      <c r="V325" s="32" t="n">
        <f>9568958075</f>
        <v>9.568958075E9</v>
      </c>
      <c r="W325" s="32" t="n">
        <f>5472499640</f>
        <v>5.47249964E9</v>
      </c>
      <c r="X325" s="36" t="n">
        <f>19</f>
        <v>19.0</v>
      </c>
    </row>
    <row r="326">
      <c r="A326" s="27" t="s">
        <v>42</v>
      </c>
      <c r="B326" s="27" t="s">
        <v>1026</v>
      </c>
      <c r="C326" s="27" t="s">
        <v>1027</v>
      </c>
      <c r="D326" s="27" t="s">
        <v>1028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3970</f>
        <v>3970.0</v>
      </c>
      <c r="L326" s="34" t="s">
        <v>48</v>
      </c>
      <c r="M326" s="33" t="n">
        <f>4012</f>
        <v>4012.0</v>
      </c>
      <c r="N326" s="34" t="s">
        <v>49</v>
      </c>
      <c r="O326" s="33" t="n">
        <f>3692</f>
        <v>3692.0</v>
      </c>
      <c r="P326" s="34" t="s">
        <v>72</v>
      </c>
      <c r="Q326" s="33" t="n">
        <f>3891</f>
        <v>3891.0</v>
      </c>
      <c r="R326" s="34" t="s">
        <v>51</v>
      </c>
      <c r="S326" s="35" t="n">
        <f>3841.42</f>
        <v>3841.42</v>
      </c>
      <c r="T326" s="32" t="n">
        <f>393880</f>
        <v>393880.0</v>
      </c>
      <c r="U326" s="32" t="n">
        <f>50010</f>
        <v>50010.0</v>
      </c>
      <c r="V326" s="32" t="n">
        <f>1529142870</f>
        <v>1.52914287E9</v>
      </c>
      <c r="W326" s="32" t="n">
        <f>195122910</f>
        <v>1.9512291E8</v>
      </c>
      <c r="X326" s="36" t="n">
        <f>19</f>
        <v>19.0</v>
      </c>
    </row>
    <row r="327">
      <c r="A327" s="27" t="s">
        <v>42</v>
      </c>
      <c r="B327" s="27" t="s">
        <v>1029</v>
      </c>
      <c r="C327" s="27" t="s">
        <v>1030</v>
      </c>
      <c r="D327" s="27" t="s">
        <v>1031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3395</f>
        <v>3395.0</v>
      </c>
      <c r="L327" s="34" t="s">
        <v>48</v>
      </c>
      <c r="M327" s="33" t="n">
        <f>3400</f>
        <v>3400.0</v>
      </c>
      <c r="N327" s="34" t="s">
        <v>226</v>
      </c>
      <c r="O327" s="33" t="n">
        <f>3085</f>
        <v>3085.0</v>
      </c>
      <c r="P327" s="34" t="s">
        <v>72</v>
      </c>
      <c r="Q327" s="33" t="n">
        <f>3235</f>
        <v>3235.0</v>
      </c>
      <c r="R327" s="34" t="s">
        <v>51</v>
      </c>
      <c r="S327" s="35" t="n">
        <f>3225.53</f>
        <v>3225.53</v>
      </c>
      <c r="T327" s="32" t="n">
        <f>111251</f>
        <v>111251.0</v>
      </c>
      <c r="U327" s="32" t="n">
        <f>38780</f>
        <v>38780.0</v>
      </c>
      <c r="V327" s="32" t="n">
        <f>359358667</f>
        <v>3.59358667E8</v>
      </c>
      <c r="W327" s="32" t="n">
        <f>122644772</f>
        <v>1.22644772E8</v>
      </c>
      <c r="X327" s="36" t="n">
        <f>19</f>
        <v>19.0</v>
      </c>
    </row>
    <row r="328">
      <c r="A328" s="27" t="s">
        <v>42</v>
      </c>
      <c r="B328" s="27" t="s">
        <v>1032</v>
      </c>
      <c r="C328" s="27" t="s">
        <v>1033</v>
      </c>
      <c r="D328" s="27" t="s">
        <v>1034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1584</f>
        <v>1584.0</v>
      </c>
      <c r="L328" s="34" t="s">
        <v>48</v>
      </c>
      <c r="M328" s="33" t="n">
        <f>1630</f>
        <v>1630.0</v>
      </c>
      <c r="N328" s="34" t="s">
        <v>49</v>
      </c>
      <c r="O328" s="33" t="n">
        <f>1461</f>
        <v>1461.0</v>
      </c>
      <c r="P328" s="34" t="s">
        <v>72</v>
      </c>
      <c r="Q328" s="33" t="n">
        <f>1580</f>
        <v>1580.0</v>
      </c>
      <c r="R328" s="34" t="s">
        <v>51</v>
      </c>
      <c r="S328" s="35" t="n">
        <f>1531.53</f>
        <v>1531.53</v>
      </c>
      <c r="T328" s="32" t="n">
        <f>225662</f>
        <v>225662.0</v>
      </c>
      <c r="U328" s="32" t="n">
        <f>70000</f>
        <v>70000.0</v>
      </c>
      <c r="V328" s="32" t="n">
        <f>342659958</f>
        <v>3.42659958E8</v>
      </c>
      <c r="W328" s="32" t="n">
        <f>104524770</f>
        <v>1.0452477E8</v>
      </c>
      <c r="X328" s="36" t="n">
        <f>19</f>
        <v>19.0</v>
      </c>
    </row>
    <row r="329">
      <c r="A329" s="27" t="s">
        <v>42</v>
      </c>
      <c r="B329" s="27" t="s">
        <v>1035</v>
      </c>
      <c r="C329" s="27" t="s">
        <v>1036</v>
      </c>
      <c r="D329" s="27" t="s">
        <v>1037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2035</f>
        <v>2035.0</v>
      </c>
      <c r="L329" s="34" t="s">
        <v>48</v>
      </c>
      <c r="M329" s="33" t="n">
        <f>2137</f>
        <v>2137.0</v>
      </c>
      <c r="N329" s="34" t="s">
        <v>49</v>
      </c>
      <c r="O329" s="33" t="n">
        <f>1860</f>
        <v>1860.0</v>
      </c>
      <c r="P329" s="34" t="s">
        <v>72</v>
      </c>
      <c r="Q329" s="33" t="n">
        <f>2050</f>
        <v>2050.0</v>
      </c>
      <c r="R329" s="34" t="s">
        <v>51</v>
      </c>
      <c r="S329" s="35" t="n">
        <f>1984.47</f>
        <v>1984.47</v>
      </c>
      <c r="T329" s="32" t="n">
        <f>776150</f>
        <v>776150.0</v>
      </c>
      <c r="U329" s="32" t="n">
        <f>610340</f>
        <v>610340.0</v>
      </c>
      <c r="V329" s="32" t="n">
        <f>1565064380</f>
        <v>1.56506438E9</v>
      </c>
      <c r="W329" s="32" t="n">
        <f>1236018926</f>
        <v>1.236018926E9</v>
      </c>
      <c r="X329" s="36" t="n">
        <f>19</f>
        <v>19.0</v>
      </c>
    </row>
    <row r="330">
      <c r="A330" s="27" t="s">
        <v>42</v>
      </c>
      <c r="B330" s="27" t="s">
        <v>1038</v>
      </c>
      <c r="C330" s="27" t="s">
        <v>1039</v>
      </c>
      <c r="D330" s="27" t="s">
        <v>1040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1748</f>
        <v>1748.0</v>
      </c>
      <c r="L330" s="34" t="s">
        <v>48</v>
      </c>
      <c r="M330" s="33" t="n">
        <f>1774</f>
        <v>1774.0</v>
      </c>
      <c r="N330" s="34" t="s">
        <v>49</v>
      </c>
      <c r="O330" s="33" t="n">
        <f>1610</f>
        <v>1610.0</v>
      </c>
      <c r="P330" s="34" t="s">
        <v>51</v>
      </c>
      <c r="Q330" s="33" t="n">
        <f>1724</f>
        <v>1724.0</v>
      </c>
      <c r="R330" s="34" t="s">
        <v>51</v>
      </c>
      <c r="S330" s="35" t="n">
        <f>1701.05</f>
        <v>1701.05</v>
      </c>
      <c r="T330" s="32" t="n">
        <f>31431</f>
        <v>31431.0</v>
      </c>
      <c r="U330" s="32" t="str">
        <f>"－"</f>
        <v>－</v>
      </c>
      <c r="V330" s="32" t="n">
        <f>53837247</f>
        <v>5.3837247E7</v>
      </c>
      <c r="W330" s="32" t="str">
        <f>"－"</f>
        <v>－</v>
      </c>
      <c r="X330" s="36" t="n">
        <f>19</f>
        <v>19.0</v>
      </c>
    </row>
    <row r="331">
      <c r="A331" s="27" t="s">
        <v>42</v>
      </c>
      <c r="B331" s="27" t="s">
        <v>1041</v>
      </c>
      <c r="C331" s="27" t="s">
        <v>1042</v>
      </c>
      <c r="D331" s="27" t="s">
        <v>1043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3170</f>
        <v>3170.0</v>
      </c>
      <c r="L331" s="34" t="s">
        <v>48</v>
      </c>
      <c r="M331" s="33" t="n">
        <f>3345</f>
        <v>3345.0</v>
      </c>
      <c r="N331" s="34" t="s">
        <v>49</v>
      </c>
      <c r="O331" s="33" t="n">
        <f>3060</f>
        <v>3060.0</v>
      </c>
      <c r="P331" s="34" t="s">
        <v>72</v>
      </c>
      <c r="Q331" s="33" t="n">
        <f>3240</f>
        <v>3240.0</v>
      </c>
      <c r="R331" s="34" t="s">
        <v>51</v>
      </c>
      <c r="S331" s="35" t="n">
        <f>3182.89</f>
        <v>3182.89</v>
      </c>
      <c r="T331" s="32" t="n">
        <f>38683</f>
        <v>38683.0</v>
      </c>
      <c r="U331" s="32" t="n">
        <f>170</f>
        <v>170.0</v>
      </c>
      <c r="V331" s="32" t="n">
        <f>124099660</f>
        <v>1.2409966E8</v>
      </c>
      <c r="W331" s="32" t="n">
        <f>534650</f>
        <v>534650.0</v>
      </c>
      <c r="X331" s="36" t="n">
        <f>19</f>
        <v>19.0</v>
      </c>
    </row>
    <row r="332">
      <c r="A332" s="27" t="s">
        <v>42</v>
      </c>
      <c r="B332" s="27" t="s">
        <v>1044</v>
      </c>
      <c r="C332" s="27" t="s">
        <v>1045</v>
      </c>
      <c r="D332" s="27" t="s">
        <v>1046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3110</f>
        <v>3110.0</v>
      </c>
      <c r="L332" s="34" t="s">
        <v>48</v>
      </c>
      <c r="M332" s="33" t="n">
        <f>3190</f>
        <v>3190.0</v>
      </c>
      <c r="N332" s="34" t="s">
        <v>49</v>
      </c>
      <c r="O332" s="33" t="n">
        <f>2792</f>
        <v>2792.0</v>
      </c>
      <c r="P332" s="34" t="s">
        <v>72</v>
      </c>
      <c r="Q332" s="33" t="n">
        <f>3025</f>
        <v>3025.0</v>
      </c>
      <c r="R332" s="34" t="s">
        <v>51</v>
      </c>
      <c r="S332" s="35" t="n">
        <f>2970.47</f>
        <v>2970.47</v>
      </c>
      <c r="T332" s="32" t="n">
        <f>21430534</f>
        <v>2.1430534E7</v>
      </c>
      <c r="U332" s="32" t="n">
        <f>4300380</f>
        <v>4300380.0</v>
      </c>
      <c r="V332" s="32" t="n">
        <f>62966877116</f>
        <v>6.2966877116E10</v>
      </c>
      <c r="W332" s="32" t="n">
        <f>12672032068</f>
        <v>1.2672032068E10</v>
      </c>
      <c r="X332" s="36" t="n">
        <f>19</f>
        <v>19.0</v>
      </c>
    </row>
    <row r="333">
      <c r="A333" s="27" t="s">
        <v>42</v>
      </c>
      <c r="B333" s="27" t="s">
        <v>1047</v>
      </c>
      <c r="C333" s="27" t="s">
        <v>1048</v>
      </c>
      <c r="D333" s="27" t="s">
        <v>1049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35940</f>
        <v>35940.0</v>
      </c>
      <c r="L333" s="34" t="s">
        <v>103</v>
      </c>
      <c r="M333" s="33" t="n">
        <f>36050</f>
        <v>36050.0</v>
      </c>
      <c r="N333" s="34" t="s">
        <v>49</v>
      </c>
      <c r="O333" s="33" t="n">
        <f>33380</f>
        <v>33380.0</v>
      </c>
      <c r="P333" s="34" t="s">
        <v>72</v>
      </c>
      <c r="Q333" s="33" t="n">
        <f>35250</f>
        <v>35250.0</v>
      </c>
      <c r="R333" s="34" t="s">
        <v>51</v>
      </c>
      <c r="S333" s="35" t="n">
        <f>34667.5</f>
        <v>34667.5</v>
      </c>
      <c r="T333" s="32" t="n">
        <f>58</f>
        <v>58.0</v>
      </c>
      <c r="U333" s="32" t="str">
        <f>"－"</f>
        <v>－</v>
      </c>
      <c r="V333" s="32" t="n">
        <f>1981770</f>
        <v>1981770.0</v>
      </c>
      <c r="W333" s="32" t="str">
        <f>"－"</f>
        <v>－</v>
      </c>
      <c r="X333" s="36" t="n">
        <f>16</f>
        <v>16.0</v>
      </c>
    </row>
    <row r="334">
      <c r="A334" s="27" t="s">
        <v>42</v>
      </c>
      <c r="B334" s="27" t="s">
        <v>1050</v>
      </c>
      <c r="C334" s="27" t="s">
        <v>1051</v>
      </c>
      <c r="D334" s="27" t="s">
        <v>1052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1.0</v>
      </c>
      <c r="K334" s="33" t="n">
        <f>2900</f>
        <v>2900.0</v>
      </c>
      <c r="L334" s="34" t="s">
        <v>48</v>
      </c>
      <c r="M334" s="33" t="n">
        <f>2950</f>
        <v>2950.0</v>
      </c>
      <c r="N334" s="34" t="s">
        <v>51</v>
      </c>
      <c r="O334" s="33" t="n">
        <f>2620</f>
        <v>2620.0</v>
      </c>
      <c r="P334" s="34" t="s">
        <v>72</v>
      </c>
      <c r="Q334" s="33" t="n">
        <f>2797</f>
        <v>2797.0</v>
      </c>
      <c r="R334" s="34" t="s">
        <v>51</v>
      </c>
      <c r="S334" s="35" t="n">
        <f>2749.63</f>
        <v>2749.63</v>
      </c>
      <c r="T334" s="32" t="n">
        <f>11828</f>
        <v>11828.0</v>
      </c>
      <c r="U334" s="32" t="str">
        <f>"－"</f>
        <v>－</v>
      </c>
      <c r="V334" s="32" t="n">
        <f>32148095</f>
        <v>3.2148095E7</v>
      </c>
      <c r="W334" s="32" t="str">
        <f>"－"</f>
        <v>－</v>
      </c>
      <c r="X334" s="36" t="n">
        <f>19</f>
        <v>19.0</v>
      </c>
    </row>
    <row r="335">
      <c r="A335" s="27" t="s">
        <v>42</v>
      </c>
      <c r="B335" s="27" t="s">
        <v>1053</v>
      </c>
      <c r="C335" s="27" t="s">
        <v>1054</v>
      </c>
      <c r="D335" s="27" t="s">
        <v>1055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1.0</v>
      </c>
      <c r="K335" s="33" t="n">
        <f>4020</f>
        <v>4020.0</v>
      </c>
      <c r="L335" s="34" t="s">
        <v>48</v>
      </c>
      <c r="M335" s="33" t="n">
        <f>4025</f>
        <v>4025.0</v>
      </c>
      <c r="N335" s="34" t="s">
        <v>48</v>
      </c>
      <c r="O335" s="33" t="n">
        <f>3215</f>
        <v>3215.0</v>
      </c>
      <c r="P335" s="34" t="s">
        <v>72</v>
      </c>
      <c r="Q335" s="33" t="n">
        <f>3630</f>
        <v>3630.0</v>
      </c>
      <c r="R335" s="34" t="s">
        <v>51</v>
      </c>
      <c r="S335" s="35" t="n">
        <f>3542.89</f>
        <v>3542.89</v>
      </c>
      <c r="T335" s="32" t="n">
        <f>11190639</f>
        <v>1.1190639E7</v>
      </c>
      <c r="U335" s="32" t="n">
        <f>873151</f>
        <v>873151.0</v>
      </c>
      <c r="V335" s="32" t="n">
        <f>39417524472</f>
        <v>3.9417524472E10</v>
      </c>
      <c r="W335" s="32" t="n">
        <f>3080185297</f>
        <v>3.080185297E9</v>
      </c>
      <c r="X335" s="36" t="n">
        <f>19</f>
        <v>19.0</v>
      </c>
    </row>
    <row r="336">
      <c r="A336" s="27" t="s">
        <v>42</v>
      </c>
      <c r="B336" s="27" t="s">
        <v>1056</v>
      </c>
      <c r="C336" s="27" t="s">
        <v>1057</v>
      </c>
      <c r="D336" s="27" t="s">
        <v>1058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1.0</v>
      </c>
      <c r="K336" s="33" t="n">
        <f>2293</f>
        <v>2293.0</v>
      </c>
      <c r="L336" s="34" t="s">
        <v>48</v>
      </c>
      <c r="M336" s="33" t="n">
        <f>2339</f>
        <v>2339.0</v>
      </c>
      <c r="N336" s="34" t="s">
        <v>49</v>
      </c>
      <c r="O336" s="33" t="n">
        <f>2150</f>
        <v>2150.0</v>
      </c>
      <c r="P336" s="34" t="s">
        <v>72</v>
      </c>
      <c r="Q336" s="33" t="n">
        <f>2265</f>
        <v>2265.0</v>
      </c>
      <c r="R336" s="34" t="s">
        <v>51</v>
      </c>
      <c r="S336" s="35" t="n">
        <f>2262.74</f>
        <v>2262.74</v>
      </c>
      <c r="T336" s="32" t="n">
        <f>4947</f>
        <v>4947.0</v>
      </c>
      <c r="U336" s="32" t="str">
        <f>"－"</f>
        <v>－</v>
      </c>
      <c r="V336" s="32" t="n">
        <f>11299437</f>
        <v>1.1299437E7</v>
      </c>
      <c r="W336" s="32" t="str">
        <f>"－"</f>
        <v>－</v>
      </c>
      <c r="X336" s="36" t="n">
        <f>19</f>
        <v>19.0</v>
      </c>
    </row>
    <row r="337">
      <c r="A337" s="27" t="s">
        <v>42</v>
      </c>
      <c r="B337" s="27" t="s">
        <v>1059</v>
      </c>
      <c r="C337" s="27" t="s">
        <v>1060</v>
      </c>
      <c r="D337" s="27" t="s">
        <v>1061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1.0</v>
      </c>
      <c r="K337" s="33" t="n">
        <f>1722</f>
        <v>1722.0</v>
      </c>
      <c r="L337" s="34" t="s">
        <v>48</v>
      </c>
      <c r="M337" s="33" t="n">
        <f>1769</f>
        <v>1769.0</v>
      </c>
      <c r="N337" s="34" t="s">
        <v>49</v>
      </c>
      <c r="O337" s="33" t="n">
        <f>1537</f>
        <v>1537.0</v>
      </c>
      <c r="P337" s="34" t="s">
        <v>50</v>
      </c>
      <c r="Q337" s="33" t="n">
        <f>1705</f>
        <v>1705.0</v>
      </c>
      <c r="R337" s="34" t="s">
        <v>51</v>
      </c>
      <c r="S337" s="35" t="n">
        <f>1647.37</f>
        <v>1647.37</v>
      </c>
      <c r="T337" s="32" t="n">
        <f>3130</f>
        <v>3130.0</v>
      </c>
      <c r="U337" s="32" t="str">
        <f>"－"</f>
        <v>－</v>
      </c>
      <c r="V337" s="32" t="n">
        <f>5196062</f>
        <v>5196062.0</v>
      </c>
      <c r="W337" s="32" t="str">
        <f>"－"</f>
        <v>－</v>
      </c>
      <c r="X337" s="36" t="n">
        <f>19</f>
        <v>19.0</v>
      </c>
    </row>
    <row r="338">
      <c r="A338" s="27" t="s">
        <v>42</v>
      </c>
      <c r="B338" s="27" t="s">
        <v>1062</v>
      </c>
      <c r="C338" s="27" t="s">
        <v>1063</v>
      </c>
      <c r="D338" s="27" t="s">
        <v>1064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10.0</v>
      </c>
      <c r="K338" s="33" t="n">
        <f>5613</f>
        <v>5613.0</v>
      </c>
      <c r="L338" s="34" t="s">
        <v>48</v>
      </c>
      <c r="M338" s="33" t="n">
        <f>5631</f>
        <v>5631.0</v>
      </c>
      <c r="N338" s="34" t="s">
        <v>103</v>
      </c>
      <c r="O338" s="33" t="n">
        <f>5463</f>
        <v>5463.0</v>
      </c>
      <c r="P338" s="34" t="s">
        <v>68</v>
      </c>
      <c r="Q338" s="33" t="n">
        <f>5492</f>
        <v>5492.0</v>
      </c>
      <c r="R338" s="34" t="s">
        <v>51</v>
      </c>
      <c r="S338" s="35" t="n">
        <f>5531.06</f>
        <v>5531.06</v>
      </c>
      <c r="T338" s="32" t="n">
        <f>12390</f>
        <v>12390.0</v>
      </c>
      <c r="U338" s="32" t="n">
        <f>3700</f>
        <v>3700.0</v>
      </c>
      <c r="V338" s="32" t="n">
        <f>68497284</f>
        <v>6.8497284E7</v>
      </c>
      <c r="W338" s="32" t="n">
        <f>20225754</f>
        <v>2.0225754E7</v>
      </c>
      <c r="X338" s="36" t="n">
        <f>16</f>
        <v>16.0</v>
      </c>
    </row>
    <row r="339">
      <c r="A339" s="27" t="s">
        <v>42</v>
      </c>
      <c r="B339" s="27" t="s">
        <v>1065</v>
      </c>
      <c r="C339" s="27" t="s">
        <v>1066</v>
      </c>
      <c r="D339" s="27" t="s">
        <v>1067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10.0</v>
      </c>
      <c r="K339" s="33" t="n">
        <f>3804</f>
        <v>3804.0</v>
      </c>
      <c r="L339" s="34" t="s">
        <v>48</v>
      </c>
      <c r="M339" s="33" t="n">
        <f>3930</f>
        <v>3930.0</v>
      </c>
      <c r="N339" s="34" t="s">
        <v>93</v>
      </c>
      <c r="O339" s="33" t="n">
        <f>3791</f>
        <v>3791.0</v>
      </c>
      <c r="P339" s="34" t="s">
        <v>49</v>
      </c>
      <c r="Q339" s="33" t="n">
        <f>3805</f>
        <v>3805.0</v>
      </c>
      <c r="R339" s="34" t="s">
        <v>51</v>
      </c>
      <c r="S339" s="35" t="n">
        <f>3821.63</f>
        <v>3821.63</v>
      </c>
      <c r="T339" s="32" t="n">
        <f>1970210</f>
        <v>1970210.0</v>
      </c>
      <c r="U339" s="32" t="n">
        <f>1901920</f>
        <v>1901920.0</v>
      </c>
      <c r="V339" s="32" t="n">
        <f>7523024572</f>
        <v>7.523024572E9</v>
      </c>
      <c r="W339" s="32" t="n">
        <f>7261322872</f>
        <v>7.261322872E9</v>
      </c>
      <c r="X339" s="36" t="n">
        <f>19</f>
        <v>19.0</v>
      </c>
    </row>
    <row r="340">
      <c r="A340" s="27" t="s">
        <v>42</v>
      </c>
      <c r="B340" s="27" t="s">
        <v>1068</v>
      </c>
      <c r="C340" s="27" t="s">
        <v>1069</v>
      </c>
      <c r="D340" s="27" t="s">
        <v>1070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10.0</v>
      </c>
      <c r="K340" s="33" t="n">
        <f>638.1</f>
        <v>638.1</v>
      </c>
      <c r="L340" s="34" t="s">
        <v>48</v>
      </c>
      <c r="M340" s="33" t="n">
        <f>652.6</f>
        <v>652.6</v>
      </c>
      <c r="N340" s="34" t="s">
        <v>649</v>
      </c>
      <c r="O340" s="33" t="n">
        <f>635.4</f>
        <v>635.4</v>
      </c>
      <c r="P340" s="34" t="s">
        <v>48</v>
      </c>
      <c r="Q340" s="33" t="n">
        <f>642.6</f>
        <v>642.6</v>
      </c>
      <c r="R340" s="34" t="s">
        <v>51</v>
      </c>
      <c r="S340" s="35" t="n">
        <f>642.52</f>
        <v>642.52</v>
      </c>
      <c r="T340" s="32" t="n">
        <f>201060</f>
        <v>201060.0</v>
      </c>
      <c r="U340" s="32" t="str">
        <f>"－"</f>
        <v>－</v>
      </c>
      <c r="V340" s="32" t="n">
        <f>129004027</f>
        <v>1.29004027E8</v>
      </c>
      <c r="W340" s="32" t="str">
        <f>"－"</f>
        <v>－</v>
      </c>
      <c r="X340" s="36" t="n">
        <f>19</f>
        <v>19.0</v>
      </c>
    </row>
    <row r="341">
      <c r="A341" s="27" t="s">
        <v>42</v>
      </c>
      <c r="B341" s="27" t="s">
        <v>1071</v>
      </c>
      <c r="C341" s="27" t="s">
        <v>1072</v>
      </c>
      <c r="D341" s="27" t="s">
        <v>1073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1.0</v>
      </c>
      <c r="K341" s="33" t="n">
        <f>2496</f>
        <v>2496.0</v>
      </c>
      <c r="L341" s="34" t="s">
        <v>48</v>
      </c>
      <c r="M341" s="33" t="n">
        <f>2542</f>
        <v>2542.0</v>
      </c>
      <c r="N341" s="34" t="s">
        <v>103</v>
      </c>
      <c r="O341" s="33" t="n">
        <f>2386</f>
        <v>2386.0</v>
      </c>
      <c r="P341" s="34" t="s">
        <v>72</v>
      </c>
      <c r="Q341" s="33" t="n">
        <f>2456</f>
        <v>2456.0</v>
      </c>
      <c r="R341" s="34" t="s">
        <v>51</v>
      </c>
      <c r="S341" s="35" t="n">
        <f>2465.05</f>
        <v>2465.05</v>
      </c>
      <c r="T341" s="32" t="n">
        <f>22470</f>
        <v>22470.0</v>
      </c>
      <c r="U341" s="32" t="str">
        <f>"－"</f>
        <v>－</v>
      </c>
      <c r="V341" s="32" t="n">
        <f>55581202</f>
        <v>5.5581202E7</v>
      </c>
      <c r="W341" s="32" t="str">
        <f>"－"</f>
        <v>－</v>
      </c>
      <c r="X341" s="36" t="n">
        <f>19</f>
        <v>19.0</v>
      </c>
    </row>
    <row r="342">
      <c r="A342" s="27" t="s">
        <v>42</v>
      </c>
      <c r="B342" s="27" t="s">
        <v>1074</v>
      </c>
      <c r="C342" s="27" t="s">
        <v>1075</v>
      </c>
      <c r="D342" s="27" t="s">
        <v>1076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1.0</v>
      </c>
      <c r="K342" s="33" t="n">
        <f>2297</f>
        <v>2297.0</v>
      </c>
      <c r="L342" s="34" t="s">
        <v>48</v>
      </c>
      <c r="M342" s="33" t="n">
        <f>2369</f>
        <v>2369.0</v>
      </c>
      <c r="N342" s="34" t="s">
        <v>51</v>
      </c>
      <c r="O342" s="33" t="n">
        <f>2183</f>
        <v>2183.0</v>
      </c>
      <c r="P342" s="34" t="s">
        <v>72</v>
      </c>
      <c r="Q342" s="33" t="n">
        <f>2321</f>
        <v>2321.0</v>
      </c>
      <c r="R342" s="34" t="s">
        <v>51</v>
      </c>
      <c r="S342" s="35" t="n">
        <f>2269.11</f>
        <v>2269.11</v>
      </c>
      <c r="T342" s="32" t="n">
        <f>81634</f>
        <v>81634.0</v>
      </c>
      <c r="U342" s="32" t="n">
        <f>43</f>
        <v>43.0</v>
      </c>
      <c r="V342" s="32" t="n">
        <f>186304678</f>
        <v>1.86304678E8</v>
      </c>
      <c r="W342" s="32" t="n">
        <f>97721</f>
        <v>97721.0</v>
      </c>
      <c r="X342" s="36" t="n">
        <f>19</f>
        <v>19.0</v>
      </c>
    </row>
    <row r="343">
      <c r="A343" s="27" t="s">
        <v>42</v>
      </c>
      <c r="B343" s="27" t="s">
        <v>1077</v>
      </c>
      <c r="C343" s="27" t="s">
        <v>1078</v>
      </c>
      <c r="D343" s="27" t="s">
        <v>1079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8313</f>
        <v>8313.0</v>
      </c>
      <c r="L343" s="34" t="s">
        <v>48</v>
      </c>
      <c r="M343" s="33" t="n">
        <f>8413</f>
        <v>8413.0</v>
      </c>
      <c r="N343" s="34" t="s">
        <v>49</v>
      </c>
      <c r="O343" s="33" t="n">
        <f>8175</f>
        <v>8175.0</v>
      </c>
      <c r="P343" s="34" t="s">
        <v>61</v>
      </c>
      <c r="Q343" s="33" t="n">
        <f>8202</f>
        <v>8202.0</v>
      </c>
      <c r="R343" s="34" t="s">
        <v>51</v>
      </c>
      <c r="S343" s="35" t="n">
        <f>8264</f>
        <v>8264.0</v>
      </c>
      <c r="T343" s="32" t="n">
        <f>259119</f>
        <v>259119.0</v>
      </c>
      <c r="U343" s="32" t="n">
        <f>240000</f>
        <v>240000.0</v>
      </c>
      <c r="V343" s="32" t="n">
        <f>2127347298</f>
        <v>2.127347298E9</v>
      </c>
      <c r="W343" s="32" t="n">
        <f>1968328800</f>
        <v>1.9683288E9</v>
      </c>
      <c r="X343" s="36" t="n">
        <f>19</f>
        <v>19.0</v>
      </c>
    </row>
    <row r="344">
      <c r="A344" s="27" t="s">
        <v>42</v>
      </c>
      <c r="B344" s="27" t="s">
        <v>1080</v>
      </c>
      <c r="C344" s="27" t="s">
        <v>1081</v>
      </c>
      <c r="D344" s="27" t="s">
        <v>1082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5633</f>
        <v>5633.0</v>
      </c>
      <c r="L344" s="34" t="s">
        <v>48</v>
      </c>
      <c r="M344" s="33" t="n">
        <f>5759</f>
        <v>5759.0</v>
      </c>
      <c r="N344" s="34" t="s">
        <v>93</v>
      </c>
      <c r="O344" s="33" t="n">
        <f>5619</f>
        <v>5619.0</v>
      </c>
      <c r="P344" s="34" t="s">
        <v>48</v>
      </c>
      <c r="Q344" s="33" t="n">
        <f>5681</f>
        <v>5681.0</v>
      </c>
      <c r="R344" s="34" t="s">
        <v>51</v>
      </c>
      <c r="S344" s="35" t="n">
        <f>5692.26</f>
        <v>5692.26</v>
      </c>
      <c r="T344" s="32" t="n">
        <f>1919097</f>
        <v>1919097.0</v>
      </c>
      <c r="U344" s="32" t="n">
        <f>1884112</f>
        <v>1884112.0</v>
      </c>
      <c r="V344" s="32" t="n">
        <f>10900191121</f>
        <v>1.0900191121E10</v>
      </c>
      <c r="W344" s="32" t="n">
        <f>10702977221</f>
        <v>1.0702977221E10</v>
      </c>
      <c r="X344" s="36" t="n">
        <f>19</f>
        <v>19.0</v>
      </c>
    </row>
    <row r="345">
      <c r="A345" s="27" t="s">
        <v>42</v>
      </c>
      <c r="B345" s="27" t="s">
        <v>1083</v>
      </c>
      <c r="C345" s="27" t="s">
        <v>1084</v>
      </c>
      <c r="D345" s="27" t="s">
        <v>1085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26470</f>
        <v>26470.0</v>
      </c>
      <c r="L345" s="34" t="s">
        <v>48</v>
      </c>
      <c r="M345" s="33" t="n">
        <f>27245</f>
        <v>27245.0</v>
      </c>
      <c r="N345" s="34" t="s">
        <v>49</v>
      </c>
      <c r="O345" s="33" t="n">
        <f>24260</f>
        <v>24260.0</v>
      </c>
      <c r="P345" s="34" t="s">
        <v>72</v>
      </c>
      <c r="Q345" s="33" t="n">
        <f>26140</f>
        <v>26140.0</v>
      </c>
      <c r="R345" s="34" t="s">
        <v>51</v>
      </c>
      <c r="S345" s="35" t="n">
        <f>25710.26</f>
        <v>25710.26</v>
      </c>
      <c r="T345" s="32" t="n">
        <f>94809</f>
        <v>94809.0</v>
      </c>
      <c r="U345" s="32" t="str">
        <f>"－"</f>
        <v>－</v>
      </c>
      <c r="V345" s="32" t="n">
        <f>2450232165</f>
        <v>2.450232165E9</v>
      </c>
      <c r="W345" s="32" t="str">
        <f>"－"</f>
        <v>－</v>
      </c>
      <c r="X345" s="36" t="n">
        <f>19</f>
        <v>19.0</v>
      </c>
    </row>
    <row r="346">
      <c r="A346" s="27" t="s">
        <v>42</v>
      </c>
      <c r="B346" s="27" t="s">
        <v>1086</v>
      </c>
      <c r="C346" s="27" t="s">
        <v>1087</v>
      </c>
      <c r="D346" s="27" t="s">
        <v>1088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12090</f>
        <v>12090.0</v>
      </c>
      <c r="L346" s="34" t="s">
        <v>48</v>
      </c>
      <c r="M346" s="33" t="n">
        <f>12440</f>
        <v>12440.0</v>
      </c>
      <c r="N346" s="34" t="s">
        <v>464</v>
      </c>
      <c r="O346" s="33" t="n">
        <f>11375</f>
        <v>11375.0</v>
      </c>
      <c r="P346" s="34" t="s">
        <v>72</v>
      </c>
      <c r="Q346" s="33" t="n">
        <f>12270</f>
        <v>12270.0</v>
      </c>
      <c r="R346" s="34" t="s">
        <v>51</v>
      </c>
      <c r="S346" s="35" t="n">
        <f>11965.53</f>
        <v>11965.53</v>
      </c>
      <c r="T346" s="32" t="n">
        <f>252977</f>
        <v>252977.0</v>
      </c>
      <c r="U346" s="32" t="n">
        <f>12</f>
        <v>12.0</v>
      </c>
      <c r="V346" s="32" t="n">
        <f>3046041460</f>
        <v>3.04604146E9</v>
      </c>
      <c r="W346" s="32" t="n">
        <f>147150</f>
        <v>147150.0</v>
      </c>
      <c r="X346" s="36" t="n">
        <f>19</f>
        <v>19.0</v>
      </c>
    </row>
    <row r="347">
      <c r="A347" s="27" t="s">
        <v>42</v>
      </c>
      <c r="B347" s="27" t="s">
        <v>1089</v>
      </c>
      <c r="C347" s="27" t="s">
        <v>1090</v>
      </c>
      <c r="D347" s="27" t="s">
        <v>1091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1.0</v>
      </c>
      <c r="K347" s="33" t="n">
        <f>18875</f>
        <v>18875.0</v>
      </c>
      <c r="L347" s="34" t="s">
        <v>48</v>
      </c>
      <c r="M347" s="33" t="n">
        <f>20025</f>
        <v>20025.0</v>
      </c>
      <c r="N347" s="34" t="s">
        <v>72</v>
      </c>
      <c r="O347" s="33" t="n">
        <f>18250</f>
        <v>18250.0</v>
      </c>
      <c r="P347" s="34" t="s">
        <v>464</v>
      </c>
      <c r="Q347" s="33" t="n">
        <f>18495</f>
        <v>18495.0</v>
      </c>
      <c r="R347" s="34" t="s">
        <v>51</v>
      </c>
      <c r="S347" s="35" t="n">
        <f>19070</f>
        <v>19070.0</v>
      </c>
      <c r="T347" s="32" t="n">
        <f>71416</f>
        <v>71416.0</v>
      </c>
      <c r="U347" s="32" t="n">
        <f>8</f>
        <v>8.0</v>
      </c>
      <c r="V347" s="32" t="n">
        <f>1370569520</f>
        <v>1.37056952E9</v>
      </c>
      <c r="W347" s="32" t="n">
        <f>147525</f>
        <v>147525.0</v>
      </c>
      <c r="X347" s="36" t="n">
        <f>19</f>
        <v>19.0</v>
      </c>
    </row>
    <row r="348">
      <c r="A348" s="27" t="s">
        <v>42</v>
      </c>
      <c r="B348" s="27" t="s">
        <v>1092</v>
      </c>
      <c r="C348" s="27" t="s">
        <v>1093</v>
      </c>
      <c r="D348" s="27" t="s">
        <v>1094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10.0</v>
      </c>
      <c r="K348" s="33" t="n">
        <f>4137</f>
        <v>4137.0</v>
      </c>
      <c r="L348" s="34" t="s">
        <v>48</v>
      </c>
      <c r="M348" s="33" t="n">
        <f>4230</f>
        <v>4230.0</v>
      </c>
      <c r="N348" s="34" t="s">
        <v>72</v>
      </c>
      <c r="O348" s="33" t="n">
        <f>4137</f>
        <v>4137.0</v>
      </c>
      <c r="P348" s="34" t="s">
        <v>48</v>
      </c>
      <c r="Q348" s="33" t="n">
        <f>4153</f>
        <v>4153.0</v>
      </c>
      <c r="R348" s="34" t="s">
        <v>49</v>
      </c>
      <c r="S348" s="35" t="n">
        <f>4168.5</f>
        <v>4168.5</v>
      </c>
      <c r="T348" s="32" t="n">
        <f>33850</f>
        <v>33850.0</v>
      </c>
      <c r="U348" s="32" t="n">
        <f>24000</f>
        <v>24000.0</v>
      </c>
      <c r="V348" s="32" t="n">
        <f>141166250</f>
        <v>1.4116625E8</v>
      </c>
      <c r="W348" s="32" t="n">
        <f>100080000</f>
        <v>1.0008E8</v>
      </c>
      <c r="X348" s="36" t="n">
        <f>14</f>
        <v>14.0</v>
      </c>
    </row>
    <row r="349">
      <c r="A349" s="27" t="s">
        <v>42</v>
      </c>
      <c r="B349" s="27" t="s">
        <v>1095</v>
      </c>
      <c r="C349" s="27" t="s">
        <v>1096</v>
      </c>
      <c r="D349" s="27" t="s">
        <v>1097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10.0</v>
      </c>
      <c r="K349" s="33" t="n">
        <f>5256</f>
        <v>5256.0</v>
      </c>
      <c r="L349" s="34" t="s">
        <v>48</v>
      </c>
      <c r="M349" s="33" t="n">
        <f>5376</f>
        <v>5376.0</v>
      </c>
      <c r="N349" s="34" t="s">
        <v>49</v>
      </c>
      <c r="O349" s="33" t="n">
        <f>5041</f>
        <v>5041.0</v>
      </c>
      <c r="P349" s="34" t="s">
        <v>50</v>
      </c>
      <c r="Q349" s="33" t="n">
        <f>5257</f>
        <v>5257.0</v>
      </c>
      <c r="R349" s="34" t="s">
        <v>51</v>
      </c>
      <c r="S349" s="35" t="n">
        <f>5192.47</f>
        <v>5192.47</v>
      </c>
      <c r="T349" s="32" t="n">
        <f>507610</f>
        <v>507610.0</v>
      </c>
      <c r="U349" s="32" t="n">
        <f>495780</f>
        <v>495780.0</v>
      </c>
      <c r="V349" s="32" t="n">
        <f>2614652249</f>
        <v>2.614652249E9</v>
      </c>
      <c r="W349" s="32" t="n">
        <f>2553069919</f>
        <v>2.553069919E9</v>
      </c>
      <c r="X349" s="36" t="n">
        <f>19</f>
        <v>19.0</v>
      </c>
    </row>
    <row r="350">
      <c r="A350" s="27" t="s">
        <v>42</v>
      </c>
      <c r="B350" s="27" t="s">
        <v>1098</v>
      </c>
      <c r="C350" s="27" t="s">
        <v>1099</v>
      </c>
      <c r="D350" s="27" t="s">
        <v>1100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10.0</v>
      </c>
      <c r="K350" s="33" t="n">
        <f>2530</f>
        <v>2530.0</v>
      </c>
      <c r="L350" s="34" t="s">
        <v>48</v>
      </c>
      <c r="M350" s="33" t="n">
        <f>2605</f>
        <v>2605.0</v>
      </c>
      <c r="N350" s="34" t="s">
        <v>464</v>
      </c>
      <c r="O350" s="33" t="n">
        <f>2382</f>
        <v>2382.0</v>
      </c>
      <c r="P350" s="34" t="s">
        <v>72</v>
      </c>
      <c r="Q350" s="33" t="n">
        <f>2570.5</f>
        <v>2570.5</v>
      </c>
      <c r="R350" s="34" t="s">
        <v>51</v>
      </c>
      <c r="S350" s="35" t="n">
        <f>2506.26</f>
        <v>2506.26</v>
      </c>
      <c r="T350" s="32" t="n">
        <f>1804280</f>
        <v>1804280.0</v>
      </c>
      <c r="U350" s="32" t="n">
        <f>400020</f>
        <v>400020.0</v>
      </c>
      <c r="V350" s="32" t="n">
        <f>4549466660</f>
        <v>4.54946666E9</v>
      </c>
      <c r="W350" s="32" t="n">
        <f>996898125</f>
        <v>9.96898125E8</v>
      </c>
      <c r="X350" s="36" t="n">
        <f>19</f>
        <v>19.0</v>
      </c>
    </row>
    <row r="351">
      <c r="A351" s="27" t="s">
        <v>42</v>
      </c>
      <c r="B351" s="27" t="s">
        <v>1101</v>
      </c>
      <c r="C351" s="27" t="s">
        <v>1102</v>
      </c>
      <c r="D351" s="27" t="s">
        <v>1103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10.0</v>
      </c>
      <c r="K351" s="33" t="n">
        <f>2161.5</f>
        <v>2161.5</v>
      </c>
      <c r="L351" s="34" t="s">
        <v>48</v>
      </c>
      <c r="M351" s="33" t="n">
        <f>2209</f>
        <v>2209.0</v>
      </c>
      <c r="N351" s="34" t="s">
        <v>51</v>
      </c>
      <c r="O351" s="33" t="n">
        <f>2100</f>
        <v>2100.0</v>
      </c>
      <c r="P351" s="34" t="s">
        <v>72</v>
      </c>
      <c r="Q351" s="33" t="n">
        <f>2196</f>
        <v>2196.0</v>
      </c>
      <c r="R351" s="34" t="s">
        <v>51</v>
      </c>
      <c r="S351" s="35" t="n">
        <f>2155.42</f>
        <v>2155.42</v>
      </c>
      <c r="T351" s="32" t="n">
        <f>977880</f>
        <v>977880.0</v>
      </c>
      <c r="U351" s="32" t="n">
        <f>500010</f>
        <v>500010.0</v>
      </c>
      <c r="V351" s="32" t="n">
        <f>2088231675</f>
        <v>2.088231675E9</v>
      </c>
      <c r="W351" s="32" t="n">
        <f>1062821910</f>
        <v>1.06282191E9</v>
      </c>
      <c r="X351" s="36" t="n">
        <f>19</f>
        <v>19.0</v>
      </c>
    </row>
    <row r="352">
      <c r="A352" s="27" t="s">
        <v>42</v>
      </c>
      <c r="B352" s="27" t="s">
        <v>1104</v>
      </c>
      <c r="C352" s="27" t="s">
        <v>1105</v>
      </c>
      <c r="D352" s="27" t="s">
        <v>1106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1.0</v>
      </c>
      <c r="K352" s="33" t="n">
        <f>1904</f>
        <v>1904.0</v>
      </c>
      <c r="L352" s="34" t="s">
        <v>48</v>
      </c>
      <c r="M352" s="33" t="n">
        <f>1965</f>
        <v>1965.0</v>
      </c>
      <c r="N352" s="34" t="s">
        <v>49</v>
      </c>
      <c r="O352" s="33" t="n">
        <f>1794</f>
        <v>1794.0</v>
      </c>
      <c r="P352" s="34" t="s">
        <v>50</v>
      </c>
      <c r="Q352" s="33" t="n">
        <f>1910</f>
        <v>1910.0</v>
      </c>
      <c r="R352" s="34" t="s">
        <v>51</v>
      </c>
      <c r="S352" s="35" t="n">
        <f>1867.42</f>
        <v>1867.42</v>
      </c>
      <c r="T352" s="32" t="n">
        <f>31275</f>
        <v>31275.0</v>
      </c>
      <c r="U352" s="32" t="str">
        <f>"－"</f>
        <v>－</v>
      </c>
      <c r="V352" s="32" t="n">
        <f>58037700</f>
        <v>5.80377E7</v>
      </c>
      <c r="W352" s="32" t="str">
        <f>"－"</f>
        <v>－</v>
      </c>
      <c r="X352" s="36" t="n">
        <f>19</f>
        <v>19.0</v>
      </c>
    </row>
    <row r="353">
      <c r="A353" s="27" t="s">
        <v>42</v>
      </c>
      <c r="B353" s="27" t="s">
        <v>1107</v>
      </c>
      <c r="C353" s="27" t="s">
        <v>1108</v>
      </c>
      <c r="D353" s="27" t="s">
        <v>1109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1.0</v>
      </c>
      <c r="K353" s="33" t="n">
        <f>2102</f>
        <v>2102.0</v>
      </c>
      <c r="L353" s="34" t="s">
        <v>48</v>
      </c>
      <c r="M353" s="33" t="n">
        <f>2115</f>
        <v>2115.0</v>
      </c>
      <c r="N353" s="34" t="s">
        <v>103</v>
      </c>
      <c r="O353" s="33" t="n">
        <f>1957</f>
        <v>1957.0</v>
      </c>
      <c r="P353" s="34" t="s">
        <v>72</v>
      </c>
      <c r="Q353" s="33" t="n">
        <f>2059</f>
        <v>2059.0</v>
      </c>
      <c r="R353" s="34" t="s">
        <v>51</v>
      </c>
      <c r="S353" s="35" t="n">
        <f>2025.84</f>
        <v>2025.84</v>
      </c>
      <c r="T353" s="32" t="n">
        <f>73348</f>
        <v>73348.0</v>
      </c>
      <c r="U353" s="32" t="n">
        <f>70000</f>
        <v>70000.0</v>
      </c>
      <c r="V353" s="32" t="n">
        <f>148670185</f>
        <v>1.48670185E8</v>
      </c>
      <c r="W353" s="32" t="n">
        <f>141853320</f>
        <v>1.4185332E8</v>
      </c>
      <c r="X353" s="36" t="n">
        <f>19</f>
        <v>19.0</v>
      </c>
    </row>
    <row r="354">
      <c r="A354" s="27" t="s">
        <v>42</v>
      </c>
      <c r="B354" s="27" t="s">
        <v>1110</v>
      </c>
      <c r="C354" s="27" t="s">
        <v>1111</v>
      </c>
      <c r="D354" s="27" t="s">
        <v>1112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1.0</v>
      </c>
      <c r="K354" s="33" t="n">
        <f>4415</f>
        <v>4415.0</v>
      </c>
      <c r="L354" s="34" t="s">
        <v>48</v>
      </c>
      <c r="M354" s="33" t="n">
        <f>4500</f>
        <v>4500.0</v>
      </c>
      <c r="N354" s="34" t="s">
        <v>49</v>
      </c>
      <c r="O354" s="33" t="n">
        <f>4295</f>
        <v>4295.0</v>
      </c>
      <c r="P354" s="34" t="s">
        <v>61</v>
      </c>
      <c r="Q354" s="33" t="n">
        <f>4360</f>
        <v>4360.0</v>
      </c>
      <c r="R354" s="34" t="s">
        <v>51</v>
      </c>
      <c r="S354" s="35" t="n">
        <f>4388.42</f>
        <v>4388.42</v>
      </c>
      <c r="T354" s="32" t="n">
        <f>38410</f>
        <v>38410.0</v>
      </c>
      <c r="U354" s="32" t="n">
        <f>23012</f>
        <v>23012.0</v>
      </c>
      <c r="V354" s="32" t="n">
        <f>166989359</f>
        <v>1.66989359E8</v>
      </c>
      <c r="W354" s="32" t="n">
        <f>99329274</f>
        <v>9.9329274E7</v>
      </c>
      <c r="X354" s="36" t="n">
        <f>19</f>
        <v>19.0</v>
      </c>
    </row>
    <row r="355">
      <c r="A355" s="27" t="s">
        <v>42</v>
      </c>
      <c r="B355" s="27" t="s">
        <v>1113</v>
      </c>
      <c r="C355" s="27" t="s">
        <v>1114</v>
      </c>
      <c r="D355" s="27" t="s">
        <v>1115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10.0</v>
      </c>
      <c r="K355" s="33" t="n">
        <f>2804.5</f>
        <v>2804.5</v>
      </c>
      <c r="L355" s="34" t="s">
        <v>48</v>
      </c>
      <c r="M355" s="33" t="n">
        <f>2817.5</f>
        <v>2817.5</v>
      </c>
      <c r="N355" s="34" t="s">
        <v>49</v>
      </c>
      <c r="O355" s="33" t="n">
        <f>2539.5</f>
        <v>2539.5</v>
      </c>
      <c r="P355" s="34" t="s">
        <v>50</v>
      </c>
      <c r="Q355" s="33" t="n">
        <f>2693</f>
        <v>2693.0</v>
      </c>
      <c r="R355" s="34" t="s">
        <v>51</v>
      </c>
      <c r="S355" s="35" t="n">
        <f>2669.58</f>
        <v>2669.58</v>
      </c>
      <c r="T355" s="32" t="n">
        <f>71750</f>
        <v>71750.0</v>
      </c>
      <c r="U355" s="32" t="str">
        <f>"－"</f>
        <v>－</v>
      </c>
      <c r="V355" s="32" t="n">
        <f>188093535</f>
        <v>1.88093535E8</v>
      </c>
      <c r="W355" s="32" t="str">
        <f>"－"</f>
        <v>－</v>
      </c>
      <c r="X355" s="36" t="n">
        <f>19</f>
        <v>19.0</v>
      </c>
    </row>
    <row r="356">
      <c r="A356" s="27" t="s">
        <v>42</v>
      </c>
      <c r="B356" s="27" t="s">
        <v>1116</v>
      </c>
      <c r="C356" s="27" t="s">
        <v>1117</v>
      </c>
      <c r="D356" s="27" t="s">
        <v>1118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10.0</v>
      </c>
      <c r="K356" s="33" t="n">
        <f>263.2</f>
        <v>263.2</v>
      </c>
      <c r="L356" s="34" t="s">
        <v>48</v>
      </c>
      <c r="M356" s="33" t="n">
        <f>290</f>
        <v>290.0</v>
      </c>
      <c r="N356" s="34" t="s">
        <v>226</v>
      </c>
      <c r="O356" s="33" t="n">
        <f>242.4</f>
        <v>242.4</v>
      </c>
      <c r="P356" s="34" t="s">
        <v>86</v>
      </c>
      <c r="Q356" s="33" t="n">
        <f>269.8</f>
        <v>269.8</v>
      </c>
      <c r="R356" s="34" t="s">
        <v>51</v>
      </c>
      <c r="S356" s="35" t="n">
        <f>261.97</f>
        <v>261.97</v>
      </c>
      <c r="T356" s="32" t="n">
        <f>23100</f>
        <v>23100.0</v>
      </c>
      <c r="U356" s="32" t="str">
        <f>"－"</f>
        <v>－</v>
      </c>
      <c r="V356" s="32" t="n">
        <f>6127866</f>
        <v>6127866.0</v>
      </c>
      <c r="W356" s="32" t="str">
        <f>"－"</f>
        <v>－</v>
      </c>
      <c r="X356" s="36" t="n">
        <f>19</f>
        <v>19.0</v>
      </c>
    </row>
    <row r="357">
      <c r="A357" s="27" t="s">
        <v>42</v>
      </c>
      <c r="B357" s="27" t="s">
        <v>1119</v>
      </c>
      <c r="C357" s="27" t="s">
        <v>1120</v>
      </c>
      <c r="D357" s="27" t="s">
        <v>1121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10.0</v>
      </c>
      <c r="K357" s="33" t="n">
        <f>176.4</f>
        <v>176.4</v>
      </c>
      <c r="L357" s="34" t="s">
        <v>48</v>
      </c>
      <c r="M357" s="33" t="n">
        <f>176.4</f>
        <v>176.4</v>
      </c>
      <c r="N357" s="34" t="s">
        <v>48</v>
      </c>
      <c r="O357" s="33" t="n">
        <f>170</f>
        <v>170.0</v>
      </c>
      <c r="P357" s="34" t="s">
        <v>51</v>
      </c>
      <c r="Q357" s="33" t="n">
        <f>170</f>
        <v>170.0</v>
      </c>
      <c r="R357" s="34" t="s">
        <v>51</v>
      </c>
      <c r="S357" s="35" t="n">
        <f>173.18</f>
        <v>173.18</v>
      </c>
      <c r="T357" s="32" t="n">
        <f>60910</f>
        <v>60910.0</v>
      </c>
      <c r="U357" s="32" t="n">
        <f>30</f>
        <v>30.0</v>
      </c>
      <c r="V357" s="32" t="n">
        <f>10533694</f>
        <v>1.0533694E7</v>
      </c>
      <c r="W357" s="32" t="n">
        <f>5155</f>
        <v>5155.0</v>
      </c>
      <c r="X357" s="36" t="n">
        <f>19</f>
        <v>19.0</v>
      </c>
    </row>
    <row r="358">
      <c r="A358" s="27" t="s">
        <v>42</v>
      </c>
      <c r="B358" s="27" t="s">
        <v>1122</v>
      </c>
      <c r="C358" s="27" t="s">
        <v>1123</v>
      </c>
      <c r="D358" s="27" t="s">
        <v>1124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10.0</v>
      </c>
      <c r="K358" s="33" t="n">
        <f>677.4</f>
        <v>677.4</v>
      </c>
      <c r="L358" s="34" t="s">
        <v>103</v>
      </c>
      <c r="M358" s="33" t="n">
        <f>686.9</f>
        <v>686.9</v>
      </c>
      <c r="N358" s="34" t="s">
        <v>734</v>
      </c>
      <c r="O358" s="33" t="n">
        <f>676</f>
        <v>676.0</v>
      </c>
      <c r="P358" s="34" t="s">
        <v>72</v>
      </c>
      <c r="Q358" s="33" t="n">
        <f>679.9</f>
        <v>679.9</v>
      </c>
      <c r="R358" s="34" t="s">
        <v>49</v>
      </c>
      <c r="S358" s="35" t="n">
        <f>679.41</f>
        <v>679.41</v>
      </c>
      <c r="T358" s="32" t="n">
        <f>2840</f>
        <v>2840.0</v>
      </c>
      <c r="U358" s="32" t="str">
        <f>"－"</f>
        <v>－</v>
      </c>
      <c r="V358" s="32" t="n">
        <f>1926487</f>
        <v>1926487.0</v>
      </c>
      <c r="W358" s="32" t="str">
        <f>"－"</f>
        <v>－</v>
      </c>
      <c r="X358" s="36" t="n">
        <f>10</f>
        <v>10.0</v>
      </c>
    </row>
    <row r="359">
      <c r="A359" s="27" t="s">
        <v>42</v>
      </c>
      <c r="B359" s="27" t="s">
        <v>1125</v>
      </c>
      <c r="C359" s="27" t="s">
        <v>1126</v>
      </c>
      <c r="D359" s="27" t="s">
        <v>1127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1.0</v>
      </c>
      <c r="K359" s="33" t="n">
        <f>1535</f>
        <v>1535.0</v>
      </c>
      <c r="L359" s="34" t="s">
        <v>48</v>
      </c>
      <c r="M359" s="33" t="n">
        <f>1568</f>
        <v>1568.0</v>
      </c>
      <c r="N359" s="34" t="s">
        <v>49</v>
      </c>
      <c r="O359" s="33" t="n">
        <f>1358</f>
        <v>1358.0</v>
      </c>
      <c r="P359" s="34" t="s">
        <v>72</v>
      </c>
      <c r="Q359" s="33" t="n">
        <f>1488</f>
        <v>1488.0</v>
      </c>
      <c r="R359" s="34" t="s">
        <v>51</v>
      </c>
      <c r="S359" s="35" t="n">
        <f>1463.79</f>
        <v>1463.79</v>
      </c>
      <c r="T359" s="32" t="n">
        <f>350263</f>
        <v>350263.0</v>
      </c>
      <c r="U359" s="32" t="n">
        <f>1263</f>
        <v>1263.0</v>
      </c>
      <c r="V359" s="32" t="n">
        <f>515837307</f>
        <v>5.15837307E8</v>
      </c>
      <c r="W359" s="32" t="n">
        <f>1758676</f>
        <v>1758676.0</v>
      </c>
      <c r="X359" s="36" t="n">
        <f>19</f>
        <v>19.0</v>
      </c>
    </row>
    <row r="360">
      <c r="A360" s="27" t="s">
        <v>42</v>
      </c>
      <c r="B360" s="27" t="s">
        <v>1128</v>
      </c>
      <c r="C360" s="27" t="s">
        <v>1129</v>
      </c>
      <c r="D360" s="27" t="s">
        <v>1130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917</f>
        <v>917.0</v>
      </c>
      <c r="L360" s="34" t="s">
        <v>48</v>
      </c>
      <c r="M360" s="33" t="n">
        <f>936</f>
        <v>936.0</v>
      </c>
      <c r="N360" s="34" t="s">
        <v>50</v>
      </c>
      <c r="O360" s="33" t="n">
        <f>897</f>
        <v>897.0</v>
      </c>
      <c r="P360" s="34" t="s">
        <v>51</v>
      </c>
      <c r="Q360" s="33" t="n">
        <f>897</f>
        <v>897.0</v>
      </c>
      <c r="R360" s="34" t="s">
        <v>51</v>
      </c>
      <c r="S360" s="35" t="n">
        <f>915.95</f>
        <v>915.95</v>
      </c>
      <c r="T360" s="32" t="n">
        <f>5198</f>
        <v>5198.0</v>
      </c>
      <c r="U360" s="32" t="str">
        <f>"－"</f>
        <v>－</v>
      </c>
      <c r="V360" s="32" t="n">
        <f>4749208</f>
        <v>4749208.0</v>
      </c>
      <c r="W360" s="32" t="str">
        <f>"－"</f>
        <v>－</v>
      </c>
      <c r="X360" s="36" t="n">
        <f>19</f>
        <v>19.0</v>
      </c>
    </row>
    <row r="361">
      <c r="A361" s="27" t="s">
        <v>42</v>
      </c>
      <c r="B361" s="27" t="s">
        <v>1131</v>
      </c>
      <c r="C361" s="27" t="s">
        <v>1132</v>
      </c>
      <c r="D361" s="27" t="s">
        <v>1133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10.0</v>
      </c>
      <c r="K361" s="33" t="n">
        <f>710.6</f>
        <v>710.6</v>
      </c>
      <c r="L361" s="34" t="s">
        <v>48</v>
      </c>
      <c r="M361" s="33" t="n">
        <f>721.8</f>
        <v>721.8</v>
      </c>
      <c r="N361" s="34" t="s">
        <v>61</v>
      </c>
      <c r="O361" s="33" t="n">
        <f>710</f>
        <v>710.0</v>
      </c>
      <c r="P361" s="34" t="s">
        <v>103</v>
      </c>
      <c r="Q361" s="33" t="n">
        <f>717.4</f>
        <v>717.4</v>
      </c>
      <c r="R361" s="34" t="s">
        <v>51</v>
      </c>
      <c r="S361" s="35" t="n">
        <f>716.69</f>
        <v>716.69</v>
      </c>
      <c r="T361" s="32" t="n">
        <f>6867320</f>
        <v>6867320.0</v>
      </c>
      <c r="U361" s="32" t="n">
        <f>3859830</f>
        <v>3859830.0</v>
      </c>
      <c r="V361" s="32" t="n">
        <f>4922670291</f>
        <v>4.922670291E9</v>
      </c>
      <c r="W361" s="32" t="n">
        <f>2770924178</f>
        <v>2.770924178E9</v>
      </c>
      <c r="X361" s="36" t="n">
        <f>19</f>
        <v>19.0</v>
      </c>
    </row>
    <row r="362">
      <c r="A362" s="27" t="s">
        <v>42</v>
      </c>
      <c r="B362" s="27" t="s">
        <v>1134</v>
      </c>
      <c r="C362" s="27" t="s">
        <v>1135</v>
      </c>
      <c r="D362" s="27" t="s">
        <v>1136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10.0</v>
      </c>
      <c r="K362" s="33" t="n">
        <f>686.5</f>
        <v>686.5</v>
      </c>
      <c r="L362" s="34" t="s">
        <v>48</v>
      </c>
      <c r="M362" s="33" t="n">
        <f>701.8</f>
        <v>701.8</v>
      </c>
      <c r="N362" s="34" t="s">
        <v>93</v>
      </c>
      <c r="O362" s="33" t="n">
        <f>686.5</f>
        <v>686.5</v>
      </c>
      <c r="P362" s="34" t="s">
        <v>48</v>
      </c>
      <c r="Q362" s="33" t="n">
        <f>696.2</f>
        <v>696.2</v>
      </c>
      <c r="R362" s="34" t="s">
        <v>51</v>
      </c>
      <c r="S362" s="35" t="n">
        <f>694.28</f>
        <v>694.28</v>
      </c>
      <c r="T362" s="32" t="n">
        <f>2407010</f>
        <v>2407010.0</v>
      </c>
      <c r="U362" s="32" t="n">
        <f>2061220</f>
        <v>2061220.0</v>
      </c>
      <c r="V362" s="32" t="n">
        <f>1667254292</f>
        <v>1.667254292E9</v>
      </c>
      <c r="W362" s="32" t="n">
        <f>1427437412</f>
        <v>1.427437412E9</v>
      </c>
      <c r="X362" s="36" t="n">
        <f>18</f>
        <v>18.0</v>
      </c>
    </row>
    <row r="363">
      <c r="A363" s="27" t="s">
        <v>42</v>
      </c>
      <c r="B363" s="27" t="s">
        <v>1137</v>
      </c>
      <c r="C363" s="27" t="s">
        <v>1138</v>
      </c>
      <c r="D363" s="27" t="s">
        <v>1139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1152</f>
        <v>1152.0</v>
      </c>
      <c r="L363" s="34" t="s">
        <v>48</v>
      </c>
      <c r="M363" s="33" t="n">
        <f>1179</f>
        <v>1179.0</v>
      </c>
      <c r="N363" s="34" t="s">
        <v>464</v>
      </c>
      <c r="O363" s="33" t="n">
        <f>1106</f>
        <v>1106.0</v>
      </c>
      <c r="P363" s="34" t="s">
        <v>119</v>
      </c>
      <c r="Q363" s="33" t="n">
        <f>1153</f>
        <v>1153.0</v>
      </c>
      <c r="R363" s="34" t="s">
        <v>51</v>
      </c>
      <c r="S363" s="35" t="n">
        <f>1140</f>
        <v>1140.0</v>
      </c>
      <c r="T363" s="32" t="n">
        <f>73476</f>
        <v>73476.0</v>
      </c>
      <c r="U363" s="32" t="n">
        <f>3</f>
        <v>3.0</v>
      </c>
      <c r="V363" s="32" t="n">
        <f>83707009</f>
        <v>8.3707009E7</v>
      </c>
      <c r="W363" s="32" t="n">
        <f>3174</f>
        <v>3174.0</v>
      </c>
      <c r="X363" s="36" t="n">
        <f>19</f>
        <v>19.0</v>
      </c>
    </row>
    <row r="364">
      <c r="A364" s="27" t="s">
        <v>42</v>
      </c>
      <c r="B364" s="27" t="s">
        <v>1140</v>
      </c>
      <c r="C364" s="27" t="s">
        <v>1141</v>
      </c>
      <c r="D364" s="27" t="s">
        <v>1142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10.0</v>
      </c>
      <c r="K364" s="33" t="n">
        <f>2599.5</f>
        <v>2599.5</v>
      </c>
      <c r="L364" s="34" t="s">
        <v>48</v>
      </c>
      <c r="M364" s="33" t="n">
        <f>2651.5</f>
        <v>2651.5</v>
      </c>
      <c r="N364" s="34" t="s">
        <v>51</v>
      </c>
      <c r="O364" s="33" t="n">
        <f>2480.5</f>
        <v>2480.5</v>
      </c>
      <c r="P364" s="34" t="s">
        <v>72</v>
      </c>
      <c r="Q364" s="33" t="n">
        <f>2646</f>
        <v>2646.0</v>
      </c>
      <c r="R364" s="34" t="s">
        <v>51</v>
      </c>
      <c r="S364" s="35" t="n">
        <f>2553.29</f>
        <v>2553.29</v>
      </c>
      <c r="T364" s="32" t="n">
        <f>21510</f>
        <v>21510.0</v>
      </c>
      <c r="U364" s="32" t="str">
        <f>"－"</f>
        <v>－</v>
      </c>
      <c r="V364" s="32" t="n">
        <f>54822045</f>
        <v>5.4822045E7</v>
      </c>
      <c r="W364" s="32" t="str">
        <f>"－"</f>
        <v>－</v>
      </c>
      <c r="X364" s="36" t="n">
        <f>19</f>
        <v>19.0</v>
      </c>
    </row>
    <row r="365">
      <c r="A365" s="27" t="s">
        <v>42</v>
      </c>
      <c r="B365" s="27" t="s">
        <v>1143</v>
      </c>
      <c r="C365" s="27" t="s">
        <v>1144</v>
      </c>
      <c r="D365" s="27" t="s">
        <v>1145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10.0</v>
      </c>
      <c r="K365" s="33" t="n">
        <f>2595</f>
        <v>2595.0</v>
      </c>
      <c r="L365" s="34" t="s">
        <v>48</v>
      </c>
      <c r="M365" s="33" t="n">
        <f>2662.5</f>
        <v>2662.5</v>
      </c>
      <c r="N365" s="34" t="s">
        <v>51</v>
      </c>
      <c r="O365" s="33" t="n">
        <f>2506</f>
        <v>2506.0</v>
      </c>
      <c r="P365" s="34" t="s">
        <v>72</v>
      </c>
      <c r="Q365" s="33" t="n">
        <f>2657.5</f>
        <v>2657.5</v>
      </c>
      <c r="R365" s="34" t="s">
        <v>51</v>
      </c>
      <c r="S365" s="35" t="n">
        <f>2570.74</f>
        <v>2570.74</v>
      </c>
      <c r="T365" s="32" t="n">
        <f>85570</f>
        <v>85570.0</v>
      </c>
      <c r="U365" s="32" t="str">
        <f>"－"</f>
        <v>－</v>
      </c>
      <c r="V365" s="32" t="n">
        <f>218671590</f>
        <v>2.1867159E8</v>
      </c>
      <c r="W365" s="32" t="str">
        <f>"－"</f>
        <v>－</v>
      </c>
      <c r="X365" s="36" t="n">
        <f>19</f>
        <v>19.0</v>
      </c>
    </row>
    <row r="366">
      <c r="A366" s="27" t="s">
        <v>42</v>
      </c>
      <c r="B366" s="27" t="s">
        <v>1146</v>
      </c>
      <c r="C366" s="27" t="s">
        <v>1147</v>
      </c>
      <c r="D366" s="27" t="s">
        <v>1148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10.0</v>
      </c>
      <c r="K366" s="33" t="n">
        <f>5359</f>
        <v>5359.0</v>
      </c>
      <c r="L366" s="34" t="s">
        <v>48</v>
      </c>
      <c r="M366" s="33" t="n">
        <f>5436</f>
        <v>5436.0</v>
      </c>
      <c r="N366" s="34" t="s">
        <v>49</v>
      </c>
      <c r="O366" s="33" t="n">
        <f>5276</f>
        <v>5276.0</v>
      </c>
      <c r="P366" s="34" t="s">
        <v>162</v>
      </c>
      <c r="Q366" s="33" t="n">
        <f>5317</f>
        <v>5317.0</v>
      </c>
      <c r="R366" s="34" t="s">
        <v>51</v>
      </c>
      <c r="S366" s="35" t="n">
        <f>5322.38</f>
        <v>5322.38</v>
      </c>
      <c r="T366" s="32" t="n">
        <f>111740</f>
        <v>111740.0</v>
      </c>
      <c r="U366" s="32" t="n">
        <f>40000</f>
        <v>40000.0</v>
      </c>
      <c r="V366" s="32" t="n">
        <f>594998540</f>
        <v>5.9499854E8</v>
      </c>
      <c r="W366" s="32" t="n">
        <f>212340000</f>
        <v>2.1234E8</v>
      </c>
      <c r="X366" s="36" t="n">
        <f>8</f>
        <v>8.0</v>
      </c>
    </row>
    <row r="367">
      <c r="A367" s="27" t="s">
        <v>42</v>
      </c>
      <c r="B367" s="27" t="s">
        <v>1149</v>
      </c>
      <c r="C367" s="27" t="s">
        <v>1150</v>
      </c>
      <c r="D367" s="27" t="s">
        <v>1151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10.0</v>
      </c>
      <c r="K367" s="33" t="n">
        <f>4225</f>
        <v>4225.0</v>
      </c>
      <c r="L367" s="34" t="s">
        <v>103</v>
      </c>
      <c r="M367" s="33" t="n">
        <f>4288</f>
        <v>4288.0</v>
      </c>
      <c r="N367" s="34" t="s">
        <v>68</v>
      </c>
      <c r="O367" s="33" t="n">
        <f>4224</f>
        <v>4224.0</v>
      </c>
      <c r="P367" s="34" t="s">
        <v>103</v>
      </c>
      <c r="Q367" s="33" t="n">
        <f>4257</f>
        <v>4257.0</v>
      </c>
      <c r="R367" s="34" t="s">
        <v>86</v>
      </c>
      <c r="S367" s="35" t="n">
        <f>4260.88</f>
        <v>4260.88</v>
      </c>
      <c r="T367" s="32" t="n">
        <f>25690</f>
        <v>25690.0</v>
      </c>
      <c r="U367" s="32" t="n">
        <f>10</f>
        <v>10.0</v>
      </c>
      <c r="V367" s="32" t="n">
        <f>109657910</f>
        <v>1.0965791E8</v>
      </c>
      <c r="W367" s="32" t="n">
        <f>42570</f>
        <v>42570.0</v>
      </c>
      <c r="X367" s="36" t="n">
        <f>8</f>
        <v>8.0</v>
      </c>
    </row>
    <row r="368">
      <c r="A368" s="27" t="s">
        <v>42</v>
      </c>
      <c r="B368" s="27" t="s">
        <v>1152</v>
      </c>
      <c r="C368" s="27" t="s">
        <v>1153</v>
      </c>
      <c r="D368" s="27" t="s">
        <v>1154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10.0</v>
      </c>
      <c r="K368" s="33" t="n">
        <f>1950</f>
        <v>1950.0</v>
      </c>
      <c r="L368" s="34" t="s">
        <v>48</v>
      </c>
      <c r="M368" s="33" t="n">
        <f>1980</f>
        <v>1980.0</v>
      </c>
      <c r="N368" s="34" t="s">
        <v>61</v>
      </c>
      <c r="O368" s="33" t="n">
        <f>1948</f>
        <v>1948.0</v>
      </c>
      <c r="P368" s="34" t="s">
        <v>72</v>
      </c>
      <c r="Q368" s="33" t="n">
        <f>1969.5</f>
        <v>1969.5</v>
      </c>
      <c r="R368" s="34" t="s">
        <v>51</v>
      </c>
      <c r="S368" s="35" t="n">
        <f>1964.08</f>
        <v>1964.08</v>
      </c>
      <c r="T368" s="32" t="n">
        <f>6360</f>
        <v>6360.0</v>
      </c>
      <c r="U368" s="32" t="str">
        <f>"－"</f>
        <v>－</v>
      </c>
      <c r="V368" s="32" t="n">
        <f>12518140</f>
        <v>1.251814E7</v>
      </c>
      <c r="W368" s="32" t="str">
        <f>"－"</f>
        <v>－</v>
      </c>
      <c r="X368" s="36" t="n">
        <f>12</f>
        <v>12.0</v>
      </c>
    </row>
    <row r="369">
      <c r="A369" s="27" t="s">
        <v>42</v>
      </c>
      <c r="B369" s="27" t="s">
        <v>1155</v>
      </c>
      <c r="C369" s="27" t="s">
        <v>1156</v>
      </c>
      <c r="D369" s="27" t="s">
        <v>1157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1398</f>
        <v>1398.0</v>
      </c>
      <c r="L369" s="34" t="s">
        <v>48</v>
      </c>
      <c r="M369" s="33" t="n">
        <f>1421</f>
        <v>1421.0</v>
      </c>
      <c r="N369" s="34" t="s">
        <v>226</v>
      </c>
      <c r="O369" s="33" t="n">
        <f>1319</f>
        <v>1319.0</v>
      </c>
      <c r="P369" s="34" t="s">
        <v>68</v>
      </c>
      <c r="Q369" s="33" t="n">
        <f>1358</f>
        <v>1358.0</v>
      </c>
      <c r="R369" s="34" t="s">
        <v>51</v>
      </c>
      <c r="S369" s="35" t="n">
        <f>1362.21</f>
        <v>1362.21</v>
      </c>
      <c r="T369" s="32" t="n">
        <f>4409</f>
        <v>4409.0</v>
      </c>
      <c r="U369" s="32" t="str">
        <f>"－"</f>
        <v>－</v>
      </c>
      <c r="V369" s="32" t="n">
        <f>6032073</f>
        <v>6032073.0</v>
      </c>
      <c r="W369" s="32" t="str">
        <f>"－"</f>
        <v>－</v>
      </c>
      <c r="X369" s="36" t="n">
        <f>19</f>
        <v>19.0</v>
      </c>
    </row>
    <row r="370">
      <c r="A370" s="27" t="s">
        <v>42</v>
      </c>
      <c r="B370" s="27" t="s">
        <v>1158</v>
      </c>
      <c r="C370" s="27" t="s">
        <v>1159</v>
      </c>
      <c r="D370" s="27" t="s">
        <v>1160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1.0</v>
      </c>
      <c r="K370" s="33" t="n">
        <f>1146</f>
        <v>1146.0</v>
      </c>
      <c r="L370" s="34" t="s">
        <v>48</v>
      </c>
      <c r="M370" s="33" t="n">
        <f>1158</f>
        <v>1158.0</v>
      </c>
      <c r="N370" s="34" t="s">
        <v>49</v>
      </c>
      <c r="O370" s="33" t="n">
        <f>1063</f>
        <v>1063.0</v>
      </c>
      <c r="P370" s="34" t="s">
        <v>72</v>
      </c>
      <c r="Q370" s="33" t="n">
        <f>1120</f>
        <v>1120.0</v>
      </c>
      <c r="R370" s="34" t="s">
        <v>51</v>
      </c>
      <c r="S370" s="35" t="n">
        <f>1117.74</f>
        <v>1117.74</v>
      </c>
      <c r="T370" s="32" t="n">
        <f>3403610</f>
        <v>3403610.0</v>
      </c>
      <c r="U370" s="32" t="n">
        <f>19359</f>
        <v>19359.0</v>
      </c>
      <c r="V370" s="32" t="n">
        <f>3794842148</f>
        <v>3.794842148E9</v>
      </c>
      <c r="W370" s="32" t="n">
        <f>20753764</f>
        <v>2.0753764E7</v>
      </c>
      <c r="X370" s="36" t="n">
        <f>19</f>
        <v>19.0</v>
      </c>
    </row>
    <row r="371">
      <c r="A371" s="27" t="s">
        <v>42</v>
      </c>
      <c r="B371" s="27" t="s">
        <v>1161</v>
      </c>
      <c r="C371" s="27" t="s">
        <v>1162</v>
      </c>
      <c r="D371" s="27" t="s">
        <v>1163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1.0</v>
      </c>
      <c r="K371" s="33" t="n">
        <f>1000</f>
        <v>1000.0</v>
      </c>
      <c r="L371" s="34" t="s">
        <v>48</v>
      </c>
      <c r="M371" s="33" t="n">
        <f>1032</f>
        <v>1032.0</v>
      </c>
      <c r="N371" s="34" t="s">
        <v>49</v>
      </c>
      <c r="O371" s="33" t="n">
        <f>965</f>
        <v>965.0</v>
      </c>
      <c r="P371" s="34" t="s">
        <v>50</v>
      </c>
      <c r="Q371" s="33" t="n">
        <f>999</f>
        <v>999.0</v>
      </c>
      <c r="R371" s="34" t="s">
        <v>51</v>
      </c>
      <c r="S371" s="35" t="n">
        <f>993</f>
        <v>993.0</v>
      </c>
      <c r="T371" s="32" t="n">
        <f>715633</f>
        <v>715633.0</v>
      </c>
      <c r="U371" s="32" t="n">
        <f>33</f>
        <v>33.0</v>
      </c>
      <c r="V371" s="32" t="n">
        <f>711370104</f>
        <v>7.11370104E8</v>
      </c>
      <c r="W371" s="32" t="n">
        <f>32115</f>
        <v>32115.0</v>
      </c>
      <c r="X371" s="36" t="n">
        <f>19</f>
        <v>19.0</v>
      </c>
    </row>
    <row r="372">
      <c r="A372" s="27" t="s">
        <v>42</v>
      </c>
      <c r="B372" s="27" t="s">
        <v>1164</v>
      </c>
      <c r="C372" s="27" t="s">
        <v>1165</v>
      </c>
      <c r="D372" s="27" t="s">
        <v>1166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1035</f>
        <v>1035.0</v>
      </c>
      <c r="L372" s="34" t="s">
        <v>48</v>
      </c>
      <c r="M372" s="33" t="n">
        <f>1084</f>
        <v>1084.0</v>
      </c>
      <c r="N372" s="34" t="s">
        <v>49</v>
      </c>
      <c r="O372" s="33" t="n">
        <f>934</f>
        <v>934.0</v>
      </c>
      <c r="P372" s="34" t="s">
        <v>50</v>
      </c>
      <c r="Q372" s="33" t="n">
        <f>1069</f>
        <v>1069.0</v>
      </c>
      <c r="R372" s="34" t="s">
        <v>51</v>
      </c>
      <c r="S372" s="35" t="n">
        <f>1001.58</f>
        <v>1001.58</v>
      </c>
      <c r="T372" s="32" t="n">
        <f>35622</f>
        <v>35622.0</v>
      </c>
      <c r="U372" s="32" t="n">
        <f>24281</f>
        <v>24281.0</v>
      </c>
      <c r="V372" s="32" t="n">
        <f>37277109</f>
        <v>3.7277109E7</v>
      </c>
      <c r="W372" s="32" t="n">
        <f>25864291</f>
        <v>2.5864291E7</v>
      </c>
      <c r="X372" s="36" t="n">
        <f>19</f>
        <v>19.0</v>
      </c>
    </row>
    <row r="373">
      <c r="A373" s="27" t="s">
        <v>42</v>
      </c>
      <c r="B373" s="27" t="s">
        <v>1167</v>
      </c>
      <c r="C373" s="27" t="s">
        <v>1168</v>
      </c>
      <c r="D373" s="27" t="s">
        <v>1169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1048</f>
        <v>1048.0</v>
      </c>
      <c r="L373" s="34" t="s">
        <v>48</v>
      </c>
      <c r="M373" s="33" t="n">
        <f>1053</f>
        <v>1053.0</v>
      </c>
      <c r="N373" s="34" t="s">
        <v>103</v>
      </c>
      <c r="O373" s="33" t="n">
        <f>985</f>
        <v>985.0</v>
      </c>
      <c r="P373" s="34" t="s">
        <v>50</v>
      </c>
      <c r="Q373" s="33" t="n">
        <f>1017</f>
        <v>1017.0</v>
      </c>
      <c r="R373" s="34" t="s">
        <v>51</v>
      </c>
      <c r="S373" s="35" t="n">
        <f>1019.26</f>
        <v>1019.26</v>
      </c>
      <c r="T373" s="32" t="n">
        <f>455754</f>
        <v>455754.0</v>
      </c>
      <c r="U373" s="32" t="n">
        <f>20210</f>
        <v>20210.0</v>
      </c>
      <c r="V373" s="32" t="n">
        <f>463879690</f>
        <v>4.6387969E8</v>
      </c>
      <c r="W373" s="32" t="n">
        <f>20117095</f>
        <v>2.0117095E7</v>
      </c>
      <c r="X373" s="36" t="n">
        <f>19</f>
        <v>19.0</v>
      </c>
    </row>
    <row r="374">
      <c r="A374" s="27" t="s">
        <v>42</v>
      </c>
      <c r="B374" s="27" t="s">
        <v>1170</v>
      </c>
      <c r="C374" s="27" t="s">
        <v>1171</v>
      </c>
      <c r="D374" s="27" t="s">
        <v>1172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42330</f>
        <v>42330.0</v>
      </c>
      <c r="L374" s="34" t="s">
        <v>48</v>
      </c>
      <c r="M374" s="33" t="n">
        <f>44730</f>
        <v>44730.0</v>
      </c>
      <c r="N374" s="34" t="s">
        <v>464</v>
      </c>
      <c r="O374" s="33" t="n">
        <f>37470</f>
        <v>37470.0</v>
      </c>
      <c r="P374" s="34" t="s">
        <v>72</v>
      </c>
      <c r="Q374" s="33" t="n">
        <f>43670</f>
        <v>43670.0</v>
      </c>
      <c r="R374" s="34" t="s">
        <v>51</v>
      </c>
      <c r="S374" s="35" t="n">
        <f>41511.05</f>
        <v>41511.05</v>
      </c>
      <c r="T374" s="32" t="n">
        <f>267735</f>
        <v>267735.0</v>
      </c>
      <c r="U374" s="32" t="n">
        <f>153</f>
        <v>153.0</v>
      </c>
      <c r="V374" s="32" t="n">
        <f>11169222710</f>
        <v>1.116922271E10</v>
      </c>
      <c r="W374" s="32" t="n">
        <f>6652800</f>
        <v>6652800.0</v>
      </c>
      <c r="X374" s="36" t="n">
        <f>19</f>
        <v>19.0</v>
      </c>
    </row>
    <row r="375">
      <c r="A375" s="27" t="s">
        <v>42</v>
      </c>
      <c r="B375" s="27" t="s">
        <v>1173</v>
      </c>
      <c r="C375" s="27" t="s">
        <v>1174</v>
      </c>
      <c r="D375" s="27" t="s">
        <v>1175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20480</f>
        <v>20480.0</v>
      </c>
      <c r="L375" s="34" t="s">
        <v>48</v>
      </c>
      <c r="M375" s="33" t="n">
        <f>23485</f>
        <v>23485.0</v>
      </c>
      <c r="N375" s="34" t="s">
        <v>93</v>
      </c>
      <c r="O375" s="33" t="n">
        <f>19050</f>
        <v>19050.0</v>
      </c>
      <c r="P375" s="34" t="s">
        <v>464</v>
      </c>
      <c r="Q375" s="33" t="n">
        <f>19565</f>
        <v>19565.0</v>
      </c>
      <c r="R375" s="34" t="s">
        <v>51</v>
      </c>
      <c r="S375" s="35" t="n">
        <f>20926.58</f>
        <v>20926.58</v>
      </c>
      <c r="T375" s="32" t="n">
        <f>261343</f>
        <v>261343.0</v>
      </c>
      <c r="U375" s="32" t="str">
        <f>"－"</f>
        <v>－</v>
      </c>
      <c r="V375" s="32" t="n">
        <f>5474409725</f>
        <v>5.474409725E9</v>
      </c>
      <c r="W375" s="32" t="str">
        <f>"－"</f>
        <v>－</v>
      </c>
      <c r="X375" s="36" t="n">
        <f>19</f>
        <v>19.0</v>
      </c>
    </row>
    <row r="376">
      <c r="A376" s="27" t="s">
        <v>42</v>
      </c>
      <c r="B376" s="27" t="s">
        <v>1176</v>
      </c>
      <c r="C376" s="27" t="s">
        <v>1177</v>
      </c>
      <c r="D376" s="27" t="s">
        <v>1178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121200</f>
        <v>121200.0</v>
      </c>
      <c r="L376" s="34" t="s">
        <v>48</v>
      </c>
      <c r="M376" s="33" t="n">
        <f>123900</f>
        <v>123900.0</v>
      </c>
      <c r="N376" s="34" t="s">
        <v>49</v>
      </c>
      <c r="O376" s="33" t="n">
        <f>115200</f>
        <v>115200.0</v>
      </c>
      <c r="P376" s="34" t="s">
        <v>72</v>
      </c>
      <c r="Q376" s="33" t="n">
        <f>122800</f>
        <v>122800.0</v>
      </c>
      <c r="R376" s="34" t="s">
        <v>51</v>
      </c>
      <c r="S376" s="35" t="n">
        <f>119852.63</f>
        <v>119852.63</v>
      </c>
      <c r="T376" s="32" t="n">
        <f>13074</f>
        <v>13074.0</v>
      </c>
      <c r="U376" s="32" t="n">
        <f>2054</f>
        <v>2054.0</v>
      </c>
      <c r="V376" s="32" t="n">
        <f>1566979271</f>
        <v>1.566979271E9</v>
      </c>
      <c r="W376" s="32" t="n">
        <f>244061471</f>
        <v>2.44061471E8</v>
      </c>
      <c r="X376" s="36" t="n">
        <f>19</f>
        <v>19.0</v>
      </c>
    </row>
    <row r="377">
      <c r="A377" s="27" t="s">
        <v>42</v>
      </c>
      <c r="B377" s="27" t="s">
        <v>1179</v>
      </c>
      <c r="C377" s="27" t="s">
        <v>1180</v>
      </c>
      <c r="D377" s="27" t="s">
        <v>1181</v>
      </c>
      <c r="E377" s="28" t="s">
        <v>46</v>
      </c>
      <c r="F377" s="29" t="s">
        <v>46</v>
      </c>
      <c r="G377" s="30" t="s">
        <v>46</v>
      </c>
      <c r="H377" s="31"/>
      <c r="I377" s="31" t="s">
        <v>421</v>
      </c>
      <c r="J377" s="32" t="n">
        <v>1.0</v>
      </c>
      <c r="K377" s="33" t="n">
        <f>81900</f>
        <v>81900.0</v>
      </c>
      <c r="L377" s="34" t="s">
        <v>48</v>
      </c>
      <c r="M377" s="33" t="n">
        <f>84800</f>
        <v>84800.0</v>
      </c>
      <c r="N377" s="34" t="s">
        <v>49</v>
      </c>
      <c r="O377" s="33" t="n">
        <f>78700</f>
        <v>78700.0</v>
      </c>
      <c r="P377" s="34" t="s">
        <v>50</v>
      </c>
      <c r="Q377" s="33" t="n">
        <f>83600</f>
        <v>83600.0</v>
      </c>
      <c r="R377" s="34" t="s">
        <v>51</v>
      </c>
      <c r="S377" s="35" t="n">
        <f>81068.42</f>
        <v>81068.42</v>
      </c>
      <c r="T377" s="32" t="n">
        <f>33826</f>
        <v>33826.0</v>
      </c>
      <c r="U377" s="32" t="n">
        <f>3696</f>
        <v>3696.0</v>
      </c>
      <c r="V377" s="32" t="n">
        <f>2741003245</f>
        <v>2.741003245E9</v>
      </c>
      <c r="W377" s="32" t="n">
        <f>299067745</f>
        <v>2.99067745E8</v>
      </c>
      <c r="X377" s="36" t="n">
        <f>19</f>
        <v>19.0</v>
      </c>
    </row>
    <row r="378">
      <c r="A378" s="27" t="s">
        <v>42</v>
      </c>
      <c r="B378" s="27" t="s">
        <v>1182</v>
      </c>
      <c r="C378" s="27" t="s">
        <v>1183</v>
      </c>
      <c r="D378" s="27" t="s">
        <v>1184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118000</f>
        <v>118000.0</v>
      </c>
      <c r="L378" s="34" t="s">
        <v>48</v>
      </c>
      <c r="M378" s="33" t="n">
        <f>118700</f>
        <v>118700.0</v>
      </c>
      <c r="N378" s="34" t="s">
        <v>103</v>
      </c>
      <c r="O378" s="33" t="n">
        <f>112300</f>
        <v>112300.0</v>
      </c>
      <c r="P378" s="34" t="s">
        <v>72</v>
      </c>
      <c r="Q378" s="33" t="n">
        <f>115800</f>
        <v>115800.0</v>
      </c>
      <c r="R378" s="34" t="s">
        <v>51</v>
      </c>
      <c r="S378" s="35" t="n">
        <f>115521.05</f>
        <v>115521.05</v>
      </c>
      <c r="T378" s="32" t="n">
        <f>33774</f>
        <v>33774.0</v>
      </c>
      <c r="U378" s="32" t="n">
        <f>5260</f>
        <v>5260.0</v>
      </c>
      <c r="V378" s="32" t="n">
        <f>3899811061</f>
        <v>3.899811061E9</v>
      </c>
      <c r="W378" s="32" t="n">
        <f>607840261</f>
        <v>6.07840261E8</v>
      </c>
      <c r="X378" s="36" t="n">
        <f>19</f>
        <v>19.0</v>
      </c>
    </row>
    <row r="379">
      <c r="A379" s="27" t="s">
        <v>42</v>
      </c>
      <c r="B379" s="27" t="s">
        <v>1185</v>
      </c>
      <c r="C379" s="27" t="s">
        <v>1186</v>
      </c>
      <c r="D379" s="27" t="s">
        <v>1187</v>
      </c>
      <c r="E379" s="28" t="s">
        <v>46</v>
      </c>
      <c r="F379" s="29" t="s">
        <v>46</v>
      </c>
      <c r="G379" s="30" t="s">
        <v>46</v>
      </c>
      <c r="H379" s="31"/>
      <c r="I379" s="31" t="s">
        <v>421</v>
      </c>
      <c r="J379" s="32" t="n">
        <v>1.0</v>
      </c>
      <c r="K379" s="33" t="n">
        <f>117000</f>
        <v>117000.0</v>
      </c>
      <c r="L379" s="34" t="s">
        <v>48</v>
      </c>
      <c r="M379" s="33" t="n">
        <f>117700</f>
        <v>117700.0</v>
      </c>
      <c r="N379" s="34" t="s">
        <v>48</v>
      </c>
      <c r="O379" s="33" t="n">
        <f>111800</f>
        <v>111800.0</v>
      </c>
      <c r="P379" s="34" t="s">
        <v>72</v>
      </c>
      <c r="Q379" s="33" t="n">
        <f>113500</f>
        <v>113500.0</v>
      </c>
      <c r="R379" s="34" t="s">
        <v>51</v>
      </c>
      <c r="S379" s="35" t="n">
        <f>114342.11</f>
        <v>114342.11</v>
      </c>
      <c r="T379" s="32" t="n">
        <f>14967</f>
        <v>14967.0</v>
      </c>
      <c r="U379" s="32" t="n">
        <f>1485</f>
        <v>1485.0</v>
      </c>
      <c r="V379" s="32" t="n">
        <f>1711050028</f>
        <v>1.711050028E9</v>
      </c>
      <c r="W379" s="32" t="n">
        <f>169623128</f>
        <v>1.69623128E8</v>
      </c>
      <c r="X379" s="36" t="n">
        <f>19</f>
        <v>19.0</v>
      </c>
    </row>
    <row r="380">
      <c r="A380" s="27" t="s">
        <v>42</v>
      </c>
      <c r="B380" s="27" t="s">
        <v>1188</v>
      </c>
      <c r="C380" s="27" t="s">
        <v>1189</v>
      </c>
      <c r="D380" s="27" t="s">
        <v>1190</v>
      </c>
      <c r="E380" s="28" t="s">
        <v>46</v>
      </c>
      <c r="F380" s="29" t="s">
        <v>46</v>
      </c>
      <c r="G380" s="30" t="s">
        <v>46</v>
      </c>
      <c r="H380" s="31"/>
      <c r="I380" s="31" t="s">
        <v>47</v>
      </c>
      <c r="J380" s="32" t="n">
        <v>1.0</v>
      </c>
      <c r="K380" s="33" t="n">
        <f>664000</f>
        <v>664000.0</v>
      </c>
      <c r="L380" s="34" t="s">
        <v>48</v>
      </c>
      <c r="M380" s="33" t="n">
        <f>669000</f>
        <v>669000.0</v>
      </c>
      <c r="N380" s="34" t="s">
        <v>48</v>
      </c>
      <c r="O380" s="33" t="n">
        <f>633000</f>
        <v>633000.0</v>
      </c>
      <c r="P380" s="34" t="s">
        <v>567</v>
      </c>
      <c r="Q380" s="33" t="n">
        <f>638000</f>
        <v>638000.0</v>
      </c>
      <c r="R380" s="34" t="s">
        <v>51</v>
      </c>
      <c r="S380" s="35" t="n">
        <f>651315.79</f>
        <v>651315.79</v>
      </c>
      <c r="T380" s="32" t="n">
        <f>31363</f>
        <v>31363.0</v>
      </c>
      <c r="U380" s="32" t="n">
        <f>8837</f>
        <v>8837.0</v>
      </c>
      <c r="V380" s="32" t="n">
        <f>20403195773</f>
        <v>2.0403195773E10</v>
      </c>
      <c r="W380" s="32" t="n">
        <f>5749446773</f>
        <v>5.749446773E9</v>
      </c>
      <c r="X380" s="36" t="n">
        <f>19</f>
        <v>19.0</v>
      </c>
    </row>
    <row r="381">
      <c r="A381" s="27" t="s">
        <v>42</v>
      </c>
      <c r="B381" s="27" t="s">
        <v>1191</v>
      </c>
      <c r="C381" s="27" t="s">
        <v>1192</v>
      </c>
      <c r="D381" s="27" t="s">
        <v>1193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129800</f>
        <v>129800.0</v>
      </c>
      <c r="L381" s="34" t="s">
        <v>48</v>
      </c>
      <c r="M381" s="33" t="n">
        <f>131100</f>
        <v>131100.0</v>
      </c>
      <c r="N381" s="34" t="s">
        <v>49</v>
      </c>
      <c r="O381" s="33" t="n">
        <f>124100</f>
        <v>124100.0</v>
      </c>
      <c r="P381" s="34" t="s">
        <v>226</v>
      </c>
      <c r="Q381" s="33" t="n">
        <f>127300</f>
        <v>127300.0</v>
      </c>
      <c r="R381" s="34" t="s">
        <v>51</v>
      </c>
      <c r="S381" s="35" t="n">
        <f>127352.63</f>
        <v>127352.63</v>
      </c>
      <c r="T381" s="32" t="n">
        <f>118050</f>
        <v>118050.0</v>
      </c>
      <c r="U381" s="32" t="n">
        <f>23515</f>
        <v>23515.0</v>
      </c>
      <c r="V381" s="32" t="n">
        <f>15013639998</f>
        <v>1.5013639998E10</v>
      </c>
      <c r="W381" s="32" t="n">
        <f>2991819298</f>
        <v>2.991819298E9</v>
      </c>
      <c r="X381" s="36" t="n">
        <f>19</f>
        <v>19.0</v>
      </c>
    </row>
    <row r="382">
      <c r="A382" s="27" t="s">
        <v>42</v>
      </c>
      <c r="B382" s="27" t="s">
        <v>1194</v>
      </c>
      <c r="C382" s="27" t="s">
        <v>1195</v>
      </c>
      <c r="D382" s="27" t="s">
        <v>1196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124500</f>
        <v>124500.0</v>
      </c>
      <c r="L382" s="34" t="s">
        <v>48</v>
      </c>
      <c r="M382" s="33" t="n">
        <f>124900</f>
        <v>124900.0</v>
      </c>
      <c r="N382" s="34" t="s">
        <v>48</v>
      </c>
      <c r="O382" s="33" t="n">
        <f>119500</f>
        <v>119500.0</v>
      </c>
      <c r="P382" s="34" t="s">
        <v>50</v>
      </c>
      <c r="Q382" s="33" t="n">
        <f>119600</f>
        <v>119600.0</v>
      </c>
      <c r="R382" s="34" t="s">
        <v>51</v>
      </c>
      <c r="S382" s="35" t="n">
        <f>121584.21</f>
        <v>121584.21</v>
      </c>
      <c r="T382" s="32" t="n">
        <f>169774</f>
        <v>169774.0</v>
      </c>
      <c r="U382" s="32" t="n">
        <f>30644</f>
        <v>30644.0</v>
      </c>
      <c r="V382" s="32" t="n">
        <f>20619852738</f>
        <v>2.0619852738E10</v>
      </c>
      <c r="W382" s="32" t="n">
        <f>3724688338</f>
        <v>3.724688338E9</v>
      </c>
      <c r="X382" s="36" t="n">
        <f>19</f>
        <v>19.0</v>
      </c>
    </row>
    <row r="383">
      <c r="A383" s="27" t="s">
        <v>42</v>
      </c>
      <c r="B383" s="27" t="s">
        <v>1197</v>
      </c>
      <c r="C383" s="27" t="s">
        <v>1198</v>
      </c>
      <c r="D383" s="27" t="s">
        <v>1199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332000</f>
        <v>332000.0</v>
      </c>
      <c r="L383" s="34" t="s">
        <v>48</v>
      </c>
      <c r="M383" s="33" t="n">
        <f>343500</f>
        <v>343500.0</v>
      </c>
      <c r="N383" s="34" t="s">
        <v>49</v>
      </c>
      <c r="O383" s="33" t="n">
        <f>322500</f>
        <v>322500.0</v>
      </c>
      <c r="P383" s="34" t="s">
        <v>226</v>
      </c>
      <c r="Q383" s="33" t="n">
        <f>336500</f>
        <v>336500.0</v>
      </c>
      <c r="R383" s="34" t="s">
        <v>51</v>
      </c>
      <c r="S383" s="35" t="n">
        <f>333157.89</f>
        <v>333157.89</v>
      </c>
      <c r="T383" s="32" t="n">
        <f>91677</f>
        <v>91677.0</v>
      </c>
      <c r="U383" s="32" t="n">
        <f>22874</f>
        <v>22874.0</v>
      </c>
      <c r="V383" s="32" t="n">
        <f>30546622516</f>
        <v>3.0546622516E10</v>
      </c>
      <c r="W383" s="32" t="n">
        <f>7614152516</f>
        <v>7.614152516E9</v>
      </c>
      <c r="X383" s="36" t="n">
        <f>19</f>
        <v>19.0</v>
      </c>
    </row>
    <row r="384">
      <c r="A384" s="27" t="s">
        <v>42</v>
      </c>
      <c r="B384" s="27" t="s">
        <v>1200</v>
      </c>
      <c r="C384" s="27" t="s">
        <v>1201</v>
      </c>
      <c r="D384" s="27" t="s">
        <v>1202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345000</f>
        <v>345000.0</v>
      </c>
      <c r="L384" s="34" t="s">
        <v>48</v>
      </c>
      <c r="M384" s="33" t="n">
        <f>346500</f>
        <v>346500.0</v>
      </c>
      <c r="N384" s="34" t="s">
        <v>48</v>
      </c>
      <c r="O384" s="33" t="n">
        <f>323000</f>
        <v>323000.0</v>
      </c>
      <c r="P384" s="34" t="s">
        <v>68</v>
      </c>
      <c r="Q384" s="33" t="n">
        <f>327000</f>
        <v>327000.0</v>
      </c>
      <c r="R384" s="34" t="s">
        <v>51</v>
      </c>
      <c r="S384" s="35" t="n">
        <f>331315.79</f>
        <v>331315.79</v>
      </c>
      <c r="T384" s="32" t="n">
        <f>70532</f>
        <v>70532.0</v>
      </c>
      <c r="U384" s="32" t="n">
        <f>18443</f>
        <v>18443.0</v>
      </c>
      <c r="V384" s="32" t="n">
        <f>23315649697</f>
        <v>2.3315649697E10</v>
      </c>
      <c r="W384" s="32" t="n">
        <f>6110340697</f>
        <v>6.110340697E9</v>
      </c>
      <c r="X384" s="36" t="n">
        <f>19</f>
        <v>19.0</v>
      </c>
    </row>
    <row r="385">
      <c r="A385" s="27" t="s">
        <v>42</v>
      </c>
      <c r="B385" s="27" t="s">
        <v>1203</v>
      </c>
      <c r="C385" s="27" t="s">
        <v>1204</v>
      </c>
      <c r="D385" s="27" t="s">
        <v>1205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134100</f>
        <v>134100.0</v>
      </c>
      <c r="L385" s="34" t="s">
        <v>48</v>
      </c>
      <c r="M385" s="33" t="n">
        <f>137800</f>
        <v>137800.0</v>
      </c>
      <c r="N385" s="34" t="s">
        <v>49</v>
      </c>
      <c r="O385" s="33" t="n">
        <f>131600</f>
        <v>131600.0</v>
      </c>
      <c r="P385" s="34" t="s">
        <v>93</v>
      </c>
      <c r="Q385" s="33" t="n">
        <f>132700</f>
        <v>132700.0</v>
      </c>
      <c r="R385" s="34" t="s">
        <v>51</v>
      </c>
      <c r="S385" s="35" t="n">
        <f>133994.74</f>
        <v>133994.74</v>
      </c>
      <c r="T385" s="32" t="n">
        <f>266741</f>
        <v>266741.0</v>
      </c>
      <c r="U385" s="32" t="n">
        <f>56116</f>
        <v>56116.0</v>
      </c>
      <c r="V385" s="32" t="n">
        <f>35762894939</f>
        <v>3.5762894939E10</v>
      </c>
      <c r="W385" s="32" t="n">
        <f>7502740939</f>
        <v>7.502740939E9</v>
      </c>
      <c r="X385" s="36" t="n">
        <f>19</f>
        <v>19.0</v>
      </c>
    </row>
    <row r="386">
      <c r="A386" s="27" t="s">
        <v>42</v>
      </c>
      <c r="B386" s="27" t="s">
        <v>1206</v>
      </c>
      <c r="C386" s="27" t="s">
        <v>1207</v>
      </c>
      <c r="D386" s="27" t="s">
        <v>1208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322500</f>
        <v>322500.0</v>
      </c>
      <c r="L386" s="34" t="s">
        <v>48</v>
      </c>
      <c r="M386" s="33" t="n">
        <f>335500</f>
        <v>335500.0</v>
      </c>
      <c r="N386" s="34" t="s">
        <v>86</v>
      </c>
      <c r="O386" s="33" t="n">
        <f>317500</f>
        <v>317500.0</v>
      </c>
      <c r="P386" s="34" t="s">
        <v>567</v>
      </c>
      <c r="Q386" s="33" t="n">
        <f>324000</f>
        <v>324000.0</v>
      </c>
      <c r="R386" s="34" t="s">
        <v>51</v>
      </c>
      <c r="S386" s="35" t="n">
        <f>326710.53</f>
        <v>326710.53</v>
      </c>
      <c r="T386" s="32" t="n">
        <f>52549</f>
        <v>52549.0</v>
      </c>
      <c r="U386" s="32" t="n">
        <f>14362</f>
        <v>14362.0</v>
      </c>
      <c r="V386" s="32" t="n">
        <f>17159518832</f>
        <v>1.7159518832E10</v>
      </c>
      <c r="W386" s="32" t="n">
        <f>4685530832</f>
        <v>4.685530832E9</v>
      </c>
      <c r="X386" s="36" t="n">
        <f>19</f>
        <v>19.0</v>
      </c>
    </row>
    <row r="387">
      <c r="A387" s="27" t="s">
        <v>42</v>
      </c>
      <c r="B387" s="27" t="s">
        <v>1209</v>
      </c>
      <c r="C387" s="27" t="s">
        <v>1210</v>
      </c>
      <c r="D387" s="27" t="s">
        <v>1211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259000</f>
        <v>259000.0</v>
      </c>
      <c r="L387" s="34" t="s">
        <v>48</v>
      </c>
      <c r="M387" s="33" t="n">
        <f>277700</f>
        <v>277700.0</v>
      </c>
      <c r="N387" s="34" t="s">
        <v>267</v>
      </c>
      <c r="O387" s="33" t="n">
        <f>244700</f>
        <v>244700.0</v>
      </c>
      <c r="P387" s="34" t="s">
        <v>51</v>
      </c>
      <c r="Q387" s="33" t="n">
        <f>246200</f>
        <v>246200.0</v>
      </c>
      <c r="R387" s="34" t="s">
        <v>51</v>
      </c>
      <c r="S387" s="35" t="n">
        <f>260857.89</f>
        <v>260857.89</v>
      </c>
      <c r="T387" s="32" t="n">
        <f>234247</f>
        <v>234247.0</v>
      </c>
      <c r="U387" s="32" t="n">
        <f>39750</f>
        <v>39750.0</v>
      </c>
      <c r="V387" s="32" t="n">
        <f>61167831152</f>
        <v>6.1167831152E10</v>
      </c>
      <c r="W387" s="32" t="n">
        <f>10404176852</f>
        <v>1.0404176852E10</v>
      </c>
      <c r="X387" s="36" t="n">
        <f>19</f>
        <v>19.0</v>
      </c>
    </row>
    <row r="388">
      <c r="A388" s="27" t="s">
        <v>42</v>
      </c>
      <c r="B388" s="27" t="s">
        <v>1212</v>
      </c>
      <c r="C388" s="27" t="s">
        <v>1213</v>
      </c>
      <c r="D388" s="27" t="s">
        <v>1214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510000</f>
        <v>510000.0</v>
      </c>
      <c r="L388" s="34" t="s">
        <v>48</v>
      </c>
      <c r="M388" s="33" t="n">
        <f>511000</f>
        <v>511000.0</v>
      </c>
      <c r="N388" s="34" t="s">
        <v>48</v>
      </c>
      <c r="O388" s="33" t="n">
        <f>471500</f>
        <v>471500.0</v>
      </c>
      <c r="P388" s="34" t="s">
        <v>61</v>
      </c>
      <c r="Q388" s="33" t="n">
        <f>490500</f>
        <v>490500.0</v>
      </c>
      <c r="R388" s="34" t="s">
        <v>51</v>
      </c>
      <c r="S388" s="35" t="n">
        <f>485973.68</f>
        <v>485973.68</v>
      </c>
      <c r="T388" s="32" t="n">
        <f>23867</f>
        <v>23867.0</v>
      </c>
      <c r="U388" s="32" t="n">
        <f>3475</f>
        <v>3475.0</v>
      </c>
      <c r="V388" s="32" t="n">
        <f>11622667280</f>
        <v>1.162266728E10</v>
      </c>
      <c r="W388" s="32" t="n">
        <f>1692962280</f>
        <v>1.69296228E9</v>
      </c>
      <c r="X388" s="36" t="n">
        <f>19</f>
        <v>19.0</v>
      </c>
    </row>
    <row r="389">
      <c r="A389" s="27" t="s">
        <v>42</v>
      </c>
      <c r="B389" s="27" t="s">
        <v>1215</v>
      </c>
      <c r="C389" s="27" t="s">
        <v>1216</v>
      </c>
      <c r="D389" s="27" t="s">
        <v>1217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250200</f>
        <v>250200.0</v>
      </c>
      <c r="L389" s="34" t="s">
        <v>48</v>
      </c>
      <c r="M389" s="33" t="n">
        <f>252000</f>
        <v>252000.0</v>
      </c>
      <c r="N389" s="34" t="s">
        <v>119</v>
      </c>
      <c r="O389" s="33" t="n">
        <f>241200</f>
        <v>241200.0</v>
      </c>
      <c r="P389" s="34" t="s">
        <v>50</v>
      </c>
      <c r="Q389" s="33" t="n">
        <f>248100</f>
        <v>248100.0</v>
      </c>
      <c r="R389" s="34" t="s">
        <v>51</v>
      </c>
      <c r="S389" s="35" t="n">
        <f>247184.21</f>
        <v>247184.21</v>
      </c>
      <c r="T389" s="32" t="n">
        <f>10695</f>
        <v>10695.0</v>
      </c>
      <c r="U389" s="32" t="n">
        <f>1648</f>
        <v>1648.0</v>
      </c>
      <c r="V389" s="32" t="n">
        <f>2644673558</f>
        <v>2.644673558E9</v>
      </c>
      <c r="W389" s="32" t="n">
        <f>406942758</f>
        <v>4.06942758E8</v>
      </c>
      <c r="X389" s="36" t="n">
        <f>19</f>
        <v>19.0</v>
      </c>
    </row>
    <row r="390">
      <c r="A390" s="27" t="s">
        <v>42</v>
      </c>
      <c r="B390" s="27" t="s">
        <v>1218</v>
      </c>
      <c r="C390" s="27" t="s">
        <v>1219</v>
      </c>
      <c r="D390" s="27" t="s">
        <v>1220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133700</f>
        <v>133700.0</v>
      </c>
      <c r="L390" s="34" t="s">
        <v>48</v>
      </c>
      <c r="M390" s="33" t="n">
        <f>135800</f>
        <v>135800.0</v>
      </c>
      <c r="N390" s="34" t="s">
        <v>49</v>
      </c>
      <c r="O390" s="33" t="n">
        <f>131000</f>
        <v>131000.0</v>
      </c>
      <c r="P390" s="34" t="s">
        <v>51</v>
      </c>
      <c r="Q390" s="33" t="n">
        <f>131300</f>
        <v>131300.0</v>
      </c>
      <c r="R390" s="34" t="s">
        <v>51</v>
      </c>
      <c r="S390" s="35" t="n">
        <f>133678.95</f>
        <v>133678.95</v>
      </c>
      <c r="T390" s="32" t="n">
        <f>102644</f>
        <v>102644.0</v>
      </c>
      <c r="U390" s="32" t="n">
        <f>17406</f>
        <v>17406.0</v>
      </c>
      <c r="V390" s="32" t="n">
        <f>13723575187</f>
        <v>1.3723575187E10</v>
      </c>
      <c r="W390" s="32" t="n">
        <f>2322900287</f>
        <v>2.322900287E9</v>
      </c>
      <c r="X390" s="36" t="n">
        <f>19</f>
        <v>19.0</v>
      </c>
    </row>
    <row r="391">
      <c r="A391" s="27" t="s">
        <v>42</v>
      </c>
      <c r="B391" s="27" t="s">
        <v>1221</v>
      </c>
      <c r="C391" s="27" t="s">
        <v>1222</v>
      </c>
      <c r="D391" s="27" t="s">
        <v>1223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141400</f>
        <v>141400.0</v>
      </c>
      <c r="L391" s="34" t="s">
        <v>48</v>
      </c>
      <c r="M391" s="33" t="n">
        <f>142000</f>
        <v>142000.0</v>
      </c>
      <c r="N391" s="34" t="s">
        <v>48</v>
      </c>
      <c r="O391" s="33" t="n">
        <f>138300</f>
        <v>138300.0</v>
      </c>
      <c r="P391" s="34" t="s">
        <v>50</v>
      </c>
      <c r="Q391" s="33" t="n">
        <f>139000</f>
        <v>139000.0</v>
      </c>
      <c r="R391" s="34" t="s">
        <v>51</v>
      </c>
      <c r="S391" s="35" t="n">
        <f>139889.47</f>
        <v>139889.47</v>
      </c>
      <c r="T391" s="32" t="n">
        <f>117312</f>
        <v>117312.0</v>
      </c>
      <c r="U391" s="32" t="n">
        <f>45340</f>
        <v>45340.0</v>
      </c>
      <c r="V391" s="32" t="n">
        <f>16402961313</f>
        <v>1.6402961313E10</v>
      </c>
      <c r="W391" s="32" t="n">
        <f>6336218013</f>
        <v>6.336218013E9</v>
      </c>
      <c r="X391" s="36" t="n">
        <f>19</f>
        <v>19.0</v>
      </c>
    </row>
    <row r="392">
      <c r="A392" s="27" t="s">
        <v>42</v>
      </c>
      <c r="B392" s="27" t="s">
        <v>1224</v>
      </c>
      <c r="C392" s="27" t="s">
        <v>1225</v>
      </c>
      <c r="D392" s="27" t="s">
        <v>1226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325500</f>
        <v>325500.0</v>
      </c>
      <c r="L392" s="34" t="s">
        <v>48</v>
      </c>
      <c r="M392" s="33" t="n">
        <f>329500</f>
        <v>329500.0</v>
      </c>
      <c r="N392" s="34" t="s">
        <v>49</v>
      </c>
      <c r="O392" s="33" t="n">
        <f>311000</f>
        <v>311000.0</v>
      </c>
      <c r="P392" s="34" t="s">
        <v>50</v>
      </c>
      <c r="Q392" s="33" t="n">
        <f>324000</f>
        <v>324000.0</v>
      </c>
      <c r="R392" s="34" t="s">
        <v>51</v>
      </c>
      <c r="S392" s="35" t="n">
        <f>317105.26</f>
        <v>317105.26</v>
      </c>
      <c r="T392" s="32" t="n">
        <f>32732</f>
        <v>32732.0</v>
      </c>
      <c r="U392" s="32" t="n">
        <f>6432</f>
        <v>6432.0</v>
      </c>
      <c r="V392" s="32" t="n">
        <f>10400065607</f>
        <v>1.0400065607E10</v>
      </c>
      <c r="W392" s="32" t="n">
        <f>2038605107</f>
        <v>2.038605107E9</v>
      </c>
      <c r="X392" s="36" t="n">
        <f>19</f>
        <v>19.0</v>
      </c>
    </row>
    <row r="393">
      <c r="A393" s="27" t="s">
        <v>42</v>
      </c>
      <c r="B393" s="27" t="s">
        <v>1227</v>
      </c>
      <c r="C393" s="27" t="s">
        <v>1228</v>
      </c>
      <c r="D393" s="27" t="s">
        <v>1229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84300</f>
        <v>84300.0</v>
      </c>
      <c r="L393" s="34" t="s">
        <v>48</v>
      </c>
      <c r="M393" s="33" t="n">
        <f>84900</f>
        <v>84900.0</v>
      </c>
      <c r="N393" s="34" t="s">
        <v>48</v>
      </c>
      <c r="O393" s="33" t="n">
        <f>76000</f>
        <v>76000.0</v>
      </c>
      <c r="P393" s="34" t="s">
        <v>51</v>
      </c>
      <c r="Q393" s="33" t="n">
        <f>76000</f>
        <v>76000.0</v>
      </c>
      <c r="R393" s="34" t="s">
        <v>51</v>
      </c>
      <c r="S393" s="35" t="n">
        <f>80094.74</f>
        <v>80094.74</v>
      </c>
      <c r="T393" s="32" t="n">
        <f>290092</f>
        <v>290092.0</v>
      </c>
      <c r="U393" s="32" t="n">
        <f>74863</f>
        <v>74863.0</v>
      </c>
      <c r="V393" s="32" t="n">
        <f>23096709483</f>
        <v>2.3096709483E10</v>
      </c>
      <c r="W393" s="32" t="n">
        <f>5975095483</f>
        <v>5.975095483E9</v>
      </c>
      <c r="X393" s="36" t="n">
        <f>19</f>
        <v>19.0</v>
      </c>
    </row>
    <row r="394">
      <c r="A394" s="27" t="s">
        <v>42</v>
      </c>
      <c r="B394" s="27" t="s">
        <v>1230</v>
      </c>
      <c r="C394" s="27" t="s">
        <v>1231</v>
      </c>
      <c r="D394" s="27" t="s">
        <v>1232</v>
      </c>
      <c r="E394" s="28" t="s">
        <v>46</v>
      </c>
      <c r="F394" s="29" t="s">
        <v>46</v>
      </c>
      <c r="G394" s="30" t="s">
        <v>46</v>
      </c>
      <c r="H394" s="31"/>
      <c r="I394" s="31" t="s">
        <v>421</v>
      </c>
      <c r="J394" s="32" t="n">
        <v>1.0</v>
      </c>
      <c r="K394" s="33" t="n">
        <f>138900</f>
        <v>138900.0</v>
      </c>
      <c r="L394" s="34" t="s">
        <v>48</v>
      </c>
      <c r="M394" s="33" t="n">
        <f>140400</f>
        <v>140400.0</v>
      </c>
      <c r="N394" s="34" t="s">
        <v>48</v>
      </c>
      <c r="O394" s="33" t="n">
        <f>133800</f>
        <v>133800.0</v>
      </c>
      <c r="P394" s="34" t="s">
        <v>72</v>
      </c>
      <c r="Q394" s="33" t="n">
        <f>137300</f>
        <v>137300.0</v>
      </c>
      <c r="R394" s="34" t="s">
        <v>51</v>
      </c>
      <c r="S394" s="35" t="n">
        <f>137157.89</f>
        <v>137157.89</v>
      </c>
      <c r="T394" s="32" t="n">
        <f>17768</f>
        <v>17768.0</v>
      </c>
      <c r="U394" s="32" t="n">
        <f>2203</f>
        <v>2203.0</v>
      </c>
      <c r="V394" s="32" t="n">
        <f>2433750457</f>
        <v>2.433750457E9</v>
      </c>
      <c r="W394" s="32" t="n">
        <f>301487357</f>
        <v>3.01487357E8</v>
      </c>
      <c r="X394" s="36" t="n">
        <f>19</f>
        <v>19.0</v>
      </c>
    </row>
    <row r="395">
      <c r="A395" s="27" t="s">
        <v>42</v>
      </c>
      <c r="B395" s="27" t="s">
        <v>1233</v>
      </c>
      <c r="C395" s="27" t="s">
        <v>1234</v>
      </c>
      <c r="D395" s="27" t="s">
        <v>1235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123000</f>
        <v>123000.0</v>
      </c>
      <c r="L395" s="34" t="s">
        <v>48</v>
      </c>
      <c r="M395" s="33" t="n">
        <f>123700</f>
        <v>123700.0</v>
      </c>
      <c r="N395" s="34" t="s">
        <v>48</v>
      </c>
      <c r="O395" s="33" t="n">
        <f>116400</f>
        <v>116400.0</v>
      </c>
      <c r="P395" s="34" t="s">
        <v>61</v>
      </c>
      <c r="Q395" s="33" t="n">
        <f>117900</f>
        <v>117900.0</v>
      </c>
      <c r="R395" s="34" t="s">
        <v>51</v>
      </c>
      <c r="S395" s="35" t="n">
        <f>119342.11</f>
        <v>119342.11</v>
      </c>
      <c r="T395" s="32" t="n">
        <f>18382</f>
        <v>18382.0</v>
      </c>
      <c r="U395" s="32" t="n">
        <f>2671</f>
        <v>2671.0</v>
      </c>
      <c r="V395" s="32" t="n">
        <f>2195499019</f>
        <v>2.195499019E9</v>
      </c>
      <c r="W395" s="32" t="n">
        <f>318846619</f>
        <v>3.18846619E8</v>
      </c>
      <c r="X395" s="36" t="n">
        <f>19</f>
        <v>19.0</v>
      </c>
    </row>
    <row r="396">
      <c r="A396" s="27" t="s">
        <v>42</v>
      </c>
      <c r="B396" s="27" t="s">
        <v>1236</v>
      </c>
      <c r="C396" s="27" t="s">
        <v>1237</v>
      </c>
      <c r="D396" s="27" t="s">
        <v>1238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103200</f>
        <v>103200.0</v>
      </c>
      <c r="L396" s="34" t="s">
        <v>48</v>
      </c>
      <c r="M396" s="33" t="n">
        <f>103700</f>
        <v>103700.0</v>
      </c>
      <c r="N396" s="34" t="s">
        <v>48</v>
      </c>
      <c r="O396" s="33" t="n">
        <f>98900</f>
        <v>98900.0</v>
      </c>
      <c r="P396" s="34" t="s">
        <v>72</v>
      </c>
      <c r="Q396" s="33" t="n">
        <f>100500</f>
        <v>100500.0</v>
      </c>
      <c r="R396" s="34" t="s">
        <v>51</v>
      </c>
      <c r="S396" s="35" t="n">
        <f>100884.21</f>
        <v>100884.21</v>
      </c>
      <c r="T396" s="32" t="n">
        <f>14272</f>
        <v>14272.0</v>
      </c>
      <c r="U396" s="32" t="n">
        <f>2231</f>
        <v>2231.0</v>
      </c>
      <c r="V396" s="32" t="n">
        <f>1438983080</f>
        <v>1.43898308E9</v>
      </c>
      <c r="W396" s="32" t="n">
        <f>224700180</f>
        <v>2.2470018E8</v>
      </c>
      <c r="X396" s="36" t="n">
        <f>19</f>
        <v>19.0</v>
      </c>
    </row>
    <row r="397">
      <c r="A397" s="27" t="s">
        <v>42</v>
      </c>
      <c r="B397" s="27" t="s">
        <v>1239</v>
      </c>
      <c r="C397" s="27" t="s">
        <v>1240</v>
      </c>
      <c r="D397" s="27" t="s">
        <v>1241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149500</f>
        <v>149500.0</v>
      </c>
      <c r="L397" s="34" t="s">
        <v>48</v>
      </c>
      <c r="M397" s="33" t="n">
        <f>154300</f>
        <v>154300.0</v>
      </c>
      <c r="N397" s="34" t="s">
        <v>267</v>
      </c>
      <c r="O397" s="33" t="n">
        <f>142900</f>
        <v>142900.0</v>
      </c>
      <c r="P397" s="34" t="s">
        <v>51</v>
      </c>
      <c r="Q397" s="33" t="n">
        <f>142900</f>
        <v>142900.0</v>
      </c>
      <c r="R397" s="34" t="s">
        <v>51</v>
      </c>
      <c r="S397" s="35" t="n">
        <f>149763.16</f>
        <v>149763.16</v>
      </c>
      <c r="T397" s="32" t="n">
        <f>447756</f>
        <v>447756.0</v>
      </c>
      <c r="U397" s="32" t="n">
        <f>91669</f>
        <v>91669.0</v>
      </c>
      <c r="V397" s="32" t="n">
        <f>67170894192</f>
        <v>6.7170894192E10</v>
      </c>
      <c r="W397" s="32" t="n">
        <f>13736642792</f>
        <v>1.3736642792E10</v>
      </c>
      <c r="X397" s="36" t="n">
        <f>19</f>
        <v>19.0</v>
      </c>
    </row>
    <row r="398">
      <c r="A398" s="27" t="s">
        <v>42</v>
      </c>
      <c r="B398" s="27" t="s">
        <v>1242</v>
      </c>
      <c r="C398" s="27" t="s">
        <v>1243</v>
      </c>
      <c r="D398" s="27" t="s">
        <v>1244</v>
      </c>
      <c r="E398" s="28" t="s">
        <v>46</v>
      </c>
      <c r="F398" s="29" t="s">
        <v>46</v>
      </c>
      <c r="G398" s="30" t="s">
        <v>46</v>
      </c>
      <c r="H398" s="31"/>
      <c r="I398" s="31" t="s">
        <v>421</v>
      </c>
      <c r="J398" s="32" t="n">
        <v>1.0</v>
      </c>
      <c r="K398" s="33" t="n">
        <f>128000</f>
        <v>128000.0</v>
      </c>
      <c r="L398" s="34" t="s">
        <v>48</v>
      </c>
      <c r="M398" s="33" t="n">
        <f>131000</f>
        <v>131000.0</v>
      </c>
      <c r="N398" s="34" t="s">
        <v>464</v>
      </c>
      <c r="O398" s="33" t="n">
        <f>120300</f>
        <v>120300.0</v>
      </c>
      <c r="P398" s="34" t="s">
        <v>72</v>
      </c>
      <c r="Q398" s="33" t="n">
        <f>129200</f>
        <v>129200.0</v>
      </c>
      <c r="R398" s="34" t="s">
        <v>51</v>
      </c>
      <c r="S398" s="35" t="n">
        <f>124994.74</f>
        <v>124994.74</v>
      </c>
      <c r="T398" s="32" t="n">
        <f>45822</f>
        <v>45822.0</v>
      </c>
      <c r="U398" s="32" t="n">
        <f>3352</f>
        <v>3352.0</v>
      </c>
      <c r="V398" s="32" t="n">
        <f>5767161245</f>
        <v>5.767161245E9</v>
      </c>
      <c r="W398" s="32" t="n">
        <f>421185045</f>
        <v>4.21185045E8</v>
      </c>
      <c r="X398" s="36" t="n">
        <f>19</f>
        <v>19.0</v>
      </c>
    </row>
    <row r="399">
      <c r="A399" s="27" t="s">
        <v>42</v>
      </c>
      <c r="B399" s="27" t="s">
        <v>1245</v>
      </c>
      <c r="C399" s="27" t="s">
        <v>1246</v>
      </c>
      <c r="D399" s="27" t="s">
        <v>1247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146400</f>
        <v>146400.0</v>
      </c>
      <c r="L399" s="34" t="s">
        <v>48</v>
      </c>
      <c r="M399" s="33" t="n">
        <f>147000</f>
        <v>147000.0</v>
      </c>
      <c r="N399" s="34" t="s">
        <v>48</v>
      </c>
      <c r="O399" s="33" t="n">
        <f>142300</f>
        <v>142300.0</v>
      </c>
      <c r="P399" s="34" t="s">
        <v>734</v>
      </c>
      <c r="Q399" s="33" t="n">
        <f>143300</f>
        <v>143300.0</v>
      </c>
      <c r="R399" s="34" t="s">
        <v>51</v>
      </c>
      <c r="S399" s="35" t="n">
        <f>144405.26</f>
        <v>144405.26</v>
      </c>
      <c r="T399" s="32" t="n">
        <f>99332</f>
        <v>99332.0</v>
      </c>
      <c r="U399" s="32" t="n">
        <f>17875</f>
        <v>17875.0</v>
      </c>
      <c r="V399" s="32" t="n">
        <f>14339387596</f>
        <v>1.4339387596E10</v>
      </c>
      <c r="W399" s="32" t="n">
        <f>2579124196</f>
        <v>2.579124196E9</v>
      </c>
      <c r="X399" s="36" t="n">
        <f>19</f>
        <v>19.0</v>
      </c>
    </row>
    <row r="400">
      <c r="A400" s="27" t="s">
        <v>42</v>
      </c>
      <c r="B400" s="27" t="s">
        <v>1248</v>
      </c>
      <c r="C400" s="27" t="s">
        <v>1249</v>
      </c>
      <c r="D400" s="27" t="s">
        <v>1250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55200</f>
        <v>55200.0</v>
      </c>
      <c r="L400" s="34" t="s">
        <v>48</v>
      </c>
      <c r="M400" s="33" t="n">
        <f>55600</f>
        <v>55600.0</v>
      </c>
      <c r="N400" s="34" t="s">
        <v>48</v>
      </c>
      <c r="O400" s="33" t="n">
        <f>52200</f>
        <v>52200.0</v>
      </c>
      <c r="P400" s="34" t="s">
        <v>50</v>
      </c>
      <c r="Q400" s="33" t="n">
        <f>53200</f>
        <v>53200.0</v>
      </c>
      <c r="R400" s="34" t="s">
        <v>51</v>
      </c>
      <c r="S400" s="35" t="n">
        <f>53521.05</f>
        <v>53521.05</v>
      </c>
      <c r="T400" s="32" t="n">
        <f>234219</f>
        <v>234219.0</v>
      </c>
      <c r="U400" s="32" t="n">
        <f>24648</f>
        <v>24648.0</v>
      </c>
      <c r="V400" s="32" t="n">
        <f>12569058055</f>
        <v>1.2569058055E10</v>
      </c>
      <c r="W400" s="32" t="n">
        <f>1320539655</f>
        <v>1.320539655E9</v>
      </c>
      <c r="X400" s="36" t="n">
        <f>19</f>
        <v>19.0</v>
      </c>
    </row>
    <row r="401">
      <c r="A401" s="27" t="s">
        <v>42</v>
      </c>
      <c r="B401" s="27" t="s">
        <v>1251</v>
      </c>
      <c r="C401" s="27" t="s">
        <v>1252</v>
      </c>
      <c r="D401" s="27" t="s">
        <v>1253</v>
      </c>
      <c r="E401" s="28" t="s">
        <v>46</v>
      </c>
      <c r="F401" s="29" t="s">
        <v>46</v>
      </c>
      <c r="G401" s="30" t="s">
        <v>46</v>
      </c>
      <c r="H401" s="31"/>
      <c r="I401" s="31" t="s">
        <v>421</v>
      </c>
      <c r="J401" s="32" t="n">
        <v>1.0</v>
      </c>
      <c r="K401" s="33" t="n">
        <f>123000</f>
        <v>123000.0</v>
      </c>
      <c r="L401" s="34" t="s">
        <v>48</v>
      </c>
      <c r="M401" s="33" t="n">
        <f>124000</f>
        <v>124000.0</v>
      </c>
      <c r="N401" s="34" t="s">
        <v>48</v>
      </c>
      <c r="O401" s="33" t="n">
        <f>115200</f>
        <v>115200.0</v>
      </c>
      <c r="P401" s="34" t="s">
        <v>61</v>
      </c>
      <c r="Q401" s="33" t="n">
        <f>117300</f>
        <v>117300.0</v>
      </c>
      <c r="R401" s="34" t="s">
        <v>51</v>
      </c>
      <c r="S401" s="35" t="n">
        <f>117778.95</f>
        <v>117778.95</v>
      </c>
      <c r="T401" s="32" t="n">
        <f>56396</f>
        <v>56396.0</v>
      </c>
      <c r="U401" s="32" t="n">
        <f>11033</f>
        <v>11033.0</v>
      </c>
      <c r="V401" s="32" t="n">
        <f>6785825585</f>
        <v>6.785825585E9</v>
      </c>
      <c r="W401" s="32" t="n">
        <f>1356020385</f>
        <v>1.356020385E9</v>
      </c>
      <c r="X401" s="36" t="n">
        <f>19</f>
        <v>19.0</v>
      </c>
    </row>
    <row r="402">
      <c r="A402" s="27" t="s">
        <v>42</v>
      </c>
      <c r="B402" s="27" t="s">
        <v>1254</v>
      </c>
      <c r="C402" s="27" t="s">
        <v>1255</v>
      </c>
      <c r="D402" s="27" t="s">
        <v>1256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437000</f>
        <v>437000.0</v>
      </c>
      <c r="L402" s="34" t="s">
        <v>48</v>
      </c>
      <c r="M402" s="33" t="n">
        <f>441500</f>
        <v>441500.0</v>
      </c>
      <c r="N402" s="34" t="s">
        <v>48</v>
      </c>
      <c r="O402" s="33" t="n">
        <f>423000</f>
        <v>423000.0</v>
      </c>
      <c r="P402" s="34" t="s">
        <v>51</v>
      </c>
      <c r="Q402" s="33" t="n">
        <f>424500</f>
        <v>424500.0</v>
      </c>
      <c r="R402" s="34" t="s">
        <v>51</v>
      </c>
      <c r="S402" s="35" t="n">
        <f>432394.74</f>
        <v>432394.74</v>
      </c>
      <c r="T402" s="32" t="n">
        <f>45967</f>
        <v>45967.0</v>
      </c>
      <c r="U402" s="32" t="n">
        <f>10538</f>
        <v>10538.0</v>
      </c>
      <c r="V402" s="32" t="n">
        <f>19855692380</f>
        <v>1.985569238E10</v>
      </c>
      <c r="W402" s="32" t="n">
        <f>4550337380</f>
        <v>4.55033738E9</v>
      </c>
      <c r="X402" s="36" t="n">
        <f>19</f>
        <v>19.0</v>
      </c>
    </row>
    <row r="403">
      <c r="A403" s="27" t="s">
        <v>42</v>
      </c>
      <c r="B403" s="27" t="s">
        <v>1257</v>
      </c>
      <c r="C403" s="27" t="s">
        <v>1258</v>
      </c>
      <c r="D403" s="27" t="s">
        <v>1259</v>
      </c>
      <c r="E403" s="28" t="s">
        <v>46</v>
      </c>
      <c r="F403" s="29" t="s">
        <v>46</v>
      </c>
      <c r="G403" s="30" t="s">
        <v>46</v>
      </c>
      <c r="H403" s="31"/>
      <c r="I403" s="31" t="s">
        <v>421</v>
      </c>
      <c r="J403" s="32" t="n">
        <v>1.0</v>
      </c>
      <c r="K403" s="33" t="n">
        <f>73500</f>
        <v>73500.0</v>
      </c>
      <c r="L403" s="34" t="s">
        <v>48</v>
      </c>
      <c r="M403" s="33" t="n">
        <f>73800</f>
        <v>73800.0</v>
      </c>
      <c r="N403" s="34" t="s">
        <v>49</v>
      </c>
      <c r="O403" s="33" t="n">
        <f>69400</f>
        <v>69400.0</v>
      </c>
      <c r="P403" s="34" t="s">
        <v>72</v>
      </c>
      <c r="Q403" s="33" t="n">
        <f>71500</f>
        <v>71500.0</v>
      </c>
      <c r="R403" s="34" t="s">
        <v>51</v>
      </c>
      <c r="S403" s="35" t="n">
        <f>71547.37</f>
        <v>71547.37</v>
      </c>
      <c r="T403" s="32" t="n">
        <f>16615</f>
        <v>16615.0</v>
      </c>
      <c r="U403" s="32" t="n">
        <f>2499</f>
        <v>2499.0</v>
      </c>
      <c r="V403" s="32" t="n">
        <f>1189761031</f>
        <v>1.189761031E9</v>
      </c>
      <c r="W403" s="32" t="n">
        <f>178002431</f>
        <v>1.78002431E8</v>
      </c>
      <c r="X403" s="36" t="n">
        <f>19</f>
        <v>19.0</v>
      </c>
    </row>
    <row r="404">
      <c r="A404" s="27" t="s">
        <v>42</v>
      </c>
      <c r="B404" s="27" t="s">
        <v>1260</v>
      </c>
      <c r="C404" s="27" t="s">
        <v>1261</v>
      </c>
      <c r="D404" s="27" t="s">
        <v>1262</v>
      </c>
      <c r="E404" s="28" t="s">
        <v>46</v>
      </c>
      <c r="F404" s="29" t="s">
        <v>46</v>
      </c>
      <c r="G404" s="30" t="s">
        <v>46</v>
      </c>
      <c r="H404" s="31"/>
      <c r="I404" s="31" t="s">
        <v>47</v>
      </c>
      <c r="J404" s="32" t="n">
        <v>1.0</v>
      </c>
      <c r="K404" s="33" t="n">
        <f>44750</f>
        <v>44750.0</v>
      </c>
      <c r="L404" s="34" t="s">
        <v>48</v>
      </c>
      <c r="M404" s="33" t="n">
        <f>44900</f>
        <v>44900.0</v>
      </c>
      <c r="N404" s="34" t="s">
        <v>48</v>
      </c>
      <c r="O404" s="33" t="n">
        <f>43050</f>
        <v>43050.0</v>
      </c>
      <c r="P404" s="34" t="s">
        <v>50</v>
      </c>
      <c r="Q404" s="33" t="n">
        <f>43650</f>
        <v>43650.0</v>
      </c>
      <c r="R404" s="34" t="s">
        <v>51</v>
      </c>
      <c r="S404" s="35" t="n">
        <f>43863.16</f>
        <v>43863.16</v>
      </c>
      <c r="T404" s="32" t="n">
        <f>82168</f>
        <v>82168.0</v>
      </c>
      <c r="U404" s="32" t="n">
        <f>12388</f>
        <v>12388.0</v>
      </c>
      <c r="V404" s="32" t="n">
        <f>3603818283</f>
        <v>3.603818283E9</v>
      </c>
      <c r="W404" s="32" t="n">
        <f>543726733</f>
        <v>5.43726733E8</v>
      </c>
      <c r="X404" s="36" t="n">
        <f>19</f>
        <v>19.0</v>
      </c>
    </row>
    <row r="405">
      <c r="A405" s="27" t="s">
        <v>42</v>
      </c>
      <c r="B405" s="27" t="s">
        <v>1263</v>
      </c>
      <c r="C405" s="27" t="s">
        <v>1264</v>
      </c>
      <c r="D405" s="27" t="s">
        <v>1265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380500</f>
        <v>380500.0</v>
      </c>
      <c r="L405" s="34" t="s">
        <v>48</v>
      </c>
      <c r="M405" s="33" t="n">
        <f>383000</f>
        <v>383000.0</v>
      </c>
      <c r="N405" s="34" t="s">
        <v>48</v>
      </c>
      <c r="O405" s="33" t="n">
        <f>369000</f>
        <v>369000.0</v>
      </c>
      <c r="P405" s="34" t="s">
        <v>51</v>
      </c>
      <c r="Q405" s="33" t="n">
        <f>369000</f>
        <v>369000.0</v>
      </c>
      <c r="R405" s="34" t="s">
        <v>51</v>
      </c>
      <c r="S405" s="35" t="n">
        <f>375473.68</f>
        <v>375473.68</v>
      </c>
      <c r="T405" s="32" t="n">
        <f>32977</f>
        <v>32977.0</v>
      </c>
      <c r="U405" s="32" t="n">
        <f>4913</f>
        <v>4913.0</v>
      </c>
      <c r="V405" s="32" t="n">
        <f>12378245564</f>
        <v>1.2378245564E10</v>
      </c>
      <c r="W405" s="32" t="n">
        <f>1844739564</f>
        <v>1.844739564E9</v>
      </c>
      <c r="X405" s="36" t="n">
        <f>19</f>
        <v>19.0</v>
      </c>
    </row>
    <row r="406">
      <c r="A406" s="27" t="s">
        <v>42</v>
      </c>
      <c r="B406" s="27" t="s">
        <v>1266</v>
      </c>
      <c r="C406" s="27" t="s">
        <v>1267</v>
      </c>
      <c r="D406" s="27" t="s">
        <v>1268</v>
      </c>
      <c r="E406" s="28" t="s">
        <v>46</v>
      </c>
      <c r="F406" s="29" t="s">
        <v>46</v>
      </c>
      <c r="G406" s="30" t="s">
        <v>46</v>
      </c>
      <c r="H406" s="31"/>
      <c r="I406" s="31" t="s">
        <v>47</v>
      </c>
      <c r="J406" s="32" t="n">
        <v>1.0</v>
      </c>
      <c r="K406" s="33" t="n">
        <f>151200</f>
        <v>151200.0</v>
      </c>
      <c r="L406" s="34" t="s">
        <v>48</v>
      </c>
      <c r="M406" s="33" t="n">
        <f>152700</f>
        <v>152700.0</v>
      </c>
      <c r="N406" s="34" t="s">
        <v>649</v>
      </c>
      <c r="O406" s="33" t="n">
        <f>147700</f>
        <v>147700.0</v>
      </c>
      <c r="P406" s="34" t="s">
        <v>72</v>
      </c>
      <c r="Q406" s="33" t="n">
        <f>149200</f>
        <v>149200.0</v>
      </c>
      <c r="R406" s="34" t="s">
        <v>51</v>
      </c>
      <c r="S406" s="35" t="n">
        <f>150415.79</f>
        <v>150415.79</v>
      </c>
      <c r="T406" s="32" t="n">
        <f>43030</f>
        <v>43030.0</v>
      </c>
      <c r="U406" s="32" t="n">
        <f>8371</f>
        <v>8371.0</v>
      </c>
      <c r="V406" s="32" t="n">
        <f>6479357622</f>
        <v>6.479357622E9</v>
      </c>
      <c r="W406" s="32" t="n">
        <f>1260828722</f>
        <v>1.260828722E9</v>
      </c>
      <c r="X406" s="36" t="n">
        <f>19</f>
        <v>19.0</v>
      </c>
    </row>
    <row r="407">
      <c r="A407" s="27" t="s">
        <v>42</v>
      </c>
      <c r="B407" s="27" t="s">
        <v>1269</v>
      </c>
      <c r="C407" s="27" t="s">
        <v>1270</v>
      </c>
      <c r="D407" s="27" t="s">
        <v>1271</v>
      </c>
      <c r="E407" s="28" t="s">
        <v>46</v>
      </c>
      <c r="F407" s="29" t="s">
        <v>46</v>
      </c>
      <c r="G407" s="30" t="s">
        <v>46</v>
      </c>
      <c r="H407" s="31"/>
      <c r="I407" s="31" t="s">
        <v>421</v>
      </c>
      <c r="J407" s="32" t="n">
        <v>1.0</v>
      </c>
      <c r="K407" s="33" t="n">
        <f>116200</f>
        <v>116200.0</v>
      </c>
      <c r="L407" s="34" t="s">
        <v>48</v>
      </c>
      <c r="M407" s="33" t="n">
        <f>118300</f>
        <v>118300.0</v>
      </c>
      <c r="N407" s="34" t="s">
        <v>49</v>
      </c>
      <c r="O407" s="33" t="n">
        <f>113200</f>
        <v>113200.0</v>
      </c>
      <c r="P407" s="34" t="s">
        <v>50</v>
      </c>
      <c r="Q407" s="33" t="n">
        <f>116400</f>
        <v>116400.0</v>
      </c>
      <c r="R407" s="34" t="s">
        <v>51</v>
      </c>
      <c r="S407" s="35" t="n">
        <f>115473.68</f>
        <v>115473.68</v>
      </c>
      <c r="T407" s="32" t="n">
        <f>20179</f>
        <v>20179.0</v>
      </c>
      <c r="U407" s="32" t="n">
        <f>3116</f>
        <v>3116.0</v>
      </c>
      <c r="V407" s="32" t="n">
        <f>2329691603</f>
        <v>2.329691603E9</v>
      </c>
      <c r="W407" s="32" t="n">
        <f>358640703</f>
        <v>3.58640703E8</v>
      </c>
      <c r="X407" s="36" t="n">
        <f>19</f>
        <v>19.0</v>
      </c>
    </row>
    <row r="408">
      <c r="A408" s="27" t="s">
        <v>42</v>
      </c>
      <c r="B408" s="27" t="s">
        <v>1272</v>
      </c>
      <c r="C408" s="27" t="s">
        <v>1273</v>
      </c>
      <c r="D408" s="27" t="s">
        <v>1274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94300</f>
        <v>94300.0</v>
      </c>
      <c r="L408" s="34" t="s">
        <v>48</v>
      </c>
      <c r="M408" s="33" t="n">
        <f>94700</f>
        <v>94700.0</v>
      </c>
      <c r="N408" s="34" t="s">
        <v>48</v>
      </c>
      <c r="O408" s="33" t="n">
        <f>86600</f>
        <v>86600.0</v>
      </c>
      <c r="P408" s="34" t="s">
        <v>162</v>
      </c>
      <c r="Q408" s="33" t="n">
        <f>88200</f>
        <v>88200.0</v>
      </c>
      <c r="R408" s="34" t="s">
        <v>51</v>
      </c>
      <c r="S408" s="35" t="n">
        <f>89073.68</f>
        <v>89073.68</v>
      </c>
      <c r="T408" s="32" t="n">
        <f>358560</f>
        <v>358560.0</v>
      </c>
      <c r="U408" s="32" t="n">
        <f>40883</f>
        <v>40883.0</v>
      </c>
      <c r="V408" s="32" t="n">
        <f>31785276916</f>
        <v>3.1785276916E10</v>
      </c>
      <c r="W408" s="32" t="n">
        <f>3598587516</f>
        <v>3.598587516E9</v>
      </c>
      <c r="X408" s="36" t="n">
        <f>19</f>
        <v>19.0</v>
      </c>
    </row>
    <row r="409">
      <c r="A409" s="27" t="s">
        <v>42</v>
      </c>
      <c r="B409" s="27" t="s">
        <v>1275</v>
      </c>
      <c r="C409" s="27" t="s">
        <v>1276</v>
      </c>
      <c r="D409" s="27" t="s">
        <v>1277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125200</f>
        <v>125200.0</v>
      </c>
      <c r="L409" s="34" t="s">
        <v>48</v>
      </c>
      <c r="M409" s="33" t="n">
        <f>126300</f>
        <v>126300.0</v>
      </c>
      <c r="N409" s="34" t="s">
        <v>48</v>
      </c>
      <c r="O409" s="33" t="n">
        <f>121000</f>
        <v>121000.0</v>
      </c>
      <c r="P409" s="34" t="s">
        <v>51</v>
      </c>
      <c r="Q409" s="33" t="n">
        <f>121000</f>
        <v>121000.0</v>
      </c>
      <c r="R409" s="34" t="s">
        <v>51</v>
      </c>
      <c r="S409" s="35" t="n">
        <f>123531.58</f>
        <v>123531.58</v>
      </c>
      <c r="T409" s="32" t="n">
        <f>37822</f>
        <v>37822.0</v>
      </c>
      <c r="U409" s="32" t="n">
        <f>6136</f>
        <v>6136.0</v>
      </c>
      <c r="V409" s="32" t="n">
        <f>4680731292</f>
        <v>4.680731292E9</v>
      </c>
      <c r="W409" s="32" t="n">
        <f>759937892</f>
        <v>7.59937892E8</v>
      </c>
      <c r="X409" s="36" t="n">
        <f>19</f>
        <v>19.0</v>
      </c>
    </row>
    <row r="410">
      <c r="A410" s="27" t="s">
        <v>42</v>
      </c>
      <c r="B410" s="27" t="s">
        <v>1278</v>
      </c>
      <c r="C410" s="27" t="s">
        <v>1279</v>
      </c>
      <c r="D410" s="27" t="s">
        <v>1280</v>
      </c>
      <c r="E410" s="28" t="s">
        <v>1281</v>
      </c>
      <c r="F410" s="29" t="s">
        <v>1282</v>
      </c>
      <c r="G410" s="30" t="s">
        <v>46</v>
      </c>
      <c r="H410" s="31"/>
      <c r="I410" s="31" t="s">
        <v>47</v>
      </c>
      <c r="J410" s="32" t="n">
        <v>1.0</v>
      </c>
      <c r="K410" s="33" t="n">
        <f>656000</f>
        <v>656000.0</v>
      </c>
      <c r="L410" s="34" t="s">
        <v>48</v>
      </c>
      <c r="M410" s="33" t="n">
        <f>685000</f>
        <v>685000.0</v>
      </c>
      <c r="N410" s="34" t="s">
        <v>68</v>
      </c>
      <c r="O410" s="33" t="n">
        <f>652000</f>
        <v>652000.0</v>
      </c>
      <c r="P410" s="34" t="s">
        <v>93</v>
      </c>
      <c r="Q410" s="33" t="n">
        <f>672000</f>
        <v>672000.0</v>
      </c>
      <c r="R410" s="34" t="s">
        <v>464</v>
      </c>
      <c r="S410" s="35" t="n">
        <f>669411.76</f>
        <v>669411.76</v>
      </c>
      <c r="T410" s="32" t="n">
        <f>108135</f>
        <v>108135.0</v>
      </c>
      <c r="U410" s="32" t="n">
        <f>26091</f>
        <v>26091.0</v>
      </c>
      <c r="V410" s="32" t="n">
        <f>72454547797</f>
        <v>7.2454547797E10</v>
      </c>
      <c r="W410" s="32" t="n">
        <f>17455283797</f>
        <v>1.7455283797E10</v>
      </c>
      <c r="X410" s="36" t="n">
        <f>17</f>
        <v>17.0</v>
      </c>
    </row>
    <row r="411">
      <c r="A411" s="27" t="s">
        <v>42</v>
      </c>
      <c r="B411" s="27" t="s">
        <v>1278</v>
      </c>
      <c r="C411" s="27" t="s">
        <v>1279</v>
      </c>
      <c r="D411" s="27" t="s">
        <v>1280</v>
      </c>
      <c r="E411" s="28" t="s">
        <v>1281</v>
      </c>
      <c r="F411" s="29" t="s">
        <v>1282</v>
      </c>
      <c r="G411" s="30" t="s">
        <v>46</v>
      </c>
      <c r="H411" s="31"/>
      <c r="I411" s="31" t="s">
        <v>47</v>
      </c>
      <c r="J411" s="32" t="n">
        <v>1.0</v>
      </c>
      <c r="K411" s="33" t="n">
        <f>135600</f>
        <v>135600.0</v>
      </c>
      <c r="L411" s="34" t="s">
        <v>49</v>
      </c>
      <c r="M411" s="33" t="n">
        <f>136000</f>
        <v>136000.0</v>
      </c>
      <c r="N411" s="34" t="s">
        <v>49</v>
      </c>
      <c r="O411" s="33" t="n">
        <f>130800</f>
        <v>130800.0</v>
      </c>
      <c r="P411" s="34" t="s">
        <v>51</v>
      </c>
      <c r="Q411" s="33" t="n">
        <f>131800</f>
        <v>131800.0</v>
      </c>
      <c r="R411" s="34" t="s">
        <v>51</v>
      </c>
      <c r="S411" s="35" t="n">
        <f>133500</f>
        <v>133500.0</v>
      </c>
      <c r="T411" s="32" t="n">
        <f>57821</f>
        <v>57821.0</v>
      </c>
      <c r="U411" s="32" t="n">
        <f>8720</f>
        <v>8720.0</v>
      </c>
      <c r="V411" s="32" t="n">
        <f>7673926927</f>
        <v>7.673926927E9</v>
      </c>
      <c r="W411" s="32" t="n">
        <f>1160825727</f>
        <v>1.160825727E9</v>
      </c>
      <c r="X411" s="36" t="n">
        <f>2</f>
        <v>2.0</v>
      </c>
    </row>
    <row r="412">
      <c r="A412" s="27" t="s">
        <v>42</v>
      </c>
      <c r="B412" s="27" t="s">
        <v>1283</v>
      </c>
      <c r="C412" s="27" t="s">
        <v>1284</v>
      </c>
      <c r="D412" s="27" t="s">
        <v>1285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586000</f>
        <v>586000.0</v>
      </c>
      <c r="L412" s="34" t="s">
        <v>48</v>
      </c>
      <c r="M412" s="33" t="n">
        <f>602000</f>
        <v>602000.0</v>
      </c>
      <c r="N412" s="34" t="s">
        <v>267</v>
      </c>
      <c r="O412" s="33" t="n">
        <f>566000</f>
        <v>566000.0</v>
      </c>
      <c r="P412" s="34" t="s">
        <v>51</v>
      </c>
      <c r="Q412" s="33" t="n">
        <f>571000</f>
        <v>571000.0</v>
      </c>
      <c r="R412" s="34" t="s">
        <v>51</v>
      </c>
      <c r="S412" s="35" t="n">
        <f>586368.42</f>
        <v>586368.42</v>
      </c>
      <c r="T412" s="32" t="n">
        <f>110062</f>
        <v>110062.0</v>
      </c>
      <c r="U412" s="32" t="n">
        <f>24325</f>
        <v>24325.0</v>
      </c>
      <c r="V412" s="32" t="n">
        <f>64558853049</f>
        <v>6.4558853049E10</v>
      </c>
      <c r="W412" s="32" t="n">
        <f>14273591049</f>
        <v>1.4273591049E10</v>
      </c>
      <c r="X412" s="36" t="n">
        <f>19</f>
        <v>19.0</v>
      </c>
    </row>
    <row r="413">
      <c r="A413" s="27" t="s">
        <v>42</v>
      </c>
      <c r="B413" s="27" t="s">
        <v>1286</v>
      </c>
      <c r="C413" s="27" t="s">
        <v>1287</v>
      </c>
      <c r="D413" s="27" t="s">
        <v>1288</v>
      </c>
      <c r="E413" s="28" t="s">
        <v>46</v>
      </c>
      <c r="F413" s="29" t="s">
        <v>46</v>
      </c>
      <c r="G413" s="30" t="s">
        <v>46</v>
      </c>
      <c r="H413" s="31"/>
      <c r="I413" s="31" t="s">
        <v>47</v>
      </c>
      <c r="J413" s="32" t="n">
        <v>1.0</v>
      </c>
      <c r="K413" s="33" t="n">
        <f>92300</f>
        <v>92300.0</v>
      </c>
      <c r="L413" s="34" t="s">
        <v>48</v>
      </c>
      <c r="M413" s="33" t="n">
        <f>101300</f>
        <v>101300.0</v>
      </c>
      <c r="N413" s="34" t="s">
        <v>267</v>
      </c>
      <c r="O413" s="33" t="n">
        <f>92300</f>
        <v>92300.0</v>
      </c>
      <c r="P413" s="34" t="s">
        <v>48</v>
      </c>
      <c r="Q413" s="33" t="n">
        <f>96600</f>
        <v>96600.0</v>
      </c>
      <c r="R413" s="34" t="s">
        <v>51</v>
      </c>
      <c r="S413" s="35" t="n">
        <f>98484.21</f>
        <v>98484.21</v>
      </c>
      <c r="T413" s="32" t="n">
        <f>779703</f>
        <v>779703.0</v>
      </c>
      <c r="U413" s="32" t="n">
        <f>202221</f>
        <v>202221.0</v>
      </c>
      <c r="V413" s="32" t="n">
        <f>76760305713</f>
        <v>7.6760305713E10</v>
      </c>
      <c r="W413" s="32" t="n">
        <f>19898373313</f>
        <v>1.9898373313E10</v>
      </c>
      <c r="X413" s="36" t="n">
        <f>19</f>
        <v>19.0</v>
      </c>
    </row>
    <row r="414">
      <c r="A414" s="27" t="s">
        <v>42</v>
      </c>
      <c r="B414" s="27" t="s">
        <v>1289</v>
      </c>
      <c r="C414" s="27" t="s">
        <v>1290</v>
      </c>
      <c r="D414" s="27" t="s">
        <v>1291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151100</f>
        <v>151100.0</v>
      </c>
      <c r="L414" s="34" t="s">
        <v>48</v>
      </c>
      <c r="M414" s="33" t="n">
        <f>157500</f>
        <v>157500.0</v>
      </c>
      <c r="N414" s="34" t="s">
        <v>49</v>
      </c>
      <c r="O414" s="33" t="n">
        <f>151100</f>
        <v>151100.0</v>
      </c>
      <c r="P414" s="34" t="s">
        <v>48</v>
      </c>
      <c r="Q414" s="33" t="n">
        <f>153600</f>
        <v>153600.0</v>
      </c>
      <c r="R414" s="34" t="s">
        <v>51</v>
      </c>
      <c r="S414" s="35" t="n">
        <f>153731.58</f>
        <v>153731.58</v>
      </c>
      <c r="T414" s="32" t="n">
        <f>176970</f>
        <v>176970.0</v>
      </c>
      <c r="U414" s="32" t="n">
        <f>36718</f>
        <v>36718.0</v>
      </c>
      <c r="V414" s="32" t="n">
        <f>27202944094</f>
        <v>2.7202944094E10</v>
      </c>
      <c r="W414" s="32" t="n">
        <f>5638883594</f>
        <v>5.638883594E9</v>
      </c>
      <c r="X414" s="36" t="n">
        <f>19</f>
        <v>19.0</v>
      </c>
    </row>
    <row r="415">
      <c r="A415" s="27" t="s">
        <v>42</v>
      </c>
      <c r="B415" s="27" t="s">
        <v>1292</v>
      </c>
      <c r="C415" s="27" t="s">
        <v>1293</v>
      </c>
      <c r="D415" s="27" t="s">
        <v>1294</v>
      </c>
      <c r="E415" s="28" t="s">
        <v>46</v>
      </c>
      <c r="F415" s="29" t="s">
        <v>46</v>
      </c>
      <c r="G415" s="30" t="s">
        <v>46</v>
      </c>
      <c r="H415" s="31"/>
      <c r="I415" s="31" t="s">
        <v>47</v>
      </c>
      <c r="J415" s="32" t="n">
        <v>1.0</v>
      </c>
      <c r="K415" s="33" t="n">
        <f>331000</f>
        <v>331000.0</v>
      </c>
      <c r="L415" s="34" t="s">
        <v>48</v>
      </c>
      <c r="M415" s="33" t="n">
        <f>359500</f>
        <v>359500.0</v>
      </c>
      <c r="N415" s="34" t="s">
        <v>649</v>
      </c>
      <c r="O415" s="33" t="n">
        <f>328000</f>
        <v>328000.0</v>
      </c>
      <c r="P415" s="34" t="s">
        <v>48</v>
      </c>
      <c r="Q415" s="33" t="n">
        <f>348500</f>
        <v>348500.0</v>
      </c>
      <c r="R415" s="34" t="s">
        <v>51</v>
      </c>
      <c r="S415" s="35" t="n">
        <f>347184.21</f>
        <v>347184.21</v>
      </c>
      <c r="T415" s="32" t="n">
        <f>70530</f>
        <v>70530.0</v>
      </c>
      <c r="U415" s="32" t="n">
        <f>21287</f>
        <v>21287.0</v>
      </c>
      <c r="V415" s="32" t="n">
        <f>24534782649</f>
        <v>2.4534782649E10</v>
      </c>
      <c r="W415" s="32" t="n">
        <f>7417470649</f>
        <v>7.417470649E9</v>
      </c>
      <c r="X415" s="36" t="n">
        <f>19</f>
        <v>19.0</v>
      </c>
    </row>
    <row r="416">
      <c r="A416" s="27" t="s">
        <v>42</v>
      </c>
      <c r="B416" s="27" t="s">
        <v>1295</v>
      </c>
      <c r="C416" s="27" t="s">
        <v>1296</v>
      </c>
      <c r="D416" s="27" t="s">
        <v>1297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117400</f>
        <v>117400.0</v>
      </c>
      <c r="L416" s="34" t="s">
        <v>48</v>
      </c>
      <c r="M416" s="33" t="n">
        <f>118000</f>
        <v>118000.0</v>
      </c>
      <c r="N416" s="34" t="s">
        <v>48</v>
      </c>
      <c r="O416" s="33" t="n">
        <f>113900</f>
        <v>113900.0</v>
      </c>
      <c r="P416" s="34" t="s">
        <v>72</v>
      </c>
      <c r="Q416" s="33" t="n">
        <f>114700</f>
        <v>114700.0</v>
      </c>
      <c r="R416" s="34" t="s">
        <v>51</v>
      </c>
      <c r="S416" s="35" t="n">
        <f>115721.05</f>
        <v>115721.05</v>
      </c>
      <c r="T416" s="32" t="n">
        <f>63973</f>
        <v>63973.0</v>
      </c>
      <c r="U416" s="32" t="n">
        <f>14771</f>
        <v>14771.0</v>
      </c>
      <c r="V416" s="32" t="n">
        <f>7399414214</f>
        <v>7.399414214E9</v>
      </c>
      <c r="W416" s="32" t="n">
        <f>1707763314</f>
        <v>1.707763314E9</v>
      </c>
      <c r="X416" s="36" t="n">
        <f>19</f>
        <v>19.0</v>
      </c>
    </row>
    <row r="417">
      <c r="A417" s="27" t="s">
        <v>42</v>
      </c>
      <c r="B417" s="27" t="s">
        <v>1298</v>
      </c>
      <c r="C417" s="27" t="s">
        <v>1299</v>
      </c>
      <c r="D417" s="27" t="s">
        <v>1300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151900</f>
        <v>151900.0</v>
      </c>
      <c r="L417" s="34" t="s">
        <v>48</v>
      </c>
      <c r="M417" s="33" t="n">
        <f>159400</f>
        <v>159400.0</v>
      </c>
      <c r="N417" s="34" t="s">
        <v>162</v>
      </c>
      <c r="O417" s="33" t="n">
        <f>146000</f>
        <v>146000.0</v>
      </c>
      <c r="P417" s="34" t="s">
        <v>50</v>
      </c>
      <c r="Q417" s="33" t="n">
        <f>155100</f>
        <v>155100.0</v>
      </c>
      <c r="R417" s="34" t="s">
        <v>51</v>
      </c>
      <c r="S417" s="35" t="n">
        <f>152526.32</f>
        <v>152526.32</v>
      </c>
      <c r="T417" s="32" t="n">
        <f>71904</f>
        <v>71904.0</v>
      </c>
      <c r="U417" s="32" t="n">
        <f>11733</f>
        <v>11733.0</v>
      </c>
      <c r="V417" s="32" t="n">
        <f>10998448193</f>
        <v>1.0998448193E10</v>
      </c>
      <c r="W417" s="32" t="n">
        <f>1788947293</f>
        <v>1.788947293E9</v>
      </c>
      <c r="X417" s="36" t="n">
        <f>19</f>
        <v>19.0</v>
      </c>
    </row>
    <row r="418">
      <c r="A418" s="27" t="s">
        <v>42</v>
      </c>
      <c r="B418" s="27" t="s">
        <v>1301</v>
      </c>
      <c r="C418" s="27" t="s">
        <v>1302</v>
      </c>
      <c r="D418" s="27" t="s">
        <v>1303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102200</f>
        <v>102200.0</v>
      </c>
      <c r="L418" s="34" t="s">
        <v>48</v>
      </c>
      <c r="M418" s="33" t="n">
        <f>103000</f>
        <v>103000.0</v>
      </c>
      <c r="N418" s="34" t="s">
        <v>103</v>
      </c>
      <c r="O418" s="33" t="n">
        <f>98800</f>
        <v>98800.0</v>
      </c>
      <c r="P418" s="34" t="s">
        <v>49</v>
      </c>
      <c r="Q418" s="33" t="n">
        <f>99300</f>
        <v>99300.0</v>
      </c>
      <c r="R418" s="34" t="s">
        <v>51</v>
      </c>
      <c r="S418" s="35" t="n">
        <f>100984.21</f>
        <v>100984.21</v>
      </c>
      <c r="T418" s="32" t="n">
        <f>115156</f>
        <v>115156.0</v>
      </c>
      <c r="U418" s="32" t="n">
        <f>47621</f>
        <v>47621.0</v>
      </c>
      <c r="V418" s="32" t="n">
        <f>11573266880</f>
        <v>1.157326688E10</v>
      </c>
      <c r="W418" s="32" t="n">
        <f>4765122380</f>
        <v>4.76512238E9</v>
      </c>
      <c r="X418" s="36" t="n">
        <f>19</f>
        <v>19.0</v>
      </c>
    </row>
    <row r="419">
      <c r="A419" s="27" t="s">
        <v>42</v>
      </c>
      <c r="B419" s="27" t="s">
        <v>1304</v>
      </c>
      <c r="C419" s="27" t="s">
        <v>1305</v>
      </c>
      <c r="D419" s="27" t="s">
        <v>1306</v>
      </c>
      <c r="E419" s="28" t="s">
        <v>46</v>
      </c>
      <c r="F419" s="29" t="s">
        <v>46</v>
      </c>
      <c r="G419" s="30" t="s">
        <v>46</v>
      </c>
      <c r="H419" s="31"/>
      <c r="I419" s="31" t="s">
        <v>47</v>
      </c>
      <c r="J419" s="32" t="n">
        <v>1.0</v>
      </c>
      <c r="K419" s="33" t="n">
        <f>143900</f>
        <v>143900.0</v>
      </c>
      <c r="L419" s="34" t="s">
        <v>48</v>
      </c>
      <c r="M419" s="33" t="n">
        <f>144200</f>
        <v>144200.0</v>
      </c>
      <c r="N419" s="34" t="s">
        <v>48</v>
      </c>
      <c r="O419" s="33" t="n">
        <f>136100</f>
        <v>136100.0</v>
      </c>
      <c r="P419" s="34" t="s">
        <v>72</v>
      </c>
      <c r="Q419" s="33" t="n">
        <f>138100</f>
        <v>138100.0</v>
      </c>
      <c r="R419" s="34" t="s">
        <v>51</v>
      </c>
      <c r="S419" s="35" t="n">
        <f>139847.37</f>
        <v>139847.37</v>
      </c>
      <c r="T419" s="32" t="n">
        <f>293745</f>
        <v>293745.0</v>
      </c>
      <c r="U419" s="32" t="n">
        <f>81188</f>
        <v>81188.0</v>
      </c>
      <c r="V419" s="32" t="n">
        <f>41073317669</f>
        <v>4.1073317669E10</v>
      </c>
      <c r="W419" s="32" t="n">
        <f>11362672369</f>
        <v>1.1362672369E10</v>
      </c>
      <c r="X419" s="36" t="n">
        <f>19</f>
        <v>19.0</v>
      </c>
    </row>
    <row r="420">
      <c r="A420" s="27" t="s">
        <v>42</v>
      </c>
      <c r="B420" s="27" t="s">
        <v>1307</v>
      </c>
      <c r="C420" s="27" t="s">
        <v>1308</v>
      </c>
      <c r="D420" s="27" t="s">
        <v>1309</v>
      </c>
      <c r="E420" s="28" t="s">
        <v>46</v>
      </c>
      <c r="F420" s="29" t="s">
        <v>46</v>
      </c>
      <c r="G420" s="30" t="s">
        <v>46</v>
      </c>
      <c r="H420" s="31"/>
      <c r="I420" s="31" t="s">
        <v>47</v>
      </c>
      <c r="J420" s="32" t="n">
        <v>1.0</v>
      </c>
      <c r="K420" s="33" t="n">
        <f>66300</f>
        <v>66300.0</v>
      </c>
      <c r="L420" s="34" t="s">
        <v>48</v>
      </c>
      <c r="M420" s="33" t="n">
        <f>66900</f>
        <v>66900.0</v>
      </c>
      <c r="N420" s="34" t="s">
        <v>48</v>
      </c>
      <c r="O420" s="33" t="n">
        <f>63000</f>
        <v>63000.0</v>
      </c>
      <c r="P420" s="34" t="s">
        <v>50</v>
      </c>
      <c r="Q420" s="33" t="n">
        <f>65200</f>
        <v>65200.0</v>
      </c>
      <c r="R420" s="34" t="s">
        <v>51</v>
      </c>
      <c r="S420" s="35" t="n">
        <f>65210.53</f>
        <v>65210.53</v>
      </c>
      <c r="T420" s="32" t="n">
        <f>168275</f>
        <v>168275.0</v>
      </c>
      <c r="U420" s="32" t="n">
        <f>30236</f>
        <v>30236.0</v>
      </c>
      <c r="V420" s="32" t="n">
        <f>10975585932</f>
        <v>1.0975585932E10</v>
      </c>
      <c r="W420" s="32" t="n">
        <f>1972087132</f>
        <v>1.972087132E9</v>
      </c>
      <c r="X420" s="36" t="n">
        <f>19</f>
        <v>19.0</v>
      </c>
    </row>
    <row r="421">
      <c r="A421" s="27" t="s">
        <v>42</v>
      </c>
      <c r="B421" s="27" t="s">
        <v>1310</v>
      </c>
      <c r="C421" s="27" t="s">
        <v>1311</v>
      </c>
      <c r="D421" s="27" t="s">
        <v>1312</v>
      </c>
      <c r="E421" s="28" t="s">
        <v>46</v>
      </c>
      <c r="F421" s="29" t="s">
        <v>46</v>
      </c>
      <c r="G421" s="30" t="s">
        <v>46</v>
      </c>
      <c r="H421" s="31"/>
      <c r="I421" s="31" t="s">
        <v>47</v>
      </c>
      <c r="J421" s="32" t="n">
        <v>1.0</v>
      </c>
      <c r="K421" s="33" t="n">
        <f>65000</f>
        <v>65000.0</v>
      </c>
      <c r="L421" s="34" t="s">
        <v>48</v>
      </c>
      <c r="M421" s="33" t="n">
        <f>65000</f>
        <v>65000.0</v>
      </c>
      <c r="N421" s="34" t="s">
        <v>48</v>
      </c>
      <c r="O421" s="33" t="n">
        <f>57600</f>
        <v>57600.0</v>
      </c>
      <c r="P421" s="34" t="s">
        <v>61</v>
      </c>
      <c r="Q421" s="33" t="n">
        <f>62100</f>
        <v>62100.0</v>
      </c>
      <c r="R421" s="34" t="s">
        <v>51</v>
      </c>
      <c r="S421" s="35" t="n">
        <f>59868.42</f>
        <v>59868.42</v>
      </c>
      <c r="T421" s="32" t="n">
        <f>862287</f>
        <v>862287.0</v>
      </c>
      <c r="U421" s="32" t="n">
        <f>209217</f>
        <v>209217.0</v>
      </c>
      <c r="V421" s="32" t="n">
        <f>51616806272</f>
        <v>5.1616806272E10</v>
      </c>
      <c r="W421" s="32" t="n">
        <f>12529488372</f>
        <v>1.2529488372E10</v>
      </c>
      <c r="X421" s="36" t="n">
        <f>19</f>
        <v>19.0</v>
      </c>
    </row>
    <row r="422">
      <c r="A422" s="27" t="s">
        <v>42</v>
      </c>
      <c r="B422" s="27" t="s">
        <v>1313</v>
      </c>
      <c r="C422" s="27" t="s">
        <v>1314</v>
      </c>
      <c r="D422" s="27" t="s">
        <v>1315</v>
      </c>
      <c r="E422" s="28" t="s">
        <v>46</v>
      </c>
      <c r="F422" s="29" t="s">
        <v>46</v>
      </c>
      <c r="G422" s="30" t="s">
        <v>46</v>
      </c>
      <c r="H422" s="31"/>
      <c r="I422" s="31" t="s">
        <v>47</v>
      </c>
      <c r="J422" s="32" t="n">
        <v>1.0</v>
      </c>
      <c r="K422" s="33" t="n">
        <f>432000</f>
        <v>432000.0</v>
      </c>
      <c r="L422" s="34" t="s">
        <v>48</v>
      </c>
      <c r="M422" s="33" t="n">
        <f>434500</f>
        <v>434500.0</v>
      </c>
      <c r="N422" s="34" t="s">
        <v>267</v>
      </c>
      <c r="O422" s="33" t="n">
        <f>423000</f>
        <v>423000.0</v>
      </c>
      <c r="P422" s="34" t="s">
        <v>72</v>
      </c>
      <c r="Q422" s="33" t="n">
        <f>425500</f>
        <v>425500.0</v>
      </c>
      <c r="R422" s="34" t="s">
        <v>51</v>
      </c>
      <c r="S422" s="35" t="n">
        <f>429289.47</f>
        <v>429289.47</v>
      </c>
      <c r="T422" s="32" t="n">
        <f>27068</f>
        <v>27068.0</v>
      </c>
      <c r="U422" s="32" t="n">
        <f>6423</f>
        <v>6423.0</v>
      </c>
      <c r="V422" s="32" t="n">
        <f>11612283942</f>
        <v>1.1612283942E10</v>
      </c>
      <c r="W422" s="32" t="n">
        <f>2754898442</f>
        <v>2.754898442E9</v>
      </c>
      <c r="X422" s="36" t="n">
        <f>19</f>
        <v>19.0</v>
      </c>
    </row>
    <row r="423">
      <c r="A423" s="27" t="s">
        <v>42</v>
      </c>
      <c r="B423" s="27" t="s">
        <v>1316</v>
      </c>
      <c r="C423" s="27" t="s">
        <v>1317</v>
      </c>
      <c r="D423" s="27" t="s">
        <v>1318</v>
      </c>
      <c r="E423" s="28" t="s">
        <v>46</v>
      </c>
      <c r="F423" s="29" t="s">
        <v>46</v>
      </c>
      <c r="G423" s="30" t="s">
        <v>46</v>
      </c>
      <c r="H423" s="31"/>
      <c r="I423" s="31" t="s">
        <v>47</v>
      </c>
      <c r="J423" s="32" t="n">
        <v>1.0</v>
      </c>
      <c r="K423" s="33" t="n">
        <f>133400</f>
        <v>133400.0</v>
      </c>
      <c r="L423" s="34" t="s">
        <v>48</v>
      </c>
      <c r="M423" s="33" t="n">
        <f>134000</f>
        <v>134000.0</v>
      </c>
      <c r="N423" s="34" t="s">
        <v>48</v>
      </c>
      <c r="O423" s="33" t="n">
        <f>126800</f>
        <v>126800.0</v>
      </c>
      <c r="P423" s="34" t="s">
        <v>72</v>
      </c>
      <c r="Q423" s="33" t="n">
        <f>129500</f>
        <v>129500.0</v>
      </c>
      <c r="R423" s="34" t="s">
        <v>51</v>
      </c>
      <c r="S423" s="35" t="n">
        <f>129984.21</f>
        <v>129984.21</v>
      </c>
      <c r="T423" s="32" t="n">
        <f>63590</f>
        <v>63590.0</v>
      </c>
      <c r="U423" s="32" t="n">
        <f>9458</f>
        <v>9458.0</v>
      </c>
      <c r="V423" s="32" t="n">
        <f>8264738002</f>
        <v>8.264738002E9</v>
      </c>
      <c r="W423" s="32" t="n">
        <f>1226224202</f>
        <v>1.226224202E9</v>
      </c>
      <c r="X423" s="36" t="n">
        <f>19</f>
        <v>19.0</v>
      </c>
    </row>
    <row r="424">
      <c r="A424" s="27" t="s">
        <v>42</v>
      </c>
      <c r="B424" s="27" t="s">
        <v>1319</v>
      </c>
      <c r="C424" s="27" t="s">
        <v>1320</v>
      </c>
      <c r="D424" s="27" t="s">
        <v>1321</v>
      </c>
      <c r="E424" s="28" t="s">
        <v>46</v>
      </c>
      <c r="F424" s="29" t="s">
        <v>46</v>
      </c>
      <c r="G424" s="30" t="s">
        <v>46</v>
      </c>
      <c r="H424" s="31"/>
      <c r="I424" s="31" t="s">
        <v>47</v>
      </c>
      <c r="J424" s="32" t="n">
        <v>1.0</v>
      </c>
      <c r="K424" s="33" t="n">
        <f>264200</f>
        <v>264200.0</v>
      </c>
      <c r="L424" s="34" t="s">
        <v>48</v>
      </c>
      <c r="M424" s="33" t="n">
        <f>280600</f>
        <v>280600.0</v>
      </c>
      <c r="N424" s="34" t="s">
        <v>649</v>
      </c>
      <c r="O424" s="33" t="n">
        <f>260700</f>
        <v>260700.0</v>
      </c>
      <c r="P424" s="34" t="s">
        <v>72</v>
      </c>
      <c r="Q424" s="33" t="n">
        <f>274100</f>
        <v>274100.0</v>
      </c>
      <c r="R424" s="34" t="s">
        <v>51</v>
      </c>
      <c r="S424" s="35" t="n">
        <f>272189.47</f>
        <v>272189.47</v>
      </c>
      <c r="T424" s="32" t="n">
        <f>67046</f>
        <v>67046.0</v>
      </c>
      <c r="U424" s="32" t="n">
        <f>13923</f>
        <v>13923.0</v>
      </c>
      <c r="V424" s="32" t="n">
        <f>18250790493</f>
        <v>1.8250790493E10</v>
      </c>
      <c r="W424" s="32" t="n">
        <f>3786562893</f>
        <v>3.786562893E9</v>
      </c>
      <c r="X424" s="36" t="n">
        <f>19</f>
        <v>19.0</v>
      </c>
    </row>
    <row r="425">
      <c r="A425" s="27" t="s">
        <v>42</v>
      </c>
      <c r="B425" s="27" t="s">
        <v>1322</v>
      </c>
      <c r="C425" s="27" t="s">
        <v>1323</v>
      </c>
      <c r="D425" s="27" t="s">
        <v>1324</v>
      </c>
      <c r="E425" s="28" t="s">
        <v>46</v>
      </c>
      <c r="F425" s="29" t="s">
        <v>46</v>
      </c>
      <c r="G425" s="30" t="s">
        <v>46</v>
      </c>
      <c r="H425" s="31"/>
      <c r="I425" s="31" t="s">
        <v>47</v>
      </c>
      <c r="J425" s="32" t="n">
        <v>1.0</v>
      </c>
      <c r="K425" s="33" t="n">
        <f>148200</f>
        <v>148200.0</v>
      </c>
      <c r="L425" s="34" t="s">
        <v>48</v>
      </c>
      <c r="M425" s="33" t="n">
        <f>150600</f>
        <v>150600.0</v>
      </c>
      <c r="N425" s="34" t="s">
        <v>49</v>
      </c>
      <c r="O425" s="33" t="n">
        <f>140400</f>
        <v>140400.0</v>
      </c>
      <c r="P425" s="34" t="s">
        <v>72</v>
      </c>
      <c r="Q425" s="33" t="n">
        <f>146600</f>
        <v>146600.0</v>
      </c>
      <c r="R425" s="34" t="s">
        <v>51</v>
      </c>
      <c r="S425" s="35" t="n">
        <f>146136.84</f>
        <v>146136.84</v>
      </c>
      <c r="T425" s="32" t="n">
        <f>204158</f>
        <v>204158.0</v>
      </c>
      <c r="U425" s="32" t="n">
        <f>27812</f>
        <v>27812.0</v>
      </c>
      <c r="V425" s="32" t="n">
        <f>29475469417</f>
        <v>2.9475469417E10</v>
      </c>
      <c r="W425" s="32" t="n">
        <f>4014381817</f>
        <v>4.014381817E9</v>
      </c>
      <c r="X425" s="36" t="n">
        <f>19</f>
        <v>19.0</v>
      </c>
    </row>
    <row r="426">
      <c r="A426" s="27" t="s">
        <v>42</v>
      </c>
      <c r="B426" s="27" t="s">
        <v>1325</v>
      </c>
      <c r="C426" s="27" t="s">
        <v>1326</v>
      </c>
      <c r="D426" s="27" t="s">
        <v>1327</v>
      </c>
      <c r="E426" s="28" t="s">
        <v>46</v>
      </c>
      <c r="F426" s="29" t="s">
        <v>46</v>
      </c>
      <c r="G426" s="30" t="s">
        <v>46</v>
      </c>
      <c r="H426" s="31"/>
      <c r="I426" s="31" t="s">
        <v>47</v>
      </c>
      <c r="J426" s="32" t="n">
        <v>1.0</v>
      </c>
      <c r="K426" s="33" t="n">
        <f>161600</f>
        <v>161600.0</v>
      </c>
      <c r="L426" s="34" t="s">
        <v>48</v>
      </c>
      <c r="M426" s="33" t="n">
        <f>161900</f>
        <v>161900.0</v>
      </c>
      <c r="N426" s="34" t="s">
        <v>48</v>
      </c>
      <c r="O426" s="33" t="n">
        <f>150500</f>
        <v>150500.0</v>
      </c>
      <c r="P426" s="34" t="s">
        <v>51</v>
      </c>
      <c r="Q426" s="33" t="n">
        <f>151200</f>
        <v>151200.0</v>
      </c>
      <c r="R426" s="34" t="s">
        <v>51</v>
      </c>
      <c r="S426" s="35" t="n">
        <f>155252.63</f>
        <v>155252.63</v>
      </c>
      <c r="T426" s="32" t="n">
        <f>280747</f>
        <v>280747.0</v>
      </c>
      <c r="U426" s="32" t="n">
        <f>63925</f>
        <v>63925.0</v>
      </c>
      <c r="V426" s="32" t="n">
        <f>43566640719</f>
        <v>4.3566640719E10</v>
      </c>
      <c r="W426" s="32" t="n">
        <f>9923609919</f>
        <v>9.923609919E9</v>
      </c>
      <c r="X426" s="36" t="n">
        <f>19</f>
        <v>19.0</v>
      </c>
    </row>
    <row r="427">
      <c r="A427" s="27" t="s">
        <v>42</v>
      </c>
      <c r="B427" s="27" t="s">
        <v>1328</v>
      </c>
      <c r="C427" s="27" t="s">
        <v>1329</v>
      </c>
      <c r="D427" s="27" t="s">
        <v>1330</v>
      </c>
      <c r="E427" s="28" t="s">
        <v>46</v>
      </c>
      <c r="F427" s="29" t="s">
        <v>46</v>
      </c>
      <c r="G427" s="30" t="s">
        <v>46</v>
      </c>
      <c r="H427" s="31"/>
      <c r="I427" s="31" t="s">
        <v>47</v>
      </c>
      <c r="J427" s="32" t="n">
        <v>1.0</v>
      </c>
      <c r="K427" s="33" t="n">
        <f>85200</f>
        <v>85200.0</v>
      </c>
      <c r="L427" s="34" t="s">
        <v>48</v>
      </c>
      <c r="M427" s="33" t="n">
        <f>85900</f>
        <v>85900.0</v>
      </c>
      <c r="N427" s="34" t="s">
        <v>48</v>
      </c>
      <c r="O427" s="33" t="n">
        <f>81800</f>
        <v>81800.0</v>
      </c>
      <c r="P427" s="34" t="s">
        <v>72</v>
      </c>
      <c r="Q427" s="33" t="n">
        <f>83300</f>
        <v>83300.0</v>
      </c>
      <c r="R427" s="34" t="s">
        <v>51</v>
      </c>
      <c r="S427" s="35" t="n">
        <f>83326.32</f>
        <v>83326.32</v>
      </c>
      <c r="T427" s="32" t="n">
        <f>106867</f>
        <v>106867.0</v>
      </c>
      <c r="U427" s="32" t="n">
        <f>21295</f>
        <v>21295.0</v>
      </c>
      <c r="V427" s="32" t="n">
        <f>8894514934</f>
        <v>8.894514934E9</v>
      </c>
      <c r="W427" s="32" t="n">
        <f>1771282734</f>
        <v>1.771282734E9</v>
      </c>
      <c r="X427" s="36" t="n">
        <f>19</f>
        <v>19.0</v>
      </c>
    </row>
    <row r="428">
      <c r="A428" s="27" t="s">
        <v>42</v>
      </c>
      <c r="B428" s="27" t="s">
        <v>1331</v>
      </c>
      <c r="C428" s="27" t="s">
        <v>1332</v>
      </c>
      <c r="D428" s="27" t="s">
        <v>1333</v>
      </c>
      <c r="E428" s="28" t="s">
        <v>46</v>
      </c>
      <c r="F428" s="29" t="s">
        <v>46</v>
      </c>
      <c r="G428" s="30" t="s">
        <v>46</v>
      </c>
      <c r="H428" s="31"/>
      <c r="I428" s="31" t="s">
        <v>47</v>
      </c>
      <c r="J428" s="32" t="n">
        <v>1.0</v>
      </c>
      <c r="K428" s="33" t="n">
        <f>307500</f>
        <v>307500.0</v>
      </c>
      <c r="L428" s="34" t="s">
        <v>48</v>
      </c>
      <c r="M428" s="33" t="n">
        <f>316500</f>
        <v>316500.0</v>
      </c>
      <c r="N428" s="34" t="s">
        <v>61</v>
      </c>
      <c r="O428" s="33" t="n">
        <f>302000</f>
        <v>302000.0</v>
      </c>
      <c r="P428" s="34" t="s">
        <v>51</v>
      </c>
      <c r="Q428" s="33" t="n">
        <f>302500</f>
        <v>302500.0</v>
      </c>
      <c r="R428" s="34" t="s">
        <v>51</v>
      </c>
      <c r="S428" s="35" t="n">
        <f>308394.74</f>
        <v>308394.74</v>
      </c>
      <c r="T428" s="32" t="n">
        <f>41069</f>
        <v>41069.0</v>
      </c>
      <c r="U428" s="32" t="n">
        <f>10384</f>
        <v>10384.0</v>
      </c>
      <c r="V428" s="32" t="n">
        <f>12654208280</f>
        <v>1.265420828E10</v>
      </c>
      <c r="W428" s="32" t="n">
        <f>3194975280</f>
        <v>3.19497528E9</v>
      </c>
      <c r="X428" s="36" t="n">
        <f>19</f>
        <v>19.0</v>
      </c>
    </row>
    <row r="429">
      <c r="A429" s="27" t="s">
        <v>42</v>
      </c>
      <c r="B429" s="27" t="s">
        <v>1334</v>
      </c>
      <c r="C429" s="27" t="s">
        <v>1335</v>
      </c>
      <c r="D429" s="27" t="s">
        <v>1336</v>
      </c>
      <c r="E429" s="28" t="s">
        <v>46</v>
      </c>
      <c r="F429" s="29" t="s">
        <v>46</v>
      </c>
      <c r="G429" s="30" t="s">
        <v>46</v>
      </c>
      <c r="H429" s="31"/>
      <c r="I429" s="31" t="s">
        <v>47</v>
      </c>
      <c r="J429" s="32" t="n">
        <v>1.0</v>
      </c>
      <c r="K429" s="33" t="n">
        <f>130400</f>
        <v>130400.0</v>
      </c>
      <c r="L429" s="34" t="s">
        <v>48</v>
      </c>
      <c r="M429" s="33" t="n">
        <f>131000</f>
        <v>131000.0</v>
      </c>
      <c r="N429" s="34" t="s">
        <v>48</v>
      </c>
      <c r="O429" s="33" t="n">
        <f>123100</f>
        <v>123100.0</v>
      </c>
      <c r="P429" s="34" t="s">
        <v>50</v>
      </c>
      <c r="Q429" s="33" t="n">
        <f>123800</f>
        <v>123800.0</v>
      </c>
      <c r="R429" s="34" t="s">
        <v>51</v>
      </c>
      <c r="S429" s="35" t="n">
        <f>126105.26</f>
        <v>126105.26</v>
      </c>
      <c r="T429" s="32" t="n">
        <f>40062</f>
        <v>40062.0</v>
      </c>
      <c r="U429" s="32" t="n">
        <f>7975</f>
        <v>7975.0</v>
      </c>
      <c r="V429" s="32" t="n">
        <f>5042657425</f>
        <v>5.042657425E9</v>
      </c>
      <c r="W429" s="32" t="n">
        <f>1002669925</f>
        <v>1.002669925E9</v>
      </c>
      <c r="X429" s="36" t="n">
        <f>19</f>
        <v>19.0</v>
      </c>
    </row>
    <row r="430">
      <c r="A430" s="27" t="s">
        <v>42</v>
      </c>
      <c r="B430" s="27" t="s">
        <v>1337</v>
      </c>
      <c r="C430" s="27" t="s">
        <v>1338</v>
      </c>
      <c r="D430" s="27" t="s">
        <v>1339</v>
      </c>
      <c r="E430" s="28" t="s">
        <v>46</v>
      </c>
      <c r="F430" s="29" t="s">
        <v>46</v>
      </c>
      <c r="G430" s="30" t="s">
        <v>46</v>
      </c>
      <c r="H430" s="31"/>
      <c r="I430" s="31" t="s">
        <v>421</v>
      </c>
      <c r="J430" s="32" t="n">
        <v>1.0</v>
      </c>
      <c r="K430" s="33" t="n">
        <f>196900</f>
        <v>196900.0</v>
      </c>
      <c r="L430" s="34" t="s">
        <v>48</v>
      </c>
      <c r="M430" s="33" t="n">
        <f>199000</f>
        <v>199000.0</v>
      </c>
      <c r="N430" s="34" t="s">
        <v>48</v>
      </c>
      <c r="O430" s="33" t="n">
        <f>189100</f>
        <v>189100.0</v>
      </c>
      <c r="P430" s="34" t="s">
        <v>50</v>
      </c>
      <c r="Q430" s="33" t="n">
        <f>192800</f>
        <v>192800.0</v>
      </c>
      <c r="R430" s="34" t="s">
        <v>51</v>
      </c>
      <c r="S430" s="35" t="n">
        <f>193673.68</f>
        <v>193673.68</v>
      </c>
      <c r="T430" s="32" t="n">
        <f>13818</f>
        <v>13818.0</v>
      </c>
      <c r="U430" s="32" t="n">
        <f>1979</f>
        <v>1979.0</v>
      </c>
      <c r="V430" s="32" t="n">
        <f>2677996760</f>
        <v>2.67799676E9</v>
      </c>
      <c r="W430" s="32" t="n">
        <f>383073960</f>
        <v>3.8307396E8</v>
      </c>
      <c r="X430" s="36" t="n">
        <f>19</f>
        <v>19.0</v>
      </c>
    </row>
    <row r="431">
      <c r="A431" s="27" t="s">
        <v>42</v>
      </c>
      <c r="B431" s="27" t="s">
        <v>1340</v>
      </c>
      <c r="C431" s="27" t="s">
        <v>1341</v>
      </c>
      <c r="D431" s="27" t="s">
        <v>1342</v>
      </c>
      <c r="E431" s="28" t="s">
        <v>46</v>
      </c>
      <c r="F431" s="29" t="s">
        <v>46</v>
      </c>
      <c r="G431" s="30" t="s">
        <v>46</v>
      </c>
      <c r="H431" s="31"/>
      <c r="I431" s="31" t="s">
        <v>47</v>
      </c>
      <c r="J431" s="32" t="n">
        <v>1.0</v>
      </c>
      <c r="K431" s="33" t="n">
        <f>235300</f>
        <v>235300.0</v>
      </c>
      <c r="L431" s="34" t="s">
        <v>48</v>
      </c>
      <c r="M431" s="33" t="n">
        <f>239400</f>
        <v>239400.0</v>
      </c>
      <c r="N431" s="34" t="s">
        <v>49</v>
      </c>
      <c r="O431" s="33" t="n">
        <f>232200</f>
        <v>232200.0</v>
      </c>
      <c r="P431" s="34" t="s">
        <v>50</v>
      </c>
      <c r="Q431" s="33" t="n">
        <f>235500</f>
        <v>235500.0</v>
      </c>
      <c r="R431" s="34" t="s">
        <v>51</v>
      </c>
      <c r="S431" s="35" t="n">
        <f>235352.63</f>
        <v>235352.63</v>
      </c>
      <c r="T431" s="32" t="n">
        <f>142757</f>
        <v>142757.0</v>
      </c>
      <c r="U431" s="32" t="n">
        <f>27120</f>
        <v>27120.0</v>
      </c>
      <c r="V431" s="32" t="n">
        <f>33613667857</f>
        <v>3.3613667857E10</v>
      </c>
      <c r="W431" s="32" t="n">
        <f>6382164557</f>
        <v>6.382164557E9</v>
      </c>
      <c r="X431" s="36" t="n">
        <f>19</f>
        <v>19.0</v>
      </c>
    </row>
    <row r="432">
      <c r="A432" s="27" t="s">
        <v>42</v>
      </c>
      <c r="B432" s="27" t="s">
        <v>1343</v>
      </c>
      <c r="C432" s="27" t="s">
        <v>1344</v>
      </c>
      <c r="D432" s="27" t="s">
        <v>1345</v>
      </c>
      <c r="E432" s="28" t="s">
        <v>46</v>
      </c>
      <c r="F432" s="29" t="s">
        <v>46</v>
      </c>
      <c r="G432" s="30" t="s">
        <v>46</v>
      </c>
      <c r="H432" s="31"/>
      <c r="I432" s="31" t="s">
        <v>47</v>
      </c>
      <c r="J432" s="32" t="n">
        <v>1.0</v>
      </c>
      <c r="K432" s="33" t="n">
        <f>75000</f>
        <v>75000.0</v>
      </c>
      <c r="L432" s="34" t="s">
        <v>48</v>
      </c>
      <c r="M432" s="33" t="n">
        <f>75000</f>
        <v>75000.0</v>
      </c>
      <c r="N432" s="34" t="s">
        <v>48</v>
      </c>
      <c r="O432" s="33" t="n">
        <f>67800</f>
        <v>67800.0</v>
      </c>
      <c r="P432" s="34" t="s">
        <v>61</v>
      </c>
      <c r="Q432" s="33" t="n">
        <f>71500</f>
        <v>71500.0</v>
      </c>
      <c r="R432" s="34" t="s">
        <v>51</v>
      </c>
      <c r="S432" s="35" t="n">
        <f>70605.26</f>
        <v>70605.26</v>
      </c>
      <c r="T432" s="32" t="n">
        <f>554762</f>
        <v>554762.0</v>
      </c>
      <c r="U432" s="32" t="n">
        <f>143916</f>
        <v>143916.0</v>
      </c>
      <c r="V432" s="32" t="n">
        <f>39151603048</f>
        <v>3.9151603048E10</v>
      </c>
      <c r="W432" s="32" t="n">
        <f>10141365548</f>
        <v>1.0141365548E10</v>
      </c>
      <c r="X432" s="36" t="n">
        <f>19</f>
        <v>19.0</v>
      </c>
    </row>
    <row r="433">
      <c r="A433" s="27" t="s">
        <v>42</v>
      </c>
      <c r="B433" s="27" t="s">
        <v>1346</v>
      </c>
      <c r="C433" s="27" t="s">
        <v>1347</v>
      </c>
      <c r="D433" s="27" t="s">
        <v>1348</v>
      </c>
      <c r="E433" s="28" t="s">
        <v>46</v>
      </c>
      <c r="F433" s="29" t="s">
        <v>46</v>
      </c>
      <c r="G433" s="30" t="s">
        <v>46</v>
      </c>
      <c r="H433" s="31"/>
      <c r="I433" s="31" t="s">
        <v>47</v>
      </c>
      <c r="J433" s="32" t="n">
        <v>1.0</v>
      </c>
      <c r="K433" s="33" t="n">
        <f>103700</f>
        <v>103700.0</v>
      </c>
      <c r="L433" s="34" t="s">
        <v>48</v>
      </c>
      <c r="M433" s="33" t="n">
        <f>104700</f>
        <v>104700.0</v>
      </c>
      <c r="N433" s="34" t="s">
        <v>103</v>
      </c>
      <c r="O433" s="33" t="n">
        <f>97100</f>
        <v>97100.0</v>
      </c>
      <c r="P433" s="34" t="s">
        <v>51</v>
      </c>
      <c r="Q433" s="33" t="n">
        <f>97100</f>
        <v>97100.0</v>
      </c>
      <c r="R433" s="34" t="s">
        <v>51</v>
      </c>
      <c r="S433" s="35" t="n">
        <f>101394.74</f>
        <v>101394.74</v>
      </c>
      <c r="T433" s="32" t="n">
        <f>130162</f>
        <v>130162.0</v>
      </c>
      <c r="U433" s="32" t="n">
        <f>22966</f>
        <v>22966.0</v>
      </c>
      <c r="V433" s="32" t="n">
        <f>13167605668</f>
        <v>1.3167605668E10</v>
      </c>
      <c r="W433" s="32" t="n">
        <f>2329114768</f>
        <v>2.329114768E9</v>
      </c>
      <c r="X433" s="36" t="n">
        <f>19</f>
        <v>19.0</v>
      </c>
    </row>
    <row r="434">
      <c r="A434" s="27" t="s">
        <v>42</v>
      </c>
      <c r="B434" s="27" t="s">
        <v>1349</v>
      </c>
      <c r="C434" s="27" t="s">
        <v>1350</v>
      </c>
      <c r="D434" s="27" t="s">
        <v>1351</v>
      </c>
      <c r="E434" s="28" t="s">
        <v>46</v>
      </c>
      <c r="F434" s="29" t="s">
        <v>46</v>
      </c>
      <c r="G434" s="30" t="s">
        <v>46</v>
      </c>
      <c r="H434" s="31"/>
      <c r="I434" s="31" t="s">
        <v>47</v>
      </c>
      <c r="J434" s="32" t="n">
        <v>1.0</v>
      </c>
      <c r="K434" s="33" t="n">
        <f>126900</f>
        <v>126900.0</v>
      </c>
      <c r="L434" s="34" t="s">
        <v>48</v>
      </c>
      <c r="M434" s="33" t="n">
        <f>129500</f>
        <v>129500.0</v>
      </c>
      <c r="N434" s="34" t="s">
        <v>103</v>
      </c>
      <c r="O434" s="33" t="n">
        <f>121100</f>
        <v>121100.0</v>
      </c>
      <c r="P434" s="34" t="s">
        <v>567</v>
      </c>
      <c r="Q434" s="33" t="n">
        <f>121900</f>
        <v>121900.0</v>
      </c>
      <c r="R434" s="34" t="s">
        <v>51</v>
      </c>
      <c r="S434" s="35" t="n">
        <f>124300</f>
        <v>124300.0</v>
      </c>
      <c r="T434" s="32" t="n">
        <f>90575</f>
        <v>90575.0</v>
      </c>
      <c r="U434" s="32" t="n">
        <f>14845</f>
        <v>14845.0</v>
      </c>
      <c r="V434" s="32" t="n">
        <f>11271588561</f>
        <v>1.1271588561E10</v>
      </c>
      <c r="W434" s="32" t="n">
        <f>1847762961</f>
        <v>1.847762961E9</v>
      </c>
      <c r="X434" s="36" t="n">
        <f>19</f>
        <v>19.0</v>
      </c>
    </row>
    <row r="435">
      <c r="A435" s="27" t="s">
        <v>42</v>
      </c>
      <c r="B435" s="27" t="s">
        <v>1352</v>
      </c>
      <c r="C435" s="27" t="s">
        <v>1353</v>
      </c>
      <c r="D435" s="27" t="s">
        <v>1354</v>
      </c>
      <c r="E435" s="28" t="s">
        <v>46</v>
      </c>
      <c r="F435" s="29" t="s">
        <v>46</v>
      </c>
      <c r="G435" s="30" t="s">
        <v>46</v>
      </c>
      <c r="H435" s="31"/>
      <c r="I435" s="31" t="s">
        <v>421</v>
      </c>
      <c r="J435" s="32" t="n">
        <v>1.0</v>
      </c>
      <c r="K435" s="33" t="n">
        <f>55600</f>
        <v>55600.0</v>
      </c>
      <c r="L435" s="34" t="s">
        <v>48</v>
      </c>
      <c r="M435" s="33" t="n">
        <f>56600</f>
        <v>56600.0</v>
      </c>
      <c r="N435" s="34" t="s">
        <v>50</v>
      </c>
      <c r="O435" s="33" t="n">
        <f>50000</f>
        <v>50000.0</v>
      </c>
      <c r="P435" s="34" t="s">
        <v>162</v>
      </c>
      <c r="Q435" s="33" t="n">
        <f>54500</f>
        <v>54500.0</v>
      </c>
      <c r="R435" s="34" t="s">
        <v>51</v>
      </c>
      <c r="S435" s="35" t="n">
        <f>53810.53</f>
        <v>53810.53</v>
      </c>
      <c r="T435" s="32" t="n">
        <f>3551</f>
        <v>3551.0</v>
      </c>
      <c r="U435" s="32" t="n">
        <f>12</f>
        <v>12.0</v>
      </c>
      <c r="V435" s="32" t="n">
        <f>190128200</f>
        <v>1.901282E8</v>
      </c>
      <c r="W435" s="32" t="n">
        <f>637100</f>
        <v>637100.0</v>
      </c>
      <c r="X435" s="36" t="n">
        <f>19</f>
        <v>19.0</v>
      </c>
    </row>
    <row r="436">
      <c r="A436" s="27" t="s">
        <v>42</v>
      </c>
      <c r="B436" s="27" t="s">
        <v>1355</v>
      </c>
      <c r="C436" s="27" t="s">
        <v>1356</v>
      </c>
      <c r="D436" s="27" t="s">
        <v>1357</v>
      </c>
      <c r="E436" s="28" t="s">
        <v>46</v>
      </c>
      <c r="F436" s="29" t="s">
        <v>46</v>
      </c>
      <c r="G436" s="30" t="s">
        <v>46</v>
      </c>
      <c r="H436" s="31"/>
      <c r="I436" s="31" t="s">
        <v>421</v>
      </c>
      <c r="J436" s="32" t="n">
        <v>1.0</v>
      </c>
      <c r="K436" s="33" t="n">
        <f>91000</f>
        <v>91000.0</v>
      </c>
      <c r="L436" s="34" t="s">
        <v>48</v>
      </c>
      <c r="M436" s="33" t="n">
        <f>91000</f>
        <v>91000.0</v>
      </c>
      <c r="N436" s="34" t="s">
        <v>48</v>
      </c>
      <c r="O436" s="33" t="n">
        <f>85600</f>
        <v>85600.0</v>
      </c>
      <c r="P436" s="34" t="s">
        <v>50</v>
      </c>
      <c r="Q436" s="33" t="n">
        <f>88100</f>
        <v>88100.0</v>
      </c>
      <c r="R436" s="34" t="s">
        <v>51</v>
      </c>
      <c r="S436" s="35" t="n">
        <f>87710.53</f>
        <v>87710.53</v>
      </c>
      <c r="T436" s="32" t="n">
        <f>33335</f>
        <v>33335.0</v>
      </c>
      <c r="U436" s="32" t="n">
        <f>895</f>
        <v>895.0</v>
      </c>
      <c r="V436" s="32" t="n">
        <f>2926599740</f>
        <v>2.92659974E9</v>
      </c>
      <c r="W436" s="32" t="n">
        <f>79106940</f>
        <v>7.910694E7</v>
      </c>
      <c r="X436" s="36" t="n">
        <f>19</f>
        <v>19.0</v>
      </c>
    </row>
    <row r="437">
      <c r="A437" s="27" t="s">
        <v>42</v>
      </c>
      <c r="B437" s="27" t="s">
        <v>1358</v>
      </c>
      <c r="C437" s="27" t="s">
        <v>1359</v>
      </c>
      <c r="D437" s="27" t="s">
        <v>1360</v>
      </c>
      <c r="E437" s="28" t="s">
        <v>46</v>
      </c>
      <c r="F437" s="29" t="s">
        <v>46</v>
      </c>
      <c r="G437" s="30" t="s">
        <v>46</v>
      </c>
      <c r="H437" s="31"/>
      <c r="I437" s="31" t="s">
        <v>421</v>
      </c>
      <c r="J437" s="32" t="n">
        <v>1.0</v>
      </c>
      <c r="K437" s="33" t="n">
        <f>70300</f>
        <v>70300.0</v>
      </c>
      <c r="L437" s="34" t="s">
        <v>48</v>
      </c>
      <c r="M437" s="33" t="n">
        <f>70400</f>
        <v>70400.0</v>
      </c>
      <c r="N437" s="34" t="s">
        <v>103</v>
      </c>
      <c r="O437" s="33" t="n">
        <f>66700</f>
        <v>66700.0</v>
      </c>
      <c r="P437" s="34" t="s">
        <v>226</v>
      </c>
      <c r="Q437" s="33" t="n">
        <f>67300</f>
        <v>67300.0</v>
      </c>
      <c r="R437" s="34" t="s">
        <v>51</v>
      </c>
      <c r="S437" s="35" t="n">
        <f>68036.84</f>
        <v>68036.84</v>
      </c>
      <c r="T437" s="32" t="n">
        <f>5961</f>
        <v>5961.0</v>
      </c>
      <c r="U437" s="32" t="str">
        <f>"－"</f>
        <v>－</v>
      </c>
      <c r="V437" s="32" t="n">
        <f>404344900</f>
        <v>4.043449E8</v>
      </c>
      <c r="W437" s="32" t="str">
        <f>"－"</f>
        <v>－</v>
      </c>
      <c r="X437" s="36" t="n">
        <f>19</f>
        <v>19.0</v>
      </c>
    </row>
    <row r="438">
      <c r="A438" s="27" t="s">
        <v>42</v>
      </c>
      <c r="B438" s="27" t="s">
        <v>1361</v>
      </c>
      <c r="C438" s="27" t="s">
        <v>1362</v>
      </c>
      <c r="D438" s="27" t="s">
        <v>1363</v>
      </c>
      <c r="E438" s="28" t="s">
        <v>46</v>
      </c>
      <c r="F438" s="29" t="s">
        <v>46</v>
      </c>
      <c r="G438" s="30" t="s">
        <v>46</v>
      </c>
      <c r="H438" s="31"/>
      <c r="I438" s="31" t="s">
        <v>47</v>
      </c>
      <c r="J438" s="32" t="n">
        <v>1.0</v>
      </c>
      <c r="K438" s="33" t="n">
        <f>70800</f>
        <v>70800.0</v>
      </c>
      <c r="L438" s="34" t="s">
        <v>48</v>
      </c>
      <c r="M438" s="33" t="n">
        <f>71300</f>
        <v>71300.0</v>
      </c>
      <c r="N438" s="34" t="s">
        <v>103</v>
      </c>
      <c r="O438" s="33" t="n">
        <f>67600</f>
        <v>67600.0</v>
      </c>
      <c r="P438" s="34" t="s">
        <v>51</v>
      </c>
      <c r="Q438" s="33" t="n">
        <f>68300</f>
        <v>68300.0</v>
      </c>
      <c r="R438" s="34" t="s">
        <v>51</v>
      </c>
      <c r="S438" s="35" t="n">
        <f>68889.47</f>
        <v>68889.47</v>
      </c>
      <c r="T438" s="32" t="n">
        <f>19012</f>
        <v>19012.0</v>
      </c>
      <c r="U438" s="32" t="n">
        <f>228</f>
        <v>228.0</v>
      </c>
      <c r="V438" s="32" t="n">
        <f>1310040088</f>
        <v>1.310040088E9</v>
      </c>
      <c r="W438" s="32" t="n">
        <f>15565988</f>
        <v>1.5565988E7</v>
      </c>
      <c r="X438" s="36" t="n">
        <f>19</f>
        <v>19.0</v>
      </c>
    </row>
    <row r="439">
      <c r="A439" s="27" t="s">
        <v>42</v>
      </c>
      <c r="B439" s="27" t="s">
        <v>1364</v>
      </c>
      <c r="C439" s="27" t="s">
        <v>1365</v>
      </c>
      <c r="D439" s="27" t="s">
        <v>1366</v>
      </c>
      <c r="E439" s="28" t="s">
        <v>46</v>
      </c>
      <c r="F439" s="29" t="s">
        <v>46</v>
      </c>
      <c r="G439" s="30" t="s">
        <v>46</v>
      </c>
      <c r="H439" s="31"/>
      <c r="I439" s="31" t="s">
        <v>421</v>
      </c>
      <c r="J439" s="32" t="n">
        <v>1.0</v>
      </c>
      <c r="K439" s="33" t="n">
        <f>70100</f>
        <v>70100.0</v>
      </c>
      <c r="L439" s="34" t="s">
        <v>48</v>
      </c>
      <c r="M439" s="33" t="n">
        <f>70500</f>
        <v>70500.0</v>
      </c>
      <c r="N439" s="34" t="s">
        <v>48</v>
      </c>
      <c r="O439" s="33" t="n">
        <f>67200</f>
        <v>67200.0</v>
      </c>
      <c r="P439" s="34" t="s">
        <v>162</v>
      </c>
      <c r="Q439" s="33" t="n">
        <f>67900</f>
        <v>67900.0</v>
      </c>
      <c r="R439" s="34" t="s">
        <v>51</v>
      </c>
      <c r="S439" s="35" t="n">
        <f>68384.21</f>
        <v>68384.21</v>
      </c>
      <c r="T439" s="32" t="n">
        <f>13987</f>
        <v>13987.0</v>
      </c>
      <c r="U439" s="32" t="n">
        <f>829</f>
        <v>829.0</v>
      </c>
      <c r="V439" s="32" t="n">
        <f>956105398</f>
        <v>9.56105398E8</v>
      </c>
      <c r="W439" s="32" t="n">
        <f>57330998</f>
        <v>5.7330998E7</v>
      </c>
      <c r="X439" s="36" t="n">
        <f>19</f>
        <v>19.0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