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4" r:id="rId1" sheetId="1"/>
  </sheets>
  <definedNames>
    <definedName localSheetId="0" name="_xlnm.Print_Titles">BO_EM0004!$1:$6</definedName>
  </definedNames>
  <calcPr calcId="145621"/>
</workbook>
</file>

<file path=xl/sharedStrings.xml><?xml version="1.0" encoding="utf-8"?>
<sst xmlns="http://schemas.openxmlformats.org/spreadsheetml/2006/main" count="5281" uniqueCount="1377">
  <si>
    <t>(注) 1.信用：制度信用銘柄                  　　　　　　　　　　 (Notes) 1."信用"：Issues eligible for Standardized margin transactions.
     2.貸借：制度信用銘柄及び貸借銘柄                                   2."貸借"：Issues eligible for Standardized margin transactions and loan transactions.
     3.審　：監理銘柄（審査中）　確　：監理銘柄（確認中）               3."審""確""監"：Securities Under Supervision(Examination/Confirmation).
       監　：監理銘柄（審査中・確認中）                                   "整"　　　　：Securities to be Delisted.
       整　：整理銘柄</t>
    <phoneticPr fontId="3"/>
  </si>
  <si>
    <t>投　信　等　相　場　表</t>
    <rPh eb="1" sb="0">
      <t>トウ</t>
    </rPh>
    <rPh eb="3" sb="2">
      <t>シン</t>
    </rPh>
    <rPh eb="5" sb="4">
      <t>トウ</t>
    </rPh>
    <rPh eb="7" sb="6">
      <t>ソウ</t>
    </rPh>
    <rPh eb="9" sb="8">
      <t>バ</t>
    </rPh>
    <rPh eb="11" sb="10">
      <t>ヒョウ</t>
    </rPh>
    <phoneticPr fontId="3"/>
  </si>
  <si>
    <t>Investment Trust Quotations</t>
    <phoneticPr fontId="3"/>
  </si>
  <si>
    <t>年月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</si>
  <si>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</si>
  <si>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</si>
  <si>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</si>
  <si>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銘柄属性</t>
    <phoneticPr fontId="3"/>
  </si>
  <si>
    <t>Attribute</t>
    <phoneticPr fontId="3"/>
  </si>
  <si>
    <t>日付</t>
    <rPh eb="2" sb="0">
      <t>ヒヅケ</t>
    </rPh>
    <phoneticPr fontId="3"/>
  </si>
  <si>
    <t>区分</t>
  </si>
  <si>
    <t>信用・貸借</t>
    <rPh eb="2" sb="0">
      <t>シンヨウ</t>
    </rPh>
    <rPh eb="5" sb="3">
      <t>タイシャク</t>
    </rPh>
    <phoneticPr fontId="3"/>
  </si>
  <si>
    <t>売買単位</t>
    <rPh eb="2" sb="0">
      <t>バイバイ</t>
    </rPh>
    <rPh eb="4" sb="2">
      <t>タンイ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</si>
  <si>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</si>
  <si>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</si>
  <si>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</si>
  <si>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</si>
  <si>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</si>
  <si>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売買高</t>
    <rPh eb="3" sb="0">
      <t>バイバイダカ</t>
    </rPh>
    <phoneticPr fontId="3"/>
  </si>
  <si>
    <t>うちToSTNeT売買高</t>
  </si>
  <si>
    <t>売買代金</t>
    <rPh eb="2" sb="0">
      <t>バイバイ</t>
    </rPh>
    <rPh eb="4" sb="2">
      <t>ダイキン</t>
    </rPh>
    <phoneticPr fontId="3"/>
  </si>
  <si>
    <t>うちToSTNeT売買代金</t>
  </si>
  <si>
    <t>値付日数</t>
    <rPh eb="2" sb="0">
      <t>ネツ</t>
    </rPh>
    <rPh eb="4" sb="2">
      <t>ニッスウ</t>
    </rPh>
    <phoneticPr fontId="3"/>
  </si>
  <si>
    <t>Year/Month</t>
  </si>
  <si>
    <t>Code</t>
    <phoneticPr fontId="10"/>
  </si>
  <si>
    <t>Date</t>
    <phoneticPr fontId="3"/>
  </si>
  <si>
    <t>Sector</t>
  </si>
  <si>
    <t>margin/loan</t>
    <phoneticPr fontId="10"/>
  </si>
  <si>
    <t>Trading Unit</t>
    <phoneticPr fontId="3"/>
  </si>
  <si>
    <t>Open</t>
  </si>
  <si>
    <t>High</t>
    <phoneticPr fontId="3"/>
  </si>
  <si>
    <t>Low</t>
  </si>
  <si>
    <t>Close</t>
  </si>
  <si>
    <t>Average Closing Price</t>
    <phoneticPr fontId="10"/>
  </si>
  <si>
    <t>Trading Volume</t>
  </si>
  <si>
    <t>Trading Volume(ToSTNeT)</t>
    <phoneticPr fontId="10"/>
  </si>
  <si>
    <t>Trading Value</t>
  </si>
  <si>
    <t>Trading Value(ToSTNeT)</t>
    <phoneticPr fontId="10"/>
  </si>
  <si>
    <t>Days Traded</t>
    <phoneticPr fontId="3"/>
  </si>
  <si>
    <t>口(units）</t>
    <phoneticPr fontId="10"/>
  </si>
  <si>
    <t>円(￥)</t>
    <phoneticPr fontId="10"/>
  </si>
  <si>
    <t>口(units）</t>
  </si>
  <si>
    <t>2024/10</t>
  </si>
  <si>
    <t>1305</t>
  </si>
  <si>
    <t>ｉＦｒｅｅＥＴＦ　ＴＯＰＩＸ（年１回決算型）　受益証券</t>
  </si>
  <si>
    <t>iFreeETF TOPIX (Yearly Dividend Type)</t>
  </si>
  <si>
    <t/>
  </si>
  <si>
    <t>貸借</t>
  </si>
  <si>
    <t>1</t>
  </si>
  <si>
    <t>30</t>
  </si>
  <si>
    <t>28</t>
  </si>
  <si>
    <t>31</t>
  </si>
  <si>
    <t>1306</t>
  </si>
  <si>
    <t>ＮＥＸＴ　ＦＵＮＤＳ　ＴＯＰＩＸ連動型上場投信　受益証券</t>
  </si>
  <si>
    <t>NEXT FUNDS TOPIX Exchange Traded Fund</t>
  </si>
  <si>
    <t>7</t>
  </si>
  <si>
    <t>25</t>
  </si>
  <si>
    <t>1308</t>
  </si>
  <si>
    <t>上場インデックスファンドＴＯＰＩＸ　受益証券</t>
  </si>
  <si>
    <t>Nikko Exchange Traded Index Fund TOPIX</t>
  </si>
  <si>
    <t>24</t>
  </si>
  <si>
    <t>1309</t>
  </si>
  <si>
    <t>ＮＥＸＴ　ＦＵＮＤＳ　ＣｈｉｎａＡＭＣ・中国株式・上証５０連動型上場投信　受益証券</t>
  </si>
  <si>
    <t>NEXT FUNDS ChinaAMC SSE50 Index Exchange Traded Fund</t>
  </si>
  <si>
    <t>3</t>
  </si>
  <si>
    <t>16</t>
  </si>
  <si>
    <t>1311</t>
  </si>
  <si>
    <t>ＮＥＸＴ　ＦＵＮＤＳ　ＴＯＰＩＸ　Ｃｏｒｅ　３０連動型上場投信　受益証券</t>
  </si>
  <si>
    <t>NEXT FUNDS TOPIX Core 30 Exchange Traded Fund</t>
  </si>
  <si>
    <t>1319</t>
  </si>
  <si>
    <t>ＮＥＸＴ　ＦＵＮＤＳ　日経３００株価指数連動型上場投信　受益証券</t>
  </si>
  <si>
    <t>NEXT FUNDS Nikkei 300 Index Exchange Traded Fund</t>
  </si>
  <si>
    <t>2</t>
  </si>
  <si>
    <t>1320</t>
  </si>
  <si>
    <t>ｉＦｒｅｅＥＴＦ　日経２２５（年１回決算型）　受益証券</t>
  </si>
  <si>
    <t>iFreeETF Nikkei225 (Yearly Dividend Type)</t>
  </si>
  <si>
    <t>15</t>
  </si>
  <si>
    <t>1321</t>
  </si>
  <si>
    <t>ＮＥＸＴ　ＦＵＮＤＳ　日経２２５連動型上場投信　受益証券</t>
  </si>
  <si>
    <t>NEXT FUNDS Nikkei 225 Exchange Traded Fund</t>
  </si>
  <si>
    <t>1322</t>
  </si>
  <si>
    <t>上場インデックスファンド中国Ａ株（パンダ）Ｅ　Ｆｕｎｄ　ＣＳＩ３００　受益証券</t>
  </si>
  <si>
    <t>Listed Index Fund China A Share (Panda) E Fund CSI300</t>
  </si>
  <si>
    <t>4</t>
  </si>
  <si>
    <t>18</t>
  </si>
  <si>
    <t>1324</t>
  </si>
  <si>
    <t>ＮＥＸＴ　ＦＵＮＤＳ　ロシア株式指数連動型上場投信　受益証券</t>
  </si>
  <si>
    <t>NEXT FUNDS Russian Equity Index Exchange Traded Fund</t>
  </si>
  <si>
    <t>確</t>
  </si>
  <si>
    <t>1325</t>
  </si>
  <si>
    <t>ＮＥＸＴ　ＦＵＮＤＳ　ブラジル株式指数・ボベスパ連動型上場投信　受益証券</t>
  </si>
  <si>
    <t>NEXT FUNDS Ibovespa Linked Exchange Traded Fund</t>
  </si>
  <si>
    <t>22</t>
  </si>
  <si>
    <t>1326</t>
  </si>
  <si>
    <t>ＳＰＤＲゴールド・シェア　受益証券</t>
  </si>
  <si>
    <t>SPDR Gold Shares</t>
  </si>
  <si>
    <t>1328</t>
  </si>
  <si>
    <t>ＮＥＸＴ　ＦＵＮＤＳ　金価格連動型上場投信　受益証券</t>
  </si>
  <si>
    <t>NEXT FUNDS Gold Price Exchange Traded Fund</t>
  </si>
  <si>
    <t>1329</t>
  </si>
  <si>
    <t>ｉシェアーズ・コア　日経２２５　ＥＴＦ　受益証券</t>
  </si>
  <si>
    <t>iShares Core Nikkei 225 ETF</t>
  </si>
  <si>
    <t>1330</t>
  </si>
  <si>
    <t>上場インデックスファンド２２５　受益証券</t>
  </si>
  <si>
    <t>Nikko Exchange Traded Index Fund 225</t>
  </si>
  <si>
    <t>133A</t>
  </si>
  <si>
    <t>グローバルＸ　超短期米国債　ＥＴＦ　受益証券</t>
  </si>
  <si>
    <t>Global X Ultra Short-Term T-Bill ETF</t>
  </si>
  <si>
    <t>1343</t>
  </si>
  <si>
    <t>ＮＥＸＴ　ＦＵＮＤＳ　東証ＲＥＩＴ　指数連動型上場投信　受益証券</t>
  </si>
  <si>
    <t>NEXT FUNDS REIT INDEX ETF</t>
  </si>
  <si>
    <t>1345</t>
  </si>
  <si>
    <t>上場インデックスファンドＪリート（東証ＲＥＩＴ指数）隔月分配型　受益証券</t>
  </si>
  <si>
    <t>Listed Index Fund J-REIT (Tokyo Stock Exchange REIT Index)Bi-Monthly Dividend Payment Type</t>
  </si>
  <si>
    <t>1346</t>
  </si>
  <si>
    <t>ＭＡＸＩＳ　日経２２５上場投信　受益証券</t>
  </si>
  <si>
    <t>MAXIS NIKKEI 225 ETF</t>
  </si>
  <si>
    <t>1348</t>
  </si>
  <si>
    <t>ＭＡＸＩＳ　トピックス上場投信　受益証券</t>
  </si>
  <si>
    <t>MAXIS TOPIX ETF</t>
  </si>
  <si>
    <t>1349</t>
  </si>
  <si>
    <t>ABF汎アジア債券インデックス・ファンド　受益証券</t>
  </si>
  <si>
    <t>ABF PAN ASIA BOND INDEX FUND</t>
  </si>
  <si>
    <t>1356</t>
  </si>
  <si>
    <t>ＴＯＰＩＸベア２倍上場投信　受益証券</t>
  </si>
  <si>
    <t>TOPIX Bear -2x ETF</t>
  </si>
  <si>
    <t>1357</t>
  </si>
  <si>
    <t>ＮＥＸＴ　ＦＵＮＤＳ　日経平均ダブルインバース・インデックス連動型上場投信　受益証券</t>
  </si>
  <si>
    <t>NEXT FUNDS Nikkei 225 Double Inverse Index Exchange Traded Fund</t>
  </si>
  <si>
    <t>1358</t>
  </si>
  <si>
    <t>上場インデックスファンド日経レバレッジ指数　受益証券</t>
  </si>
  <si>
    <t>Listed Index Fund Nikkei Leveraged Index</t>
  </si>
  <si>
    <t>1360</t>
  </si>
  <si>
    <t>日経平均ベア２倍上場投信　受益証券</t>
  </si>
  <si>
    <t>Nikkei225 Bear -2x ETF</t>
  </si>
  <si>
    <t>1364</t>
  </si>
  <si>
    <t>ｉシェアーズ　ＪＰＸ日経４００　ＥＴＦ　受益証券</t>
  </si>
  <si>
    <t>iShares JPX-Nikkei 400 ETF</t>
  </si>
  <si>
    <t>1365</t>
  </si>
  <si>
    <t>ｉＦｒｅｅＥＴＦ　日経平均レバレッジ・インデックス　受益証券</t>
  </si>
  <si>
    <t>iFreeETF Nikkei225 Leveraged Index</t>
  </si>
  <si>
    <t>1366</t>
  </si>
  <si>
    <t>ｉＦｒｅｅＥＴＦ　日経平均ダブルインバース・インデックス　受益証券</t>
  </si>
  <si>
    <t>iFreeETF Nikkei225 Double Inverse Index</t>
  </si>
  <si>
    <t>1367</t>
  </si>
  <si>
    <t>ｉＦｒｅｅＥＴＦ　ＴＯＰＩＸレバレッジ（２倍）指数　受益証券</t>
  </si>
  <si>
    <t>iFreeETF TOPIX Leveraged (2x) Index</t>
  </si>
  <si>
    <t>1368</t>
  </si>
  <si>
    <t>ｉＦｒｅｅＥＴＦ　ＴＯＰＩＸダブルインバース（－２倍）指数　受益証券</t>
  </si>
  <si>
    <t>iFreeETF TOPIX Double Inverse (-2x) Index</t>
  </si>
  <si>
    <t>1369</t>
  </si>
  <si>
    <t>Ｏｎｅ　ＥＴＦ　日経２２５　受益証券</t>
  </si>
  <si>
    <t>One ETF Nikkei225</t>
  </si>
  <si>
    <t>1397</t>
  </si>
  <si>
    <t>ＳＭＤＡＭ　日経２２５上場投信　受益証券</t>
  </si>
  <si>
    <t>SMDAM NIKKEI225 ETF</t>
  </si>
  <si>
    <t>1398</t>
  </si>
  <si>
    <t>ＳＭＤＡＭ　東証ＲＥＩＴ指数上場投信　受益証券</t>
  </si>
  <si>
    <t>SMDAM REIT Index ETF</t>
  </si>
  <si>
    <t>1399</t>
  </si>
  <si>
    <t>上場インデックスファンドＭＳＣＩ日本株高配当低ボラティリティ　受益証券</t>
  </si>
  <si>
    <t>Listed Index Fund MSCI Japan Equity High Dividend Low Volatility</t>
  </si>
  <si>
    <t>140A</t>
  </si>
  <si>
    <t>ｉＦｒｅｅＥＴＦ　米国１０年国債先物インバース　受益証券</t>
  </si>
  <si>
    <t>iFreeETF 10-Year U.S. Treasury Note Futures Inverse</t>
  </si>
  <si>
    <t>1456</t>
  </si>
  <si>
    <t>ｉＦｒｅｅＥＴＦ　日経平均インバース・インデックス　受益証券</t>
  </si>
  <si>
    <t>iFreeETF Nikkei225 Inverse Index</t>
  </si>
  <si>
    <t>1457</t>
  </si>
  <si>
    <t>ｉＦｒｅｅＥＴＦ　ＴＯＰＩＸインバース（－１倍）指数　受益証券</t>
  </si>
  <si>
    <t>iFreeETF TOPIX Inverse (-1x) Index</t>
  </si>
  <si>
    <t>1458</t>
  </si>
  <si>
    <t>楽天ＥＴＦ‐日経レバレッジ指数連動型　受益証券</t>
  </si>
  <si>
    <t>Rakuten ETF - Nikkei 225 Leveraged Index</t>
  </si>
  <si>
    <t>1459</t>
  </si>
  <si>
    <t>楽天ＥＴＦ‐日経ダブルインバース指数連動型　受益証券</t>
  </si>
  <si>
    <t>Rakuten ETF - Nikkei 225 Double Inverse Index</t>
  </si>
  <si>
    <t>1464</t>
  </si>
  <si>
    <t>ｉＦｒｅｅＥＴＦ　ＪＰＸ日経４００レバレッジ・インデックス　受益証券</t>
  </si>
  <si>
    <t>iFreeETF JPX-Nikkei400 Leveraged (2x) Index</t>
  </si>
  <si>
    <t>整</t>
  </si>
  <si>
    <t>9</t>
  </si>
  <si>
    <t>1465</t>
  </si>
  <si>
    <t>ｉＦｒｅｅＥＴＦ　ＪＰＸ日経４００インバース・インデックス　受益証券</t>
  </si>
  <si>
    <t>iFreeETF JPX-Nikkei400 Inverse (-1x) Index</t>
  </si>
  <si>
    <t>1466</t>
  </si>
  <si>
    <t>ｉＦｒｅｅＥＴＦ　ＪＰＸ日経４００ダブルインバース・インデックス　受益証券</t>
  </si>
  <si>
    <t>iFreeETF JPX-Nikkei400 Double Inverse (-2x) Index</t>
  </si>
  <si>
    <t>1469</t>
  </si>
  <si>
    <t>ＪＰＸ日経４００ベア２倍上場投信（ダブルインバース）　受益証券</t>
  </si>
  <si>
    <t>JPX-Nikkei 400 Bear -2x Double Inverse ETF</t>
  </si>
  <si>
    <t>1472</t>
  </si>
  <si>
    <t>ＮＥＸＴ　ＦＵＮＤＳ　ＪＰＸ日経４００ダブルインバース・インデックス連動型上場投信　受益証券</t>
  </si>
  <si>
    <t>NEXT FUNDS JPX-Nikkei 400 Double Inverse Index Exchange Traded Fund</t>
  </si>
  <si>
    <t>11</t>
  </si>
  <si>
    <t>1473</t>
  </si>
  <si>
    <t>Ｏｎｅ　ＥＴＦ　トピックス　受益証券</t>
  </si>
  <si>
    <t>One ETF TOPIX</t>
  </si>
  <si>
    <t>1474</t>
  </si>
  <si>
    <t>Ｏｎｅ　ＥＴＦ　ＪＰＸ日経４００　受益証券</t>
  </si>
  <si>
    <t>One ETF JPX-Nikkei 400</t>
  </si>
  <si>
    <t>1475</t>
  </si>
  <si>
    <t>ｉシェアーズ・コア　ＴＯＰＩＸ　ＥＴＦ　受益証券</t>
  </si>
  <si>
    <t>iShares Core TOPIX ETF</t>
  </si>
  <si>
    <t>1476</t>
  </si>
  <si>
    <t>ｉシェアーズ・コア　Ｊリート　ＥＴＦ　受益証券</t>
  </si>
  <si>
    <t>iShares Core Japan REIT ETF</t>
  </si>
  <si>
    <t>1477</t>
  </si>
  <si>
    <t>ｉシェアーズ　ＭＳＣＩ　日本株最小分散　ＥＴＦ　受益証券</t>
  </si>
  <si>
    <t>iShares MSCI Japan Minimum Volatility (ex-REITs) ETF</t>
  </si>
  <si>
    <t>1478</t>
  </si>
  <si>
    <t>ｉシェアーズ　ＭＳＣＩ　ジャパン高配当利回り　ＥＴＦ　受益証券</t>
  </si>
  <si>
    <t>iShares MSCI Japan High Dividend ETF</t>
  </si>
  <si>
    <t>1479</t>
  </si>
  <si>
    <t>ｉＦｒｅｅＥＴＦ　ＭＳＣＩ日本株人材設備投資指数　受益証券</t>
  </si>
  <si>
    <t>iFreeETF MSCI Japan Human and Physical Investment Index</t>
  </si>
  <si>
    <t>1480</t>
  </si>
  <si>
    <t>ＮＥＸＴ　ＦＵＮＤＳ　野村企業価値分配指数連動型上場投信　受益証券</t>
  </si>
  <si>
    <t>NEXT FUNDS Nomura Enterprise Value Allocation Index Exchange Traded Fund</t>
  </si>
  <si>
    <t>29</t>
  </si>
  <si>
    <t>1481</t>
  </si>
  <si>
    <t>上場インデックスファンド日本経済貢献株　受益証券</t>
  </si>
  <si>
    <t>Listed Index Fund Japanese Economy Contributor Stocks</t>
  </si>
  <si>
    <t>1482</t>
  </si>
  <si>
    <t>ｉシェアーズ・コア　米国債７－１０年　ＥＴＦ（為替ヘッジあり）　受益証券</t>
  </si>
  <si>
    <t>iShares Core 7-10 Year US Treasury Bond JPY Hedged ETF</t>
  </si>
  <si>
    <t>1483</t>
  </si>
  <si>
    <t>ｉシェアーズ　ＪＰＸ／Ｓ＆Ｐ設備・人材投資　ＥＴＦ　受益証券</t>
  </si>
  <si>
    <t>iShares JPX/S&amp;P CAPEX &amp; Human Capital ETF</t>
  </si>
  <si>
    <t>1484</t>
  </si>
  <si>
    <t>Ｏｎｅ　ＥＴＦ　ＪＰＸ／Ｓ＆Ｐ　設備・人材投資指数　受益証券</t>
  </si>
  <si>
    <t>One ETF JPX/S&amp;P CAPEX &amp; Human Capital Index</t>
  </si>
  <si>
    <t>1485</t>
  </si>
  <si>
    <t>ＭＡＸＩＳ　ＪＡＰＡＮ　設備・人材積極投資企業２００上場投信　受益証券</t>
  </si>
  <si>
    <t>MAXIS JAPAN Proactive Investment in Physical and Human Capital 200 Index ETF</t>
  </si>
  <si>
    <t>21</t>
  </si>
  <si>
    <t>1486</t>
  </si>
  <si>
    <t>上場インデックスファンド米国債券（為替ヘッジなし）　受益証券</t>
  </si>
  <si>
    <t>Listed Index Fund US Bond (No Currency Hedge)</t>
  </si>
  <si>
    <t>1487</t>
  </si>
  <si>
    <t>上場インデックスファンド米国債券（為替ヘッジあり）　受益証券</t>
  </si>
  <si>
    <t>Listed Index Fund US Bond (Currency Hedge)</t>
  </si>
  <si>
    <t>1488</t>
  </si>
  <si>
    <t>ｉＦｒｅｅＥＴＦ　東証ＲＥＩＴ指数　受益証券</t>
  </si>
  <si>
    <t>iFreeETF Tokyo Stock Exchange REIT Index</t>
  </si>
  <si>
    <t>1489</t>
  </si>
  <si>
    <t>ＮＥＸＴ　ＦＵＮＤＳ　日経平均高配当株５０指数連動型上場投信　受益証券</t>
  </si>
  <si>
    <t>NEXT FUNDS Nikkei 225 High Dividend Yield Stock 50 Index Exchange Traded Fund</t>
  </si>
  <si>
    <t>1490</t>
  </si>
  <si>
    <t>上場インデックスファンドＭＳＣＩ日本株高配当低ボラティリティ（βヘッジ）　受益証券</t>
  </si>
  <si>
    <t>Listed Index Fund MSCI Japan Equity High Dividend Low Volatility (Beta Hedged)</t>
  </si>
  <si>
    <t>1493</t>
  </si>
  <si>
    <t>Ｏｎｅ　ＥＴＦ　ＪＰＸ日経中小型　受益証券</t>
  </si>
  <si>
    <t>One ETF JPX-Nikkei Mid Small</t>
  </si>
  <si>
    <t>1494</t>
  </si>
  <si>
    <t>Ｏｎｅ　ＥＴＦ　高配当日本株　受益証券</t>
  </si>
  <si>
    <t>One ETF High Dividend Japan Equity</t>
  </si>
  <si>
    <t>1495</t>
  </si>
  <si>
    <t>上場インデックスファンドアジアリート　受益証券</t>
  </si>
  <si>
    <t>Listed Index Fund Asian REIT</t>
  </si>
  <si>
    <t>17</t>
  </si>
  <si>
    <t>1496</t>
  </si>
  <si>
    <t>ｉシェアーズ　米ドル建て投資適格社債　ＥＴＦ（為替ヘッジあり）　受益証券</t>
  </si>
  <si>
    <t>iShares USD Investment Grade Corporate Bond JPY Hedged ETF</t>
  </si>
  <si>
    <t>1497</t>
  </si>
  <si>
    <t>ｉシェアーズ　米ドル建てハイイールド社債　ＥＴＦ（為替ヘッジあり）　受益証券</t>
  </si>
  <si>
    <t>iShares USD High Yield Corporate Bond JPY Hedged ETF</t>
  </si>
  <si>
    <t>23</t>
  </si>
  <si>
    <t>1498</t>
  </si>
  <si>
    <t>Ｏｎｅ　ＥＴＦ　ＥＳＧ　受益証券</t>
  </si>
  <si>
    <t>One ETF ESG</t>
  </si>
  <si>
    <t>1499</t>
  </si>
  <si>
    <t>ＭＡＸＩＳ日本株高配当７０マーケットニュートラル上場投信　受益証券</t>
  </si>
  <si>
    <t>MAXIS Japan Equity High Dividend 70 Market Neutral ETF</t>
  </si>
  <si>
    <t>1540</t>
  </si>
  <si>
    <t>純金上場信託（現物国内保管型）　受益証券</t>
  </si>
  <si>
    <t>Japan Physical Gold ETF</t>
  </si>
  <si>
    <t>1541</t>
  </si>
  <si>
    <t>純プラチナ上場信託（現物国内保管型）　受益証券</t>
  </si>
  <si>
    <t>Japan Physical Platinum ETF</t>
  </si>
  <si>
    <t>1542</t>
  </si>
  <si>
    <t>純銀上場信託（現物国内保管型）　受益証券</t>
  </si>
  <si>
    <t>Japan Physical Silver ETF</t>
  </si>
  <si>
    <t>1543</t>
  </si>
  <si>
    <t>純パラジウム上場信託（現物国内保管型）　受益証券</t>
  </si>
  <si>
    <t>Japan Physical Palladium ETF</t>
  </si>
  <si>
    <t>1545</t>
  </si>
  <si>
    <t>ＮＥＸＴ　ＦＵＮＤＳ　ＮＡＳＤＡＱ－１００（為替ヘッジなし）連動型上場投信　受益証券</t>
  </si>
  <si>
    <t>NEXT FUNDS NASDAQ-100(R) (Unhedged) Exchange Traded Fund</t>
  </si>
  <si>
    <t>1546</t>
  </si>
  <si>
    <t>ＮＥＸＴ　ＦＵＮＤＳ　ダウ・ジョーンズ工業株３０種平均株価（為替ヘッジなし）連動型上場投信　受益証券</t>
  </si>
  <si>
    <t>NEXT FUNDS DJIA (Unhedged) Exchange Traded Fund</t>
  </si>
  <si>
    <t>1547</t>
  </si>
  <si>
    <t>上場インデックスファンド米国株式（Ｓ＆Ｐ５００）　受益証券</t>
  </si>
  <si>
    <t>Listed Index Fund US Equity (S&amp;P500)</t>
  </si>
  <si>
    <t>1550</t>
  </si>
  <si>
    <t>ＭＡＸＩＳ　海外株式（ＭＳＣＩコクサイ）上場投信　受益証券</t>
  </si>
  <si>
    <t>MAXIS Global Equity (MSCI Kokusai) ETF</t>
  </si>
  <si>
    <t>1551</t>
  </si>
  <si>
    <t>東証スタンダードＴＯＰ２０ＥＴＦ　受益証券</t>
  </si>
  <si>
    <t>TSE Standard Top 20 ETF</t>
  </si>
  <si>
    <t>1554</t>
  </si>
  <si>
    <t>上場インデックスファンド世界株式（ＭＳＣＩ　ＡＣＷＩ）除く日本　受益証券</t>
  </si>
  <si>
    <t>Listed Index Fund World Equity (MSCI ACWI) ex Japan</t>
  </si>
  <si>
    <t>1555</t>
  </si>
  <si>
    <t>上場インデックスファンド豪州リート（Ｓ＆Ｐ／ＡＳＸ２００　Ａ－ＲＥＩＴ）　受益証券</t>
  </si>
  <si>
    <t>Listed Index Fund Australian REIT (S&amp;P/ASX200 A-REIT)</t>
  </si>
  <si>
    <t>1557</t>
  </si>
  <si>
    <t>ＳＰＤＲ　Ｓ＆Ｐ５００　ＥＴＦ　受益証券</t>
  </si>
  <si>
    <t>SPDR S&amp;P500 ETF Trust</t>
  </si>
  <si>
    <t>1559</t>
  </si>
  <si>
    <t>ＮＥＸＴ　ＦＵＮＤＳ　タイ株式ＳＥＴ５０指数連動型上場投信　受益証券</t>
  </si>
  <si>
    <t>NEXT FUNDS Thai Stock SET50 Exchange Traded Fund</t>
  </si>
  <si>
    <t>1560</t>
  </si>
  <si>
    <t>ＮＥＸＴ　ＦＵＮＤＳ　ＦＴＳＥブルサ・マレーシアＫＬＣＩ連動型上場投信　受益証券</t>
  </si>
  <si>
    <t>NEXT FUNDS FTSE Bursa Malaysia KLCI Exchange Traded Fund</t>
  </si>
  <si>
    <t>1563</t>
  </si>
  <si>
    <t>東証グロース・コアＥＴＦ　受益証券</t>
  </si>
  <si>
    <t>TSE Growth Core ETF</t>
  </si>
  <si>
    <t>1566</t>
  </si>
  <si>
    <t>上場インデックスファンド新興国債券　受益証券</t>
  </si>
  <si>
    <t>Listed Index Fund Emerging Bond</t>
  </si>
  <si>
    <t>1568</t>
  </si>
  <si>
    <t>ＴＯＰＩＸブル２倍上場投信　受益証券</t>
  </si>
  <si>
    <t>TOPIX Bull 2x ETF</t>
  </si>
  <si>
    <t>1569</t>
  </si>
  <si>
    <t>ＴＯＰＩＸベア上場投信　受益証券</t>
  </si>
  <si>
    <t>TOPIX Bear -1x ETF</t>
  </si>
  <si>
    <t>1570</t>
  </si>
  <si>
    <t>ＮＥＸＴ　ＦＵＮＤＳ　日経平均レバレッジ・インデックス連動型上場投信　受益証券</t>
  </si>
  <si>
    <t>NEXT FUNDS Nikkei 225 Leveraged Index Exchange Traded Fund</t>
  </si>
  <si>
    <t>1571</t>
  </si>
  <si>
    <t>ＮＥＸＴ　ＦＵＮＤＳ　日経平均インバース・インデックス連動型上場投信　受益証券</t>
  </si>
  <si>
    <t>NEXT FUNDS Nikkei 225 Inverse Index Exchange Traded Fund</t>
  </si>
  <si>
    <t>1572</t>
  </si>
  <si>
    <t>中国Ｈ株ブル２倍上場投信　受益証券</t>
  </si>
  <si>
    <t>China Bull 2x HSCEI ETF</t>
  </si>
  <si>
    <t>8</t>
  </si>
  <si>
    <t>1573</t>
  </si>
  <si>
    <t>中国Ｈ株ベア上場投信　受益証券</t>
  </si>
  <si>
    <t>China Bear -1x HSCEI ETF</t>
  </si>
  <si>
    <t>1577</t>
  </si>
  <si>
    <t>ＮＥＸＴ　ＦＵＮＤＳ　野村日本株高配当７０連動型上場投信　受益証券</t>
  </si>
  <si>
    <t>NEXT FUNDS Nomura Japan Equity High Dividend 70 Exchange Traded Fund</t>
  </si>
  <si>
    <t>1578</t>
  </si>
  <si>
    <t>上場インデックスファンド日経２２５（ミニ）　受益証券</t>
  </si>
  <si>
    <t>Listed Index Fund Nikkei 225 (Mini)</t>
  </si>
  <si>
    <t>1579</t>
  </si>
  <si>
    <t>日経平均ブル２倍上場投信　受益証券</t>
  </si>
  <si>
    <t>Nikkei 225 Bull 2x ETF</t>
  </si>
  <si>
    <t>1580</t>
  </si>
  <si>
    <t>日経平均ベア上場投信　受益証券</t>
  </si>
  <si>
    <t>Nikkei 225 Bear -1x ETF</t>
  </si>
  <si>
    <t>1585</t>
  </si>
  <si>
    <t>ｉＦｒｅｅＥＴＦ　ＴＯＰＩＸ　Ｅｘ－Ｆｉｎａｎｃｉａｌｓ　受益証券</t>
  </si>
  <si>
    <t>iFreeETF TOPIX Ex-Financials</t>
  </si>
  <si>
    <t>1586</t>
  </si>
  <si>
    <t>上場インデックスファンドＴＯＰＩＸ　Ｅｘ－Ｆｉｎａｎｃｉａｌｓ　受益証券</t>
  </si>
  <si>
    <t>Listed Index Fund TOPIX Ex-Financials</t>
  </si>
  <si>
    <t>1591</t>
  </si>
  <si>
    <t>ＮＥＸＴ　ＦＵＮＤＳ　ＪＰＸ日経インデックス４００連動型上場投信　受益証券</t>
  </si>
  <si>
    <t>NEXT FUNDS JPX-Nikkei Index 400 Exchange Traded Fund</t>
  </si>
  <si>
    <t>1592</t>
  </si>
  <si>
    <t>上場インデックスファンドＪＰＸ日経インデックス４００　受益証券</t>
  </si>
  <si>
    <t>Listed Index Fund JPX-Nikkei Index 400</t>
  </si>
  <si>
    <t>1593</t>
  </si>
  <si>
    <t>ＭＡＸＩＳ　ＪＰＸ日経インデックス４００上場投信　受益証券</t>
  </si>
  <si>
    <t>MAXIS JPX-Nikkei Index 400 ETF</t>
  </si>
  <si>
    <t>1595</t>
  </si>
  <si>
    <t>ＮＺＡＭ　上場投信　東証ＲＥＩＴ指数　受益証券</t>
  </si>
  <si>
    <t>NZAM ETF J-REIT Index</t>
  </si>
  <si>
    <t>1596</t>
  </si>
  <si>
    <t>ＮＺＡＭ　上場投信　ＴＯＰＩＸ　Ｅｘ－Ｆｉｎａｎｃｉａｌｓ　受益証券</t>
  </si>
  <si>
    <t>NZAM ETF TOPIX Ex-Financials</t>
  </si>
  <si>
    <t>1597</t>
  </si>
  <si>
    <t>ＭＡＸＩＳ　Ｊリート上場投信　受益証券</t>
  </si>
  <si>
    <t>MAXIS J-REIT ETF</t>
  </si>
  <si>
    <t>1599</t>
  </si>
  <si>
    <t>ｉＦｒｅｅＥＴＦ　ＪＰＸ日経４００　受益証券</t>
  </si>
  <si>
    <t>iFreeETF JPX-Nikkei400</t>
  </si>
  <si>
    <t>159A</t>
  </si>
  <si>
    <t>ＮＥＸＴ　ＦＵＮＤＳ　ＪＰＸプライム１５０指数連動型上場投信　受益証券</t>
  </si>
  <si>
    <t>NEXT FUNDS JPX Prime 150 Index Exchange Traded Fund</t>
  </si>
  <si>
    <t>1615</t>
  </si>
  <si>
    <t>ＮＥＸＴ　ＦＵＮＤＳ　東証銀行業株価指数連動型上場投信　受益証券</t>
  </si>
  <si>
    <t>NEXT FUNDS TOPIX Banks Exchange Traded Fund</t>
  </si>
  <si>
    <t>1617</t>
  </si>
  <si>
    <t>ＮＥＸＴ　ＦＵＮＤＳ　食品（ＴＯＰＩＸ－１７）上場投信　受益証券</t>
  </si>
  <si>
    <t>NEXT FUNDS TOPIX-17 FOODS ETF</t>
  </si>
  <si>
    <t>1618</t>
  </si>
  <si>
    <t>ＮＥＸＴ　ＦＵＮＤＳ　エネルギー資源（ＴＯＰＩＸ－１７）上場投信　受益証券</t>
  </si>
  <si>
    <t>NEXT FUNDS TOPIX-17 ENERGY RESOURCES ETF</t>
  </si>
  <si>
    <t>1619</t>
  </si>
  <si>
    <t>ＮＥＸＴ　ＦＵＮＤＳ　建設・資材（ＴＯＰＩＸ－１７）上場投信　受益証券</t>
  </si>
  <si>
    <t>NEXT FUNDS TOPIX-17 CONSTRUCTION &amp; MATERIALS ETF</t>
  </si>
  <si>
    <t>1620</t>
  </si>
  <si>
    <t>ＮＥＸＴ　ＦＵＮＤＳ　素材・化学（ＴＯＰＩＸ－１７）上場投信　受益証券</t>
  </si>
  <si>
    <t>NEXT FUNDS TOPIX-17 RAW MATERIALS &amp; CHEMICALS ETF</t>
  </si>
  <si>
    <t>1621</t>
  </si>
  <si>
    <t>ＮＥＸＴ　ＦＵＮＤＳ　医薬品（ＴＯＰＩＸ－１７）上場投信　受益証券</t>
  </si>
  <si>
    <t>NEXT FUNDS TOPIX-17 PHARMACEUTICAL ETF</t>
  </si>
  <si>
    <t>1622</t>
  </si>
  <si>
    <t>ＮＥＸＴ　ＦＵＮＤＳ　自動車・輸送機（ＴＯＰＩＸ－１７）上場投信　受益証券</t>
  </si>
  <si>
    <t>NEXT FUNDS TOPIX-17 AUTOMOBILES TRANSPORTATION EQUIPMENT ETF</t>
  </si>
  <si>
    <t>1623</t>
  </si>
  <si>
    <t>ＮＥＸＴ　ＦＵＮＤＳ　鉄鋼・非鉄（ＴＯＰＩＸ－１７）上場投信　受益証券</t>
  </si>
  <si>
    <t>NEXT FUNDS TOPIX-17 STEEL &amp; NONFERROUS ETF</t>
  </si>
  <si>
    <t>1624</t>
  </si>
  <si>
    <t>ＮＥＸＴ　ＦＵＮＤＳ　機械（ＴＯＰＩＸ－１７）上場投信　受益証券</t>
  </si>
  <si>
    <t>NEXT FUNDS TOPIX-17 MACHINERY ETF</t>
  </si>
  <si>
    <t>1625</t>
  </si>
  <si>
    <t>ＮＥＸＴ　ＦＵＮＤＳ　電機・精密（ＴＯＰＩＸ－１７）上場投信　受益証券</t>
  </si>
  <si>
    <t>NEXT FUNDS TOPIX-17 ELECTRIC &amp; PRECISION INSTRUMENTS ETF</t>
  </si>
  <si>
    <t>1626</t>
  </si>
  <si>
    <t>ＮＥＸＴ　ＦＵＮＤＳ　情報通信・サービスその他（ＴＯＰＩＸ－１７）上場投信　受益証券</t>
  </si>
  <si>
    <t>NEXT FUNDS TOPIX-17 IT &amp; SERVICES,OTHERS ETF</t>
  </si>
  <si>
    <t>1627</t>
  </si>
  <si>
    <t>ＮＥＸＴ　ＦＵＮＤＳ　電力・ガス（ＴＯＰＩＸ－１７）上場投信　受益証券</t>
  </si>
  <si>
    <t>NEXT FUNDS TOPIX-17 ELECTRIC POWER &amp; GAS ETF</t>
  </si>
  <si>
    <t>1628</t>
  </si>
  <si>
    <t>ＮＥＸＴ　ＦＵＮＤＳ　運輸・物流（ＴＯＰＩＸ－１７）上場投信　受益証券</t>
  </si>
  <si>
    <t>NEXT FUNDS TOPIX-17 TRANSPORTATION &amp; LOGISTICS ETF</t>
  </si>
  <si>
    <t>1629</t>
  </si>
  <si>
    <t>ＮＥＸＴ　ＦＵＮＤＳ　商社・卸売（ＴＯＰＩＸ－１７）上場投信　受益証券</t>
  </si>
  <si>
    <t>NEXT FUNDS TOPIX-17 COMMERCIAL &amp; WHOLESALE TRADE ETF</t>
  </si>
  <si>
    <t>162A</t>
  </si>
  <si>
    <t>ＡＩセレクトメガトレンド　日本株（ネットリターン）ＥＴＮ　受益証券</t>
  </si>
  <si>
    <t>AI Select Megatrend Japan Equity Net Return ETN</t>
  </si>
  <si>
    <t>信用</t>
  </si>
  <si>
    <t>1630</t>
  </si>
  <si>
    <t>ＮＥＸＴ　ＦＵＮＤＳ　小売（ＴＯＰＩＸ－１７）上場投信　受益証券</t>
  </si>
  <si>
    <t>NEXT FUNDS TOPIX-17 RETAIL TRADE ETF</t>
  </si>
  <si>
    <t>1631</t>
  </si>
  <si>
    <t>ＮＥＸＴ　ＦＵＮＤＳ　銀行（ＴＯＰＩＸ－１７）上場投信　受益証券</t>
  </si>
  <si>
    <t>NEXT FUNDS TOPIX-17 BANKS ETF</t>
  </si>
  <si>
    <t>1632</t>
  </si>
  <si>
    <t>ＮＥＸＴ　ＦＵＮＤＳ　金融（除く銀行）（ＴＯＰＩＸ－１７）上場投信　受益証券</t>
  </si>
  <si>
    <t>NEXT FUNDS TOPIX-17 FINANCIALS (EX BANKS) ETF</t>
  </si>
  <si>
    <t>1633</t>
  </si>
  <si>
    <t>ＮＥＸＴ　ＦＵＮＤＳ　不動産（ＴＯＰＩＸ－１７）上場投信　受益証券</t>
  </si>
  <si>
    <t>NEXT FUNDS TOPIX-17 REAL ESTATE ETF</t>
  </si>
  <si>
    <t>163A</t>
  </si>
  <si>
    <t>半導体フォーカス　日本株（ネットリターン）ＥＴＮ　受益証券</t>
  </si>
  <si>
    <t>Semiconductor Focus Japan Equity Net Return ETN</t>
  </si>
  <si>
    <t>1651</t>
  </si>
  <si>
    <t>ｉＦｒｅｅＥＴＦ　ＴＯＰＩＸ高配当４０指数　受益証券</t>
  </si>
  <si>
    <t>iFreeETF TOPIX High Dividend Yield 40 Index</t>
  </si>
  <si>
    <t>1652</t>
  </si>
  <si>
    <t>ｉＦｒｅｅＥＴＦ　ＭＳＣＩ日本株女性活躍指数（ＷＩＮ）　受益証券</t>
  </si>
  <si>
    <t>iFreeETF MSCI Japan Empowering Women Index (WIN)</t>
  </si>
  <si>
    <t>1653</t>
  </si>
  <si>
    <t>ｉＦｒｅｅＥＴＦ　ＭＳＣＩジャパンＥＳＧセレクト・リーダーズ指数　受益証券</t>
  </si>
  <si>
    <t>iFreeETF MSCI Japan ESG Select Leaders Index</t>
  </si>
  <si>
    <t>1654</t>
  </si>
  <si>
    <t>ｉＦｒｅｅＥＴＦ　ＦＴＳＥ　Ｂｌｏｓｓｏｍ　Ｊａｐａｎ　Ｉｎｄｅｘ　受益証券</t>
  </si>
  <si>
    <t>iFreeETF FTSE Blossom Japan Index</t>
  </si>
  <si>
    <t>1655</t>
  </si>
  <si>
    <t>ｉシェアーズ　Ｓ＆Ｐ　５００　米国株　ＥＴＦ　受益証券</t>
  </si>
  <si>
    <t>iShares S&amp;P 500 ETF</t>
  </si>
  <si>
    <t>1656</t>
  </si>
  <si>
    <t>ｉシェアーズ・コア　米国債７－１０年　ＥＴＦ　受益証券</t>
  </si>
  <si>
    <t>iShares Core 7-10 Year US Treasury Bond ETF</t>
  </si>
  <si>
    <t>1657</t>
  </si>
  <si>
    <t>ｉシェアーズ・コア　ＭＳＣＩ　先進国株（除く日本）ＥＴＦ　受益証券</t>
  </si>
  <si>
    <t>iShares Core MSCI Kokusai ETF</t>
  </si>
  <si>
    <t>1658</t>
  </si>
  <si>
    <t>ｉシェアーズ・コア　ＭＳＣＩ　新興国株　ＥＴＦ　受益証券</t>
  </si>
  <si>
    <t>iShares Core MSCI Emerging Markets IMI ETF</t>
  </si>
  <si>
    <t>1659</t>
  </si>
  <si>
    <t>ｉシェアーズ　米国リート　ＥＴＦ　受益証券</t>
  </si>
  <si>
    <t>iShares US REIT ETF</t>
  </si>
  <si>
    <t>1660</t>
  </si>
  <si>
    <t>ＭＡＸＩＳ高利回りＪリート上場投信　受益証券</t>
  </si>
  <si>
    <t>MAXIS High Yield J-REIT ETF</t>
  </si>
  <si>
    <t>1671</t>
  </si>
  <si>
    <t>ＷＴＩ原油価格連動型上場投信　受益証券</t>
  </si>
  <si>
    <t>Simplex WTI ETF</t>
  </si>
  <si>
    <t>1672</t>
  </si>
  <si>
    <t>ＥＴＦＳ　金上場投資信託　投資証券</t>
  </si>
  <si>
    <t>WisdomTree Physical Gold Individual Securities</t>
  </si>
  <si>
    <t>1673</t>
  </si>
  <si>
    <t>ＥＴＦＳ　銀上場投資信託　投資証券</t>
  </si>
  <si>
    <t>WisdomTree Physical Silver Individual Securities</t>
  </si>
  <si>
    <t>1674</t>
  </si>
  <si>
    <t>ＥＴＦＳ　白金上場投資信託　投資証券</t>
  </si>
  <si>
    <t>WisdomTree Physical Platinum Individual Securities</t>
  </si>
  <si>
    <t>1675</t>
  </si>
  <si>
    <t>ＥＴＦＳ　パラジウム上場投資信託　投資証券</t>
  </si>
  <si>
    <t>WisdomTree Physical Palladium Individual Securities</t>
  </si>
  <si>
    <t>1676</t>
  </si>
  <si>
    <t>ＥＴＦＳ　貴金属バスケット上場投資信託　投資証券</t>
  </si>
  <si>
    <t>WisdomTree Physical Precious Metals Basket Securities</t>
  </si>
  <si>
    <t>1677</t>
  </si>
  <si>
    <t>上場インデックスファンド海外債券（ＦＴＳＥ　ＷＧＢＩ）毎月分配型　受益証券</t>
  </si>
  <si>
    <t>Listed Index Fund International Bond (FTSE WGBI) Monthly Dividend Payment Type</t>
  </si>
  <si>
    <t>1678</t>
  </si>
  <si>
    <t>ＮＥＸＴ　ＦＵＮＤＳ　インド株式指数・Ｎｉｆｔｙ　５０　連動型上場投信　受益証券</t>
  </si>
  <si>
    <t>NEXT FUNDS Nifty 50 Linked Exchange Traded Fund</t>
  </si>
  <si>
    <t>1679</t>
  </si>
  <si>
    <t>Ｓｉｍｐｌｅ－Ｘ　ＮＹ　ダウ・ジョーンズ・インデックス上場投信　受益証券</t>
  </si>
  <si>
    <t>Simple-X NY Dow Jones Index ETF</t>
  </si>
  <si>
    <t>1680</t>
  </si>
  <si>
    <t>上場インデックスファンド海外先進国株式（ＭＳＣＩ－ＫＯＫＵＳＡＩ）　受益証券</t>
  </si>
  <si>
    <t>Listed Index Fund International Developed Countries Equity (MSCI-KOKUSAI)</t>
  </si>
  <si>
    <t>1681</t>
  </si>
  <si>
    <t>上場インデックスファンド海外新興国株式（ＭＳＣＩ　エマージング）　受益証券</t>
  </si>
  <si>
    <t>Listed Index Fund International Emerging Countries Equity (MSCI EMERGING)</t>
  </si>
  <si>
    <t>1684</t>
  </si>
  <si>
    <t>ＥＴＦＳ　総合上場投資信託　投資証券</t>
  </si>
  <si>
    <t>WisdomTree Broad Commodities</t>
  </si>
  <si>
    <t>1685</t>
  </si>
  <si>
    <t>ＥＴＦＳ　エネルギー上場投資信託　投資証券</t>
  </si>
  <si>
    <t>WisdomTree Energy</t>
  </si>
  <si>
    <t>1686</t>
  </si>
  <si>
    <t>ＥＴＦＳ　産業用金属上場投資信託　投資証券</t>
  </si>
  <si>
    <t>WisdomTree Industrial Metals</t>
  </si>
  <si>
    <t>1687</t>
  </si>
  <si>
    <t>ＥＴＦＳ　農産物上場投資信託　投資証券</t>
  </si>
  <si>
    <t>WisdomTree Agriculture</t>
  </si>
  <si>
    <t>1688</t>
  </si>
  <si>
    <t>ＥＴＦＳ　穀物上場投資信託　投資証券</t>
  </si>
  <si>
    <t>WisdomTree Grains</t>
  </si>
  <si>
    <t>1689</t>
  </si>
  <si>
    <t>ＥＴＦＳ　天然ガス上場投資信託　投資証券</t>
  </si>
  <si>
    <t>WisdomTree Natural Gas</t>
  </si>
  <si>
    <t>1690</t>
  </si>
  <si>
    <t>ＥＴＦＳ　ＷＴＩ　原油上場投資信託　投資証券</t>
  </si>
  <si>
    <t>WisdomTree WTI Crude Oil</t>
  </si>
  <si>
    <t>1691</t>
  </si>
  <si>
    <t>ＥＴＦＳ　ガソリン上場投資信託　投資証券</t>
  </si>
  <si>
    <t>WisdomTree Gasoline</t>
  </si>
  <si>
    <t>1692</t>
  </si>
  <si>
    <t>ＥＴＦＳ　アルミニウム上場投資信託　投資証券</t>
  </si>
  <si>
    <t>WisdomTree Aluminium</t>
  </si>
  <si>
    <t>10</t>
  </si>
  <si>
    <t>1693</t>
  </si>
  <si>
    <t>ＥＴＦＳ　銅上場投資信託　投資証券</t>
  </si>
  <si>
    <t>WisdomTree Copper</t>
  </si>
  <si>
    <t>1694</t>
  </si>
  <si>
    <t>ＥＴＦＳ　ニッケル上場投資信託　投資証券</t>
  </si>
  <si>
    <t>WisdomTree Nickel</t>
  </si>
  <si>
    <t>1695</t>
  </si>
  <si>
    <t>ＥＴＦＳ　小麦上場投資信託　投資証券</t>
  </si>
  <si>
    <t>WisdomTree Wheat</t>
  </si>
  <si>
    <t>1696</t>
  </si>
  <si>
    <t>ＥＴＦＳ　とうもろこし上場投資信託　投資証券</t>
  </si>
  <si>
    <t>WisdomTree Corn</t>
  </si>
  <si>
    <t>1697</t>
  </si>
  <si>
    <t>ＥＴＦＳ　大豆上場投資信託　投資証券</t>
  </si>
  <si>
    <t>WisdomTree Soybeans</t>
  </si>
  <si>
    <t>1698</t>
  </si>
  <si>
    <t>上場インデックスファンド日本高配当（東証配当フォーカス１００）　受益証券</t>
  </si>
  <si>
    <t>Listed Index Fund Japan High Dividend (TSE Dividend Focus 100)</t>
  </si>
  <si>
    <t>1699</t>
  </si>
  <si>
    <t>ＮＥＸＴ　ＦＵＮＤＳ　ＮＯＭＵＲＡ　原油インデックス連動型上場投信　受益証券</t>
  </si>
  <si>
    <t>NEXT FUNDS NOMURA Crude Oil Long Index Linked Exchange Traded Fund</t>
  </si>
  <si>
    <t>170A</t>
  </si>
  <si>
    <t>ＳＭＴ　ＥＴＦ日本好配当株アクティブ　受益証券</t>
  </si>
  <si>
    <t>SMT ETF Japan Equity Income Strategy Active</t>
  </si>
  <si>
    <t>178A</t>
  </si>
  <si>
    <t>グローバルＸ　革新的優良企業　ＥＴＦ　受益証券</t>
  </si>
  <si>
    <t>Global X Innovative Bluechip Top 10+ ETF</t>
  </si>
  <si>
    <t>179A</t>
  </si>
  <si>
    <t>グローバルＸ　超長期米国債　ＥＴＦ（為替ヘッジあり）　受益証券</t>
  </si>
  <si>
    <t>Global X 25+ Year T-Bond ETF (JPY Hedged)</t>
  </si>
  <si>
    <t>180A</t>
  </si>
  <si>
    <t>グローバルＸ　超長期米国債　ＥＴＦ　受益証券</t>
  </si>
  <si>
    <t>Global X 25+ Year T-Bond ETF</t>
  </si>
  <si>
    <t>181A</t>
  </si>
  <si>
    <t>ＭＡＸＩＳ米国国債１－３年上場投信（為替ヘッジなし）　受益証券</t>
  </si>
  <si>
    <t>MAXIS US Treasury Bond 1-3 Year ETF (Unhedged)</t>
  </si>
  <si>
    <t>182A</t>
  </si>
  <si>
    <t>ＭＡＸＩＳ米国国債２０年超上場投信（為替ヘッジなし）　受益証券</t>
  </si>
  <si>
    <t>MAXIS US Treasury Bond 20+ Year ETF (Unhedged)</t>
  </si>
  <si>
    <t>183A</t>
  </si>
  <si>
    <t>ＭＡＸＩＳ米国国債２０年超上場投信（為替ヘッジあり）　受益証券</t>
  </si>
  <si>
    <t>MAXIS US Treasury Bond 20+ Year ETF (JPY Hedged)</t>
  </si>
  <si>
    <t>188A</t>
  </si>
  <si>
    <t>グローバルＸ　インド・トップ１０＋　ＥＴＦ　受益証券</t>
  </si>
  <si>
    <t>Global X India Top 10+ ETF</t>
  </si>
  <si>
    <t>200A</t>
  </si>
  <si>
    <t>ＮＥＸＴ　ＦＵＮＤＳ　日経半導体株指数連動型上場投信　受益証券</t>
  </si>
  <si>
    <t>NEXT FUNDS Nikkei Semiconductor Stock Index Exchange Traded Fund</t>
  </si>
  <si>
    <t>2011</t>
  </si>
  <si>
    <t>ＳＭＤＡＭ　Ａｃｔｉｖｅ　ＥＴＦ　日本高配当株式　受益証券</t>
  </si>
  <si>
    <t>SMDAM Active ETF Japan High Dividend Equity</t>
  </si>
  <si>
    <t>2012</t>
  </si>
  <si>
    <t>ｉシェアーズ　米国債０－３ヶ月　ＥＴＦ　受益証券</t>
  </si>
  <si>
    <t>iShares 0-3 Month US Treasury Bond ETF</t>
  </si>
  <si>
    <t>2013</t>
  </si>
  <si>
    <t>ｉシェアーズ　米国高配当株　ＥＴＦ　受益証券</t>
  </si>
  <si>
    <t>iShares US High Dividend ETF</t>
  </si>
  <si>
    <t>2014</t>
  </si>
  <si>
    <t>ｉシェアーズ　米国連続増配株　ＥＴＦ　受益証券</t>
  </si>
  <si>
    <t>iShares US Dividend Growth ETF</t>
  </si>
  <si>
    <t>2015</t>
  </si>
  <si>
    <t>ｉＦｒｅｅＥＴＦ　米国国債７－１０年（為替ヘッジなし）　受益証券</t>
  </si>
  <si>
    <t>iFreeETF US Treasury Bond 7-10 Year (NON HEDGED)</t>
  </si>
  <si>
    <t>2016</t>
  </si>
  <si>
    <t>ｉＦｒｅｅＥＴＦ　米国国債７－１０年（為替ヘッジあり）　受益証券</t>
  </si>
  <si>
    <t>iFreeETF US Treasury Bond 7-10 Year (JPY HEDGED)</t>
  </si>
  <si>
    <t>2017</t>
  </si>
  <si>
    <t>ｉＦｒｅｅＥＴＦ　ＪＰＸプライム１５０　受益証券</t>
  </si>
  <si>
    <t>iFreeETF JPX Prime 150</t>
  </si>
  <si>
    <t>2018</t>
  </si>
  <si>
    <t>グローバルＸ　ＵＳ　ＲＥＩＴ・トップ２０　ＥＴＦ　受益証券</t>
  </si>
  <si>
    <t>Global X US REIT Top 20 ETF</t>
  </si>
  <si>
    <t>2019</t>
  </si>
  <si>
    <t>グローバルＸ　米国優先証券　ＥＴＦ（隔月分配型）　受益証券</t>
  </si>
  <si>
    <t>Global X U.S. Preferred Security ETF (Bi-monthly dividend type)</t>
  </si>
  <si>
    <t>201A</t>
  </si>
  <si>
    <t>ｉシェアーズ　Ｎｉｆｔｙ　５０　インド株　ＥＴＦ　受益証券</t>
  </si>
  <si>
    <t>iShares Nifty 50 ETF</t>
  </si>
  <si>
    <t>2031</t>
  </si>
  <si>
    <t>ＮＥＸＴ　ＮＯＴＥＳ　香港ハンセン・ダブル・ブル　ＥＴＮ　受益証券</t>
  </si>
  <si>
    <t>NEXT NOTES HSI Leveraged ETN</t>
  </si>
  <si>
    <t>2032</t>
  </si>
  <si>
    <t>ＮＥＸＴ　ＮＯＴＥＳ　香港ハンセン・ベア　ＥＴＮ　受益証券</t>
  </si>
  <si>
    <t>NEXT NOTES HSI Short ETN</t>
  </si>
  <si>
    <t>2033</t>
  </si>
  <si>
    <t>ＮＥＸＴ　ＮＯＴＥＳ　韓国ＫＯＳＰＩ・ダブル・ブル　ＥＴＮ　受益証券</t>
  </si>
  <si>
    <t>NEXT NOTES KOSPI200 Leverage ETN</t>
  </si>
  <si>
    <t>2034</t>
  </si>
  <si>
    <t>ＮＥＸＴ　ＮＯＴＥＳ　韓国ＫＯＳＰＩ・ベア　ＥＴＮ　受益証券</t>
  </si>
  <si>
    <t>NEXT NOTES F-KOSPI200 Inverse ETN</t>
  </si>
  <si>
    <t>2036</t>
  </si>
  <si>
    <t>ＮＥＸＴ　ＮＯＴＥＳ　金先物　ダブル・ブル　ＥＴＮ　受益証券</t>
  </si>
  <si>
    <t>NEXT NOTES Gold Futures Double Bull ETN</t>
  </si>
  <si>
    <t>2037</t>
  </si>
  <si>
    <t>ＮＥＸＴ　ＮＯＴＥＳ　金先物　ベア　ＥＴＮ　受益証券</t>
  </si>
  <si>
    <t>NEXT NOTES Gold Futures Bear ETN</t>
  </si>
  <si>
    <t>2038</t>
  </si>
  <si>
    <t>ＮＥＸＴ　ＮＯＴＥＳ　ドバイ原油先物　ダブル・ブル　ＥＴＮ　受益証券</t>
  </si>
  <si>
    <t>NEXT NOTES Dubai Crude Oil Futures Double Bull ETN</t>
  </si>
  <si>
    <t>2039</t>
  </si>
  <si>
    <t>ＮＥＸＴ　ＮＯＴＥＳ　ドバイ原油先物　ベア　ＥＴＮ　受益証券</t>
  </si>
  <si>
    <t>NEXT NOTES Dubai Crude Oil Futures Bear ETN</t>
  </si>
  <si>
    <t>2040</t>
  </si>
  <si>
    <t>ＮＥＸＴ　ＮＯＴＥＳ　ＮＹダウ・ダブル・ブル・ドルヘッジ　ＥＴＮ　受益証券</t>
  </si>
  <si>
    <t>NEXT NOTES DJIA PR JPY-Monthly Hedged Leveraged (x2) ETN</t>
  </si>
  <si>
    <t>2041</t>
  </si>
  <si>
    <t>ＮＥＸＴ　ＮＯＴＥＳ　ＮＹダウ・ベア・ドルヘッジ　ＥＴＮ　受益証券</t>
  </si>
  <si>
    <t>NEXT NOTES DJIA TR JPY-Monthly Hedged Inverse (x1) ETN</t>
  </si>
  <si>
    <t>2042</t>
  </si>
  <si>
    <t>ＮＥＸＴ　ＮＯＴＥＳ　東証グロース市場２５０　ＥＴＮ　受益証券</t>
  </si>
  <si>
    <t>NEXT NOTES Tokyo Stock Exchange Growth Market 250 Index ETN</t>
  </si>
  <si>
    <t>2043</t>
  </si>
  <si>
    <t>ＮＥＸＴ　ＮＯＴＥＳ　ＳＴＯＸＸ　アセアン好配当５０（円、ネットリターン）ＥＴＮ　受益証券</t>
  </si>
  <si>
    <t>NEXT NOTES STOXX ASEAN-Five Select Dividend 50(NR-JPY) ETN</t>
  </si>
  <si>
    <t>2044</t>
  </si>
  <si>
    <t>ＮＥＸＴ　ＮＯＴＥＳ　Ｓ＆Ｐ５００　配当貴族（ネットリターン）　ＥＴＮ　受益証券</t>
  </si>
  <si>
    <t>NEXT NOTES S&amp;P 500 Dividend Aristocrats Net Total Return Index ETN</t>
  </si>
  <si>
    <t>2045</t>
  </si>
  <si>
    <t>ＮＥＸＴ　ＮＯＴＥＳ　Ｓ＆Ｐ　シンガポール　リート（ネットリターン）　ＥＴＮ　受益証券</t>
  </si>
  <si>
    <t>NEXT NOTES S&amp;P Singapore REIT Net Total Return Index ETN</t>
  </si>
  <si>
    <t>2046</t>
  </si>
  <si>
    <t>ＮＥＸＴ　ＮＯＴＥＳ　インドＮｉｆｔｙ・ダブル・ブル　ＥＴＮ　受益証券</t>
  </si>
  <si>
    <t>NEXT NOTES Nifty PR 2x Leverage Index ETN</t>
  </si>
  <si>
    <t>2047</t>
  </si>
  <si>
    <t>ＮＥＸＴ　ＮＯＴＥＳ　インドＮｉｆｔｙ・ベア　ＥＴＮ　受益証券</t>
  </si>
  <si>
    <t>NEXT NOTES Nifty Total Returns(TR) Daily Inverse Index ETN</t>
  </si>
  <si>
    <t>2048</t>
  </si>
  <si>
    <t>ＮＥＸＴ　ＮＯＴＥＳ　野村日本株高配当７０（ドルヘッジ、ネットリターン）ＥＴＮ　受益証券</t>
  </si>
  <si>
    <t>NEXT NOTES Nomura Japan Equity High Dividend 70,Net Total Return US Dollar Hedged Index ETN</t>
  </si>
  <si>
    <t>2050</t>
  </si>
  <si>
    <t>ＮＥＸＴ　ＮＯＴＥＳ　ニッチトップ　中小型日本株（ネットリターン）ＥＴＮ　受益証券</t>
  </si>
  <si>
    <t>NEXT NOTES Niche Top Mid Small Cap Japan Equity, Net Total Return ETN</t>
  </si>
  <si>
    <t>2065</t>
  </si>
  <si>
    <t>ＮＥＸＴ　ＮＯＴＥＳ　日本株配当貴族（ドルヘッジ、ネットリターン）ＥＴＮ　受益証券</t>
  </si>
  <si>
    <t>NEXT NOTES S&amp;P/JPX Dividend Aristocrats Index USD Hedged NTR ETN</t>
  </si>
  <si>
    <t>2066</t>
  </si>
  <si>
    <t>ＮＥＸＴ　ＮＯＴＥＳ　東証ＲＥＩＴ（ドルヘッジ、ネットリターン）ＥＴＮ　受益証券</t>
  </si>
  <si>
    <t>NEXT NOTES Tokyo Stock Exchange REIT Net Total Return US Dollar Hedged Index ETN</t>
  </si>
  <si>
    <t>2067</t>
  </si>
  <si>
    <t>ＮＥＸＴ　ＮＯＴＥＳ　野村ＡＩビジネス７０（ネットリターン）ＥＴＮ　受益証券</t>
  </si>
  <si>
    <t>NEXT NOTES AI Companies 70,Net Total Return ETN</t>
  </si>
  <si>
    <t>2068</t>
  </si>
  <si>
    <t>ＮＥＸＴ　ＮＯＴＥＳ　高ベータ３０（ネットリターン）ＥＴＮ　受益証券</t>
  </si>
  <si>
    <t>NEXT NOTES Japan Equity High Beta Select 30,Net Total Return ETN</t>
  </si>
  <si>
    <t>2069</t>
  </si>
  <si>
    <t>ＮＥＸＴ　ＮＯＴＥＳ　低ベータ５０（ネットリターン）ＥＴＮ　受益証券</t>
  </si>
  <si>
    <t>NEXT NOTES Japan Equity Low Beta Select 50,Net Total Return ETN</t>
  </si>
  <si>
    <t>2070</t>
  </si>
  <si>
    <t>スマートＥＳＧ３０女性活躍（ネットリターン）ＥＴＮ　受益証券</t>
  </si>
  <si>
    <t>Smart ESG 30 Empowering Women Net Return ETN</t>
  </si>
  <si>
    <t>2071</t>
  </si>
  <si>
    <t>スマートＥＳＧ３０総合（ネットリターン）ＥＴＮ　受益証券</t>
  </si>
  <si>
    <t>Smart ESG 30 Net Return ETN</t>
  </si>
  <si>
    <t>2072</t>
  </si>
  <si>
    <t>トップシェアインデックス（ネットリターン）ＥＴＮ　受益証券</t>
  </si>
  <si>
    <t>Market Share Leaders Net Return ETN</t>
  </si>
  <si>
    <t>2073</t>
  </si>
  <si>
    <t>スマートＥＳＧ３０低カーボンリスク（ネットリターン）ＥＴＮ　受益証券</t>
  </si>
  <si>
    <t>Smart ESG 30 Low Carbon Risk Net Return ETN</t>
  </si>
  <si>
    <t>2080</t>
  </si>
  <si>
    <t>ＰＢＲ１倍割れ解消推進ＥＴＦ　受益証券</t>
  </si>
  <si>
    <t>PBR Improvement over 1x ETF</t>
  </si>
  <si>
    <t>2081</t>
  </si>
  <si>
    <t>政策保有解消推進ＥＴＦ　受益証券</t>
  </si>
  <si>
    <t>Strategic Shareholding Disposal Promotion ETF</t>
  </si>
  <si>
    <t>2082</t>
  </si>
  <si>
    <t>投資家経営者一心同体ＥＴＦ　受益証券</t>
  </si>
  <si>
    <t>Investor-Management Unite as One ETF</t>
  </si>
  <si>
    <t>2083</t>
  </si>
  <si>
    <t>ＮＥＸＴ　ＦＵＮＤＳ　日本成長株アクティブ上場投信　受益証券</t>
  </si>
  <si>
    <t>NEXT FUNDS Japan Growth Equity Active Exchange Traded Fund</t>
  </si>
  <si>
    <t>2084</t>
  </si>
  <si>
    <t>ＮＥＸＴ　ＦＵＮＤＳ　日本高配当株アクティブ上場投信　受益証券</t>
  </si>
  <si>
    <t>NEXT FUNDS Japan High Dividend Equity Active Exchange Traded Fund</t>
  </si>
  <si>
    <t>2085</t>
  </si>
  <si>
    <t>ＭＡＸＩＳ高配当日本株アクティブ上場投信　受益証券</t>
  </si>
  <si>
    <t>MAXIS High Dividend Japan Equity Actively Managed ETF</t>
  </si>
  <si>
    <t>2086</t>
  </si>
  <si>
    <t>ＮＺＡＭ　上場投信　Ｓ＆Ｐ５００（為替ヘッジあり）　受益証券</t>
  </si>
  <si>
    <t>NZAM ETF S&amp;P500 (JPY Hedged)</t>
  </si>
  <si>
    <t>2087</t>
  </si>
  <si>
    <t>ＮＺＡＭ　上場投信　ＮＡＳＤＡＱ１００（為替ヘッジあり）　受益証券</t>
  </si>
  <si>
    <t>NZAM ETF NASDAQ100 (JPY Hedged)</t>
  </si>
  <si>
    <t>2088</t>
  </si>
  <si>
    <t>ＮＺＡＭ　上場投信　ＮＹダウ３０（為替ヘッジあり）　受益証券</t>
  </si>
  <si>
    <t>NZAM ETF NY Dow30 (JPY Hedged)</t>
  </si>
  <si>
    <t>2089</t>
  </si>
  <si>
    <t>ＮＺＡＭ　上場投信　ＤＡＸ（為替ヘッジあり）　受益証券</t>
  </si>
  <si>
    <t>NZAM ETF DAX (JPY Hedged)</t>
  </si>
  <si>
    <t>2090</t>
  </si>
  <si>
    <t>ＮＺＡＭ　上場投信　米国国債７－１０年（為替ヘッジあり）　受益証券</t>
  </si>
  <si>
    <t>NZAM ETF US Treasury 7-10Y (JPY Hedged)</t>
  </si>
  <si>
    <t>2091</t>
  </si>
  <si>
    <t>ＮＺＡＭ　上場投信　ドイツ国債７－１０年（為替ヘッジあり）　受益証券</t>
  </si>
  <si>
    <t>NZAM ETF German Government Bond 7-10Y (JPY Hedged)</t>
  </si>
  <si>
    <t>2092</t>
  </si>
  <si>
    <t>ＮＺＡＭ　上場投信　フランス国債７－１０年（為替ヘッジあり）　受益証券</t>
  </si>
  <si>
    <t>NZAM ETF France Government Bond 7-10Y (JPY Hedged)</t>
  </si>
  <si>
    <t>2093</t>
  </si>
  <si>
    <t>上場Ｔｒａｃｅｒｓ　米国債０－２年ラダー（為替ヘッジなし）　受益証券</t>
  </si>
  <si>
    <t>Listed Tracers US Government Bond 0-2years Ladder (No Currency Hedge)</t>
  </si>
  <si>
    <t>2094</t>
  </si>
  <si>
    <t>東証ＲＥＩＴインバースＥＴＦ　受益証券</t>
  </si>
  <si>
    <t>TSE REIT Inverse ETF</t>
  </si>
  <si>
    <t>2095</t>
  </si>
  <si>
    <t>グローバルＸ　Ｓ＆Ｐ５００配当貴族　ＥＴＦ（為替ヘッジあり）　受益証券</t>
  </si>
  <si>
    <t>Global X S&amp;P 500 Dividend Aristocrats ETF (JPY Hedged)</t>
  </si>
  <si>
    <t>2096</t>
  </si>
  <si>
    <t>グローバルＸ　オフィス・Ｊ－ＲＥＩＴ　ＥＴＦ　受益証券</t>
  </si>
  <si>
    <t>Global X Office J-REIT ETF</t>
  </si>
  <si>
    <t>2097</t>
  </si>
  <si>
    <t>グローバルＸ　レジデンシャル・Ｊ－ＲＥＩＴ　ＥＴＦ　受益証券</t>
  </si>
  <si>
    <t>Global X Residential J-REIT ETF</t>
  </si>
  <si>
    <t>2098</t>
  </si>
  <si>
    <t>グローバルＸ　ホテル＆リテール・Ｊ－ＲＥＩＴ　ＥＴＦ　受益証券</t>
  </si>
  <si>
    <t>Global X Hotel &amp; Retail J-REIT ETF</t>
  </si>
  <si>
    <t>210A</t>
  </si>
  <si>
    <t>ｉＦｒｅｅＥＴＦ　日経高利回りＲＥＩＴ指数　受益証券</t>
  </si>
  <si>
    <t>iFreeETF Nikkei High Yield REIT Index</t>
  </si>
  <si>
    <t>213A</t>
  </si>
  <si>
    <t>上場インデックスファンド日経半導体株　受益証券</t>
  </si>
  <si>
    <t>Listed Index Fund Nikkei Semiconductor Stock</t>
  </si>
  <si>
    <t>221A</t>
  </si>
  <si>
    <t>ＭＡＸＩＳ日経半導体株上場投信　受益証券</t>
  </si>
  <si>
    <t>MAXIS Nikkei Semiconductor Stock (Japan) ETF</t>
  </si>
  <si>
    <t>2235</t>
  </si>
  <si>
    <t>上場インデックスファンド米国株式（ダウ平均）為替ヘッジなし　受益証券</t>
  </si>
  <si>
    <t>Listed Index Fund US Equity (Dow Average) No Currency Hedge</t>
  </si>
  <si>
    <t>2236</t>
  </si>
  <si>
    <t>グローバルＸ　Ｓ＆Ｐ５００配当貴族ＥＴＦ　受益証券</t>
  </si>
  <si>
    <t>Global X S&amp;P 500 Dividend Aristocrats ETF</t>
  </si>
  <si>
    <t>2237</t>
  </si>
  <si>
    <t>ｉＦｒｅｅＥＴＦ　Ｓ＆Ｐ５００レバレッジ　受益証券</t>
  </si>
  <si>
    <t>iFreeETF S&amp;P500 Leveraged (2x)</t>
  </si>
  <si>
    <t>2238</t>
  </si>
  <si>
    <t>ｉＦｒｅｅＥＴＦ　Ｓ＆Ｐ５００インバース　受益証券</t>
  </si>
  <si>
    <t>iFreeETF S&amp;P500 Inverse</t>
  </si>
  <si>
    <t>2239</t>
  </si>
  <si>
    <t>上場インデックスファンドＳ＆Ｐ５００先物レバレッジ２倍　受益証券</t>
  </si>
  <si>
    <t>Listed Index Fund S&amp;P500 Futures Leveraged Two Times</t>
  </si>
  <si>
    <t>223A</t>
  </si>
  <si>
    <t>グローバルＸ　ＡＩ＆ビッグデータ　ＥＴＦ　受益証券</t>
  </si>
  <si>
    <t>Global X Artificial Intelligence &amp; Technology ETF</t>
  </si>
  <si>
    <t>2240</t>
  </si>
  <si>
    <t>上場インデックスファンドＳ＆Ｐ５００先物インバース　受益証券</t>
  </si>
  <si>
    <t>Listed Index Fund S&amp;P500 Futures Inverse</t>
  </si>
  <si>
    <t>2241</t>
  </si>
  <si>
    <t>ＭＡＸＩＳ　ＮＹダウ上場投信　受益証券</t>
  </si>
  <si>
    <t>MAXIS NY Dow Industrial Average ETF</t>
  </si>
  <si>
    <t>2242</t>
  </si>
  <si>
    <t>ＭＡＸＩＳ　ＮＹダウ上場投信（為替ヘッジあり）　受益証券</t>
  </si>
  <si>
    <t>MAXIS NY Dow Industrial Average ETF (JPY Hedged)</t>
  </si>
  <si>
    <t>2243</t>
  </si>
  <si>
    <t>グローバルＸ　半導体　ＥＴＦ　受益証券</t>
  </si>
  <si>
    <t>Global X Semiconductor ETF</t>
  </si>
  <si>
    <t>2244</t>
  </si>
  <si>
    <t>グローバルＸ　ＵＳ　テック・トップ２０　ＥＴＦ　受益証券</t>
  </si>
  <si>
    <t>Global X US Tech Top 20 ETF</t>
  </si>
  <si>
    <t>2245</t>
  </si>
  <si>
    <t>ＮＥＸＴ　ＦＵＮＤＳ　ブルームバーグ・ドイツ国債（７－１０年）インデックス（為替ヘッジあり）連動型上場投信　受益証券</t>
  </si>
  <si>
    <t>NEXT FUNDS Bloomberg Germany Treasury Bond (7-10 year) Index (Yen-Hedged) Exchange Traded Fund</t>
  </si>
  <si>
    <t>2246</t>
  </si>
  <si>
    <t>ＮＥＸＴ　ＦＵＮＤＳ　ブルームバーグ・フランス国債（７－１０年）インデックス（為替ヘッジあり）連動型上場投信　受益証券</t>
  </si>
  <si>
    <t>NEXT FUNDS Bloomberg France Treasury Bond (7-10 year) Index (Yen-Hedged) Exchange Traded Fund</t>
  </si>
  <si>
    <t>2247</t>
  </si>
  <si>
    <t>ｉＦｒｅｅＥＴＦ　Ｓ＆Ｐ５００（為替ヘッジなし）　受益証券</t>
  </si>
  <si>
    <t>iFreeETF S&amp;P500 (NON HEDGED)</t>
  </si>
  <si>
    <t>2248</t>
  </si>
  <si>
    <t>ｉＦｒｅｅＥＴＦ　Ｓ＆Ｐ５００（為替ヘッジあり）　受益証券</t>
  </si>
  <si>
    <t>iFreeETF S&amp;P500 (JPY HEDGED)</t>
  </si>
  <si>
    <t>2249</t>
  </si>
  <si>
    <t>ｉＦｒｅｅＥＴＦ　Ｓ＆Ｐ５００ダブルインバース　受益証券</t>
  </si>
  <si>
    <t>iFreeETF S&amp;P500 Double Inverse (-2x)</t>
  </si>
  <si>
    <t>224A</t>
  </si>
  <si>
    <t>グローバルＸ　ウラニウムビジネス　ＥＴＦ　受益証券</t>
  </si>
  <si>
    <t>Global X Uranium ETF</t>
  </si>
  <si>
    <t>2250</t>
  </si>
  <si>
    <t>ｉシェアーズ　ＭＳＣＩ　ジャパン気候変動アクション　ＥＴＦ　受益証券</t>
  </si>
  <si>
    <t>iShares MSCI Japan Climate Action ETF</t>
  </si>
  <si>
    <t>2251</t>
  </si>
  <si>
    <t>ＮＥＸＴ　ＦＵＮＤＳ　ＪＰＸ国債先物ダブルインバース指数連動型上場投信　受益証券</t>
  </si>
  <si>
    <t>NEXT FUNDS JPX JGB Futures Double Inverse Index Exchange Traded Fund</t>
  </si>
  <si>
    <t>2252</t>
  </si>
  <si>
    <t>グローバルＸ　Ｍｏｒｎｉｎｇｓｔａｒ　米国中小型　Ｍｏａｔ　ＥＴＦ　受益証券</t>
  </si>
  <si>
    <t>Global X Morningstar US Small Mid Moat ETF</t>
  </si>
  <si>
    <t>2253</t>
  </si>
  <si>
    <t>グローバルＸ　スーパーディビィデンド－ＵＳ　ＥＴＦ　受益証券</t>
  </si>
  <si>
    <t>Global X SuperDividend U.S. ETF</t>
  </si>
  <si>
    <t>2254</t>
  </si>
  <si>
    <t>グローバルＸ　チャイナＥＶ＆バッテリー　ＥＴＦ　受益証券</t>
  </si>
  <si>
    <t>Global X China Electric Vehicle and Battery ETF</t>
  </si>
  <si>
    <t>2255</t>
  </si>
  <si>
    <t>ｉシェアーズ　米国債２０年超　ＥＴＦ　受益証券</t>
  </si>
  <si>
    <t>iShares 20+ Year US Treasury Bond ETF</t>
  </si>
  <si>
    <t>2256</t>
  </si>
  <si>
    <t>ｉシェアーズ　米国総合債券　ＥＴＦ　受益証券</t>
  </si>
  <si>
    <t>iShares US Aggregate Bond ETF</t>
  </si>
  <si>
    <t>2257</t>
  </si>
  <si>
    <t>ｉシェアーズ　米ドル建て投資適格社債　ＥＴＦ　受益証券</t>
  </si>
  <si>
    <t>iShares USD Investment Grade Corporate Bond ETF</t>
  </si>
  <si>
    <t>2258</t>
  </si>
  <si>
    <t>ｉシェアーズ　米ドル建てハイイールド社債　ＥＴＦ　受益証券</t>
  </si>
  <si>
    <t>iShares USD High Yield Corporate Bond ETF</t>
  </si>
  <si>
    <t>2259</t>
  </si>
  <si>
    <t>ｉシェアーズ　フランス国債７－１０年　ＥＴＦ（為替ヘッジあり）　受益証券</t>
  </si>
  <si>
    <t>iShares 7-10 Year France Government Bond JPY Hedged ETF</t>
  </si>
  <si>
    <t>233A</t>
  </si>
  <si>
    <t>ｉＦｒｅｅＥＴＦ　インドＮｉｆｔｙ５０　受益証券</t>
  </si>
  <si>
    <t>iFreeETF Nifty50</t>
  </si>
  <si>
    <t>234A</t>
  </si>
  <si>
    <t>グローバルＸ　ＭＳＣＩ　キャッシュフローキング－日本株式　ＥＴＦ　受益証券</t>
  </si>
  <si>
    <t>Global X MSCI Japan Cash Flow Kings ETF</t>
  </si>
  <si>
    <t>235A</t>
  </si>
  <si>
    <t>グローバルＸ　高配当３０－日本株式　ＥＴＦ　受益証券</t>
  </si>
  <si>
    <t>Global X Japan High Dividend 30 ETF</t>
  </si>
  <si>
    <t>236A</t>
  </si>
  <si>
    <t>ｉシェアーズ　日本国債７－１０年　ＥＴＦ　受益証券</t>
  </si>
  <si>
    <t>iShares 7-10 Year Japan Government Bond ETF</t>
  </si>
  <si>
    <t>237A</t>
  </si>
  <si>
    <t>ｉシェアーズ　米国債２５年超　ロングデュレーション　ＥＴＦ　受益証券</t>
  </si>
  <si>
    <t>iShares 25+ Year US Treasury Bond Long Duration ETF</t>
  </si>
  <si>
    <t>238A</t>
  </si>
  <si>
    <t>ｉシェアーズ　米国債２５年超　ロングデュレーション　ＥＴＦ（為替ヘッジあり）　受益証券</t>
  </si>
  <si>
    <t>iShares 25+ Year US Treasury Bond Long Duration JPY Hedged ETF</t>
  </si>
  <si>
    <t>2510</t>
  </si>
  <si>
    <t>ＮＥＸＴ　ＦＵＮＤＳ　国内債券・ＮＯＭＵＲＡ－ＢＰＩ総合連動型上場投信　受益証券</t>
  </si>
  <si>
    <t>NEXT FUNDS Japan Bond NOMURA-BPI Exchange Traded Fund</t>
  </si>
  <si>
    <t>2511</t>
  </si>
  <si>
    <t>ＮＥＸＴ　ＦＵＮＤＳ　外国債券・ＦＴＳＥ世界国債インデックス（除く日本・為替ヘッジなし）連動型上場投信　受益証券</t>
  </si>
  <si>
    <t>NEXT FUNDS International Bond FTSE World Government Bond Index (ex Japan Unhedged) Exchange Traded Fund</t>
  </si>
  <si>
    <t>2512</t>
  </si>
  <si>
    <t>ＮＥＸＴ　ＦＵＮＤＳ　外国債券・ＦＴＳＥ世界国債インデックス（除く日本・為替ヘッジあり）連動型上場投信　受益証券</t>
  </si>
  <si>
    <t>NEXT FUNDS International Bond FTSE World Government Bond Index (ex Japan Yen-Hedged) Exchange Traded Fund</t>
  </si>
  <si>
    <t>2513</t>
  </si>
  <si>
    <t>ＮＥＸＴ　ＦＵＮＤＳ　外国株式・ＭＳＣＩ－ＫＯＫＵＳＡＩ指数（為替ヘッジなし）連動型上場投信　受益証券</t>
  </si>
  <si>
    <t>NEXT FUNDS International Equity MSCI-KOKUSAI (Unhedged) Exchange Traded Fund</t>
  </si>
  <si>
    <t>2514</t>
  </si>
  <si>
    <t>ＮＥＸＴ　ＦＵＮＤＳ　外国株式・ＭＳＣＩ－ＫＯＫＵＳＡＩ指数（為替ヘッジあり）連動型上場投信　受益証券</t>
  </si>
  <si>
    <t>NEXT FUNDS International Equity MSCI-KOKUSAI (Yen-Hedged) Exchange Traded Fund</t>
  </si>
  <si>
    <t>2515</t>
  </si>
  <si>
    <t>ＮＥＸＴ　ＦＵＮＤＳ　外国ＲＥＩＴ・Ｓ＆Ｐ先進国ＲＥＩＴ指数（除く日本・為替ヘッジなし）連動型上場投信　受益証券</t>
  </si>
  <si>
    <t>NEXT FUNDS International REIT S&amp;P Developed REIT Index (ex Japan Unhedged) Exchange Traded Fund</t>
  </si>
  <si>
    <t>2516</t>
  </si>
  <si>
    <t>東証グロース２５０ＥＴＦ　受益証券</t>
  </si>
  <si>
    <t>TSE Growth 250 ETF</t>
  </si>
  <si>
    <t>2517</t>
  </si>
  <si>
    <t>ＭＡＸＩＳ　Ｊリート・コア上場投信　受益証券</t>
  </si>
  <si>
    <t>MAXIS J-REIT Core ETF</t>
  </si>
  <si>
    <t>2518</t>
  </si>
  <si>
    <t>ＮＥＸＴ　ＦＵＮＤＳ　ＭＳＣＩ日本株女性活躍指数（セレクト）連動型上場投信　受益証券</t>
  </si>
  <si>
    <t>NEXT FUNDS MSCI Japan Empowering Women Select Index Exchange Traded Fund</t>
  </si>
  <si>
    <t>2519</t>
  </si>
  <si>
    <t>ＮＥＸＴ　ＦＵＮＤＳ　新興国債券・Ｊ．Ｐ．モルガン・エマージング・マーケット・ボンド・インデックス・プラス（為替ヘッジなし）連動型上場投信　受益証券</t>
  </si>
  <si>
    <t>NEXT FUNDS Emerging Market Bond J.P. Morgan EMBI Plus (Unhedged) Exchange Traded Fund</t>
  </si>
  <si>
    <t>2520</t>
  </si>
  <si>
    <t>ＮＥＸＴ　ＦＵＮＤＳ　新興国株式・ＭＳＣＩエマージング・マーケット・インデックス（為替ヘッジなし）連動型上場投信　受益証券</t>
  </si>
  <si>
    <t>NEXT FUNDS Emerging Market Equity MSCI-EM (Unhedged) Exchange Traded Fund</t>
  </si>
  <si>
    <t>2521</t>
  </si>
  <si>
    <t>上場インデックスファンド米国株式（Ｓ＆Ｐ５００）為替ヘッジあり　受益証券</t>
  </si>
  <si>
    <t>Listed Index Fund US Equity (S&amp;P500) Currency Hedge</t>
  </si>
  <si>
    <t>2522</t>
  </si>
  <si>
    <t>ｉシェアーズ　オートメーション　＆　ロボット　ＥＴＦ　受益証券</t>
  </si>
  <si>
    <t>iShares Automation &amp; Robot ETF</t>
  </si>
  <si>
    <t>2523</t>
  </si>
  <si>
    <t>ＭＡＸＩＳトピックス（除く金融）上場投信　受益証券</t>
  </si>
  <si>
    <t>MAXIS TOPIX Ex-Financials ETF</t>
  </si>
  <si>
    <t>2524</t>
  </si>
  <si>
    <t>ＮＺＡＭ　上場投信　ＴＯＰＩＸ　受益証券</t>
  </si>
  <si>
    <t>NZAM ETF TOPIX</t>
  </si>
  <si>
    <t>2525</t>
  </si>
  <si>
    <t>ＮＺＡＭ　上場投信　日経２２５　受益証券</t>
  </si>
  <si>
    <t>NZAM ETF Nikkei 225</t>
  </si>
  <si>
    <t>2526</t>
  </si>
  <si>
    <t>ＮＺＡＭ　上場投信　ＪＰＸ日経４００　受益証券</t>
  </si>
  <si>
    <t>NZAM ETF JPX-Nikkei400</t>
  </si>
  <si>
    <t>2527</t>
  </si>
  <si>
    <t>ＮＺＡＭ　上場投信　東証ＲＥＩＴ　Ｃｏｒｅ指数　受益証券</t>
  </si>
  <si>
    <t>NZAM ETF J-REIT Core Index</t>
  </si>
  <si>
    <t>2528</t>
  </si>
  <si>
    <t>ｉＦｒｅｅＥＴＦ　東証ＲＥＩＴ　Ｃｏｒｅ指数　受益証券</t>
  </si>
  <si>
    <t>iFreeETF Tokyo Stock Exchange REIT Core Index</t>
  </si>
  <si>
    <t>2529</t>
  </si>
  <si>
    <t>ＮＥＸＴ　ＦＵＮＤＳ　野村株主還元７０連動型上場投信　受益証券</t>
  </si>
  <si>
    <t>NEXT FUNDS Nomura Shareholder Yield 70 Exchange Traded Fund</t>
  </si>
  <si>
    <t>2530</t>
  </si>
  <si>
    <t>ＭＡＸＩＳ　ＨｕａＡｎ中国株式（上海１８０Ａ株）上場投信　受益証券</t>
  </si>
  <si>
    <t>MAXIS HuaAn China Equity (SSE 180 index) ETF</t>
  </si>
  <si>
    <t>2552</t>
  </si>
  <si>
    <t>上場インデックスファンドＪリート（東証ＲＥＩＴ指数）隔月分配型（ミニ）　受益証券</t>
  </si>
  <si>
    <t>Listed Index Fund J-REIT (Tokyo Stock Exchange REIT Index) Bi-Monthly Dividend Payment Type (Mini)</t>
  </si>
  <si>
    <t>2553</t>
  </si>
  <si>
    <t>Ｏｎｅ　ＥＴＦ　南方　中国Ａ株　ＣＳＩ５００　受益証券</t>
  </si>
  <si>
    <t>One ETF Southern China A-Share CSI 500</t>
  </si>
  <si>
    <t>2554</t>
  </si>
  <si>
    <t>ＮＥＸＴ　ＦＵＮＤＳ　ブルームバーグ米国投資適格社債（１－１０年）インデックス（為替ヘッジあり）連動型上場投信　受益証券</t>
  </si>
  <si>
    <t>NEXT FUNDS Bloomberg US Intermediate Corporate Index (JPY Hedged) Exchange Traded Fund</t>
  </si>
  <si>
    <t>2555</t>
  </si>
  <si>
    <t>東証ＲＥＩＴ　ＥＴＦ　受益証券</t>
  </si>
  <si>
    <t>TSE REIT ETF</t>
  </si>
  <si>
    <t>2556</t>
  </si>
  <si>
    <t>Ｏｎｅ　ＥＴＦ　東証ＲＥＩＴ指数　受益証券</t>
  </si>
  <si>
    <t>One ETF Tokyo Stock Exchange REIT Index</t>
  </si>
  <si>
    <t>2557</t>
  </si>
  <si>
    <t>ＳＭＤＡＭ　トピックス上場投信　受益証券</t>
  </si>
  <si>
    <t>SMDAM TOPIX ETF</t>
  </si>
  <si>
    <t>2558</t>
  </si>
  <si>
    <t>ＭＡＸＩＳ米国株式（Ｓ＆Ｐ５００）上場投信　受益証券</t>
  </si>
  <si>
    <t>MAXIS S&amp;P500 US Equity ETF</t>
  </si>
  <si>
    <t>2559</t>
  </si>
  <si>
    <t>ＭＡＸＩＳ全世界株式（オール・カントリー）上場投信　受益証券</t>
  </si>
  <si>
    <t>MAXIS World Equity (MSCI ACWI) ETF</t>
  </si>
  <si>
    <t>2560</t>
  </si>
  <si>
    <t>ＭＡＸＩＳカーボン・エフィシェント日本株上場投信　受益証券</t>
  </si>
  <si>
    <t>MAXIS Carbon Efficient Japan Equity ETF</t>
  </si>
  <si>
    <t>2561</t>
  </si>
  <si>
    <t>ｉシェアーズ・コア　日本国債　ＥＴＦ　受益証券</t>
  </si>
  <si>
    <t>iShares Core Japan Government Bond ETF</t>
  </si>
  <si>
    <t>2562</t>
  </si>
  <si>
    <t>上場インデックスファンド米国株式（ダウ平均）為替ヘッジあり　受益証券</t>
  </si>
  <si>
    <t>Listed Index Fund US Equity (Dow Average) Currency Hedge</t>
  </si>
  <si>
    <t>2563</t>
  </si>
  <si>
    <t>ｉシェアーズ　Ｓ＆Ｐ　５００　米国株　ＥＴＦ（為替ヘッジあり）　受益証券</t>
  </si>
  <si>
    <t>iShares S&amp;P 500 JPY Hedged ETF</t>
  </si>
  <si>
    <t>2564</t>
  </si>
  <si>
    <t>グローバルＸ　ＭＳＣＩスーパーディビィデンド－日本株式　ＥＴＦ　受益証券</t>
  </si>
  <si>
    <t>Global X MSCI SuperDividend Japan ETF</t>
  </si>
  <si>
    <t>2565</t>
  </si>
  <si>
    <t>グローバルＸ　ロジスティクス・Ｊ－ＲＥＩＴ　ＥＴＦ　受益証券</t>
  </si>
  <si>
    <t>Global X Logistics J-REIT ETF</t>
  </si>
  <si>
    <t>2566</t>
  </si>
  <si>
    <t>上場インデックスファンド日経ＥＳＧリート　受益証券</t>
  </si>
  <si>
    <t>Listed Index Fund Nikkei ESG REIT</t>
  </si>
  <si>
    <t>2567</t>
  </si>
  <si>
    <t>ＮＺＡＭ　上場投信　Ｓ＆Ｐ／ＪＰＸカーボン・エフィシェント指数　受益証券</t>
  </si>
  <si>
    <t>NZAM ETF S&amp;P/JPX Carbon Efficient Index</t>
  </si>
  <si>
    <t>2568</t>
  </si>
  <si>
    <t>上場インデックスファンド米国株式（ＮＡＳＤＡＱ１００）為替ヘッジなし　受益証券</t>
  </si>
  <si>
    <t>Listed Index Fund US Equity (NASDAQ100) No Currency Hedge</t>
  </si>
  <si>
    <t>2569</t>
  </si>
  <si>
    <t>上場インデックスファンド米国株式（ＮＡＳＤＡＱ１００）為替ヘッジあり　受益証券</t>
  </si>
  <si>
    <t>Listed Index Fund US Equity (NASDAQ100) Currency Hedge</t>
  </si>
  <si>
    <t>257A</t>
  </si>
  <si>
    <t>ＳＭＴ　ＥＴＦ日本株厳選投資アクティブ　受益証券</t>
  </si>
  <si>
    <t>SMT ETF Selected Japan Equity Active</t>
  </si>
  <si>
    <t>258A</t>
  </si>
  <si>
    <t>ＳＭＴ　ＥＴＦ国内リート厳選投資アクティブ　受益証券</t>
  </si>
  <si>
    <t>SMT ETF Selected J-REIT Active</t>
  </si>
  <si>
    <t>2620</t>
  </si>
  <si>
    <t>ｉシェアーズ　米国債１－３年　ＥＴＦ　受益証券</t>
  </si>
  <si>
    <t>iShares 1-3 Year US Treasury Bond ETF</t>
  </si>
  <si>
    <t>2621</t>
  </si>
  <si>
    <t>ｉシェアーズ　米国債２０年超　ＥＴＦ（為替ヘッジあり）　受益証券</t>
  </si>
  <si>
    <t>iShares 20+ Year US Treasury Bond JPY Hedged ETF</t>
  </si>
  <si>
    <t>2622</t>
  </si>
  <si>
    <t>ｉシェアーズ　米ドル建て新興国債券　ＥＴＦ（為替ヘッジあり）　受益証券</t>
  </si>
  <si>
    <t>iShares USD Emerging Markets Bond JPY Hedged ETF</t>
  </si>
  <si>
    <t>2623</t>
  </si>
  <si>
    <t>ｉシェアーズ　ユーロ建て投資適格社債　ＥＴＦ（為替ヘッジあり）　受益証券</t>
  </si>
  <si>
    <t>iShares Euro Investment Grade Corporate Bond JPY Hedged ETF</t>
  </si>
  <si>
    <t>2624</t>
  </si>
  <si>
    <t>ｉＦｒｅｅＥＴＦ　日経２２５（年４回決算型）　受益証券</t>
  </si>
  <si>
    <t>iFreeETF Nikkei225 (Quarterly Dividend Type)</t>
  </si>
  <si>
    <t>2625</t>
  </si>
  <si>
    <t>ｉＦｒｅｅＥＴＦ　ＴＯＰＩＸ（年４回決算型）　受益証券</t>
  </si>
  <si>
    <t>iFreeETF TOPIX (Quarterly Dividend Type)</t>
  </si>
  <si>
    <t>2626</t>
  </si>
  <si>
    <t>グローバルＸ　デジタル・イノベーション－日本株式　ＥＴＦ　受益証券</t>
  </si>
  <si>
    <t>Global X Digital Innovation Japan ETF</t>
  </si>
  <si>
    <t>2627</t>
  </si>
  <si>
    <t>グローバルＸ　ｅコマース－日本株式　ＥＴＦ　受益証券</t>
  </si>
  <si>
    <t>Global X E-Commerce Japan ETF</t>
  </si>
  <si>
    <t>2628</t>
  </si>
  <si>
    <t>ｉＦｒｅｅＥＴＦ　中国科創板５０（ＳＴＡＲ５０）　受益証券</t>
  </si>
  <si>
    <t>iFreeETF China STAR50</t>
  </si>
  <si>
    <t>2629</t>
  </si>
  <si>
    <t>ｉＦｒｅｅＥＴＦ　中国グレーターベイエリア・イノベーション１００（ＧＢＡ１００）　受益証券</t>
  </si>
  <si>
    <t>iFreeETF China GBA100</t>
  </si>
  <si>
    <t>2630</t>
  </si>
  <si>
    <t>ＭＡＸＩＳ米国株式（Ｓ＆Ｐ５００）上場投信（為替ヘッジあり）　受益証券</t>
  </si>
  <si>
    <t>MAXIS S&amp;P500 US Equity ETF (JPY Hedged)</t>
  </si>
  <si>
    <t>2631</t>
  </si>
  <si>
    <t>ＭＡＸＩＳナスダック１００上場投信　受益証券</t>
  </si>
  <si>
    <t>MAXIS NASDAQ100 ETF</t>
  </si>
  <si>
    <t>2632</t>
  </si>
  <si>
    <t>ＭＡＸＩＳナスダック１００上場投信（為替ヘッジあり）　受益証券</t>
  </si>
  <si>
    <t>MAXIS NASDAQ100 ETF (JPY Hedged)</t>
  </si>
  <si>
    <t>2633</t>
  </si>
  <si>
    <t>ＮＥＸＴ　ＦＵＮＤＳ　Ｓ＆Ｐ　５００　指数（為替ヘッジなし）連動型上場投信　受益証券</t>
  </si>
  <si>
    <t>NEXT FUNDS S&amp;P 500 (Unhedged) Exchange Traded Fund</t>
  </si>
  <si>
    <t>2634</t>
  </si>
  <si>
    <t>ＮＥＸＴ　ＦＵＮＤＳ　Ｓ＆Ｐ　５００　指数（為替ヘッジあり）連動型上場投信　受益証券</t>
  </si>
  <si>
    <t>NEXT FUNDS S&amp;P 500 (Yen-Hedged) Exchange Traded Fund</t>
  </si>
  <si>
    <t>2635</t>
  </si>
  <si>
    <t>ＮＥＸＴ　ＦＵＮＤＳ　Ｓ＆Ｐ　５００　ＥＳＧ指数連動型上場投信　受益証券</t>
  </si>
  <si>
    <t>NEXT FUNDS S&amp;P 500 ESG Index Exchange Traded Fund</t>
  </si>
  <si>
    <t>2636</t>
  </si>
  <si>
    <t>グローバルＸ　ＭＳＣＩ　ガバナンス・クオリティ－日本株式　ＥＴＦ　受益証券</t>
  </si>
  <si>
    <t>Global X MSCI Governance-Quality Japan ETF</t>
  </si>
  <si>
    <t>2637</t>
  </si>
  <si>
    <t>グローバルＸ　クリーンテック－日本株式　ＥＴＦ　受益証券</t>
  </si>
  <si>
    <t>Global X CleanTech Japan ETF</t>
  </si>
  <si>
    <t>2638</t>
  </si>
  <si>
    <t>グローバルＸ　ロボティクス＆ＡＩ－日本株式　ＥＴＦ　受益証券</t>
  </si>
  <si>
    <t>Global X Japan Robotics &amp; AI ETF</t>
  </si>
  <si>
    <t>2639</t>
  </si>
  <si>
    <t>グローバルＸ　バイオ＆メドテック－日本株式　ＥＴＦ　受益証券</t>
  </si>
  <si>
    <t>Global X Japan Bio &amp; Med Tech ETF</t>
  </si>
  <si>
    <t>2640</t>
  </si>
  <si>
    <t>グローバルＸ　ゲーム＆アニメ－日本株式　ＥＴＦ　受益証券</t>
  </si>
  <si>
    <t>Global X Japan Games &amp; Animation ETF</t>
  </si>
  <si>
    <t>2641</t>
  </si>
  <si>
    <t>グローバルＸ　グローバルリーダーズ－日本株式　ＥＴＦ　受益証券</t>
  </si>
  <si>
    <t>Global X Japan Global Leaders ETF</t>
  </si>
  <si>
    <t>2642</t>
  </si>
  <si>
    <t>ＳＭＴ　ＥＴＦカーボン・エフィシェント日本株　受益証券</t>
  </si>
  <si>
    <t>SMT ETF Carbon Efficient Index Japan Equity</t>
  </si>
  <si>
    <t>2643</t>
  </si>
  <si>
    <t>ＮＥＸＴ　ＦＵＮＤＳ　ＭＳＣＩジャパンカントリーＥＳＧリーダーズ指数連動型上場投信　受益証券</t>
  </si>
  <si>
    <t>NEXT FUNDS MSCI Japan Country ESG Leaders Index Exchange Traded Fund</t>
  </si>
  <si>
    <t>2644</t>
  </si>
  <si>
    <t>グローバルＸ　半導体関連－日本株式　ＥＴＦ　受益証券</t>
  </si>
  <si>
    <t>Global X Japan Semiconductor ETF</t>
  </si>
  <si>
    <t xml:space="preserve">新株落ち  </t>
  </si>
  <si>
    <t xml:space="preserve">ex-subscription right  </t>
  </si>
  <si>
    <t>2645</t>
  </si>
  <si>
    <t>グローバルＸ　レジャー＆エンターテインメント－日本株式　ＥＴＦ　受益証券</t>
  </si>
  <si>
    <t>Global X Japan Leisure &amp; Entertainment ETF</t>
  </si>
  <si>
    <t>2646</t>
  </si>
  <si>
    <t>グローバルＸ　メタルビジネス－日本株式　ＥＴＦ　受益証券</t>
  </si>
  <si>
    <t>Global X Japan Metal Business ETF</t>
  </si>
  <si>
    <t>2647</t>
  </si>
  <si>
    <t>ＮＥＸＴ　ＦＵＮＤＳ　ブルームバーグ米国国債（７－１０年）インデックス（為替ヘッジなし）連動型上場投信　受益証券</t>
  </si>
  <si>
    <t>NEXT FUNDS Bloomberg US Treasury Bond (7-10 year) Index (Unhedged) Exchange Traded Fund</t>
  </si>
  <si>
    <t>2648</t>
  </si>
  <si>
    <t>ＮＥＸＴ　ＦＵＮＤＳ　ブルームバーグ米国国債（７－１０年）インデックス（為替ヘッジあり）連動型上場投信　受益証券</t>
  </si>
  <si>
    <t>NEXT FUNDS Bloomberg US Treasury Bond (7-10 year) Index (Yen-Hedged) Exchange Traded Fund</t>
  </si>
  <si>
    <t>2649</t>
  </si>
  <si>
    <t>ｉシェアーズ　米国政府系機関ジニーメイＭＢＳ　ＥＴＦ（為替ヘッジあり）　受益証券</t>
  </si>
  <si>
    <t>iShares Ginnie Mae MBS JPY Hedged ETF</t>
  </si>
  <si>
    <t>273A</t>
  </si>
  <si>
    <t>ＳＢＩ　サウジアラビア株式上場投信　受益証券</t>
  </si>
  <si>
    <t>SBI Saudi Arabia Equity Exchange Traded Fund</t>
  </si>
  <si>
    <t xml:space="preserve">新規上場  </t>
  </si>
  <si>
    <t xml:space="preserve">New Listing  </t>
  </si>
  <si>
    <t xml:space="preserve">2024/10/31  </t>
  </si>
  <si>
    <t>2836</t>
  </si>
  <si>
    <t>グローバルＸ　フィンテック－日本株式　ＥＴＦ　受益証券</t>
  </si>
  <si>
    <t>Global X Japan Fintech ETF</t>
  </si>
  <si>
    <t>2837</t>
  </si>
  <si>
    <t>グローバルＸ　中小型リーダーズ－日本株式　ＥＴＦ　受益証券</t>
  </si>
  <si>
    <t>Global X Japan Mid &amp; Small Cap Leaders ETF</t>
  </si>
  <si>
    <t>2838</t>
  </si>
  <si>
    <t>ＭＡＸＩＳ米国国債７－１０年上場投信（為替ヘッジなし）　受益証券</t>
  </si>
  <si>
    <t>MAXIS US Treasury Bond 7-10 Year ETF (Unhedged)</t>
  </si>
  <si>
    <t>2839</t>
  </si>
  <si>
    <t>ＭＡＸＩＳ米国国債７－１０年上場投信（為替ヘッジあり）　受益証券</t>
  </si>
  <si>
    <t>MAXIS US Treasury Bond 7-10 Year ETF (JPY Hedged)</t>
  </si>
  <si>
    <t>2840</t>
  </si>
  <si>
    <t>ｉＦｒｅｅＥＴＦ　ＮＡＳＤＡＱ１００（為替ヘッジなし）　受益証券</t>
  </si>
  <si>
    <t>iFreeETF NASDAQ100 (NON HEDGED)</t>
  </si>
  <si>
    <t>2841</t>
  </si>
  <si>
    <t>ｉＦｒｅｅＥＴＦ　ＮＡＳＤＡＱ１００（為替ヘッジあり）　受益証券</t>
  </si>
  <si>
    <t>iFreeETF NASDAQ100 (JPY HEDGED)</t>
  </si>
  <si>
    <t>2842</t>
  </si>
  <si>
    <t>ｉＦｒｅｅＥＴＦ　ＮＡＳＤＡＱ１００インバース　受益証券</t>
  </si>
  <si>
    <t>iFreeETF NASDAQ100 Inverse</t>
  </si>
  <si>
    <t>2843</t>
  </si>
  <si>
    <t>上場インデックスファンド豪州国債（為替ヘッジあり）　受益証券</t>
  </si>
  <si>
    <t>Listed Index Fund Australian Government Bond (Currency Hedge)</t>
  </si>
  <si>
    <t>2844</t>
  </si>
  <si>
    <t>上場インデックスファンド豪州国債（為替ヘッジなし）　受益証券</t>
  </si>
  <si>
    <t>Listed Index Fund Australian Government Bond (No Currency Hedge)</t>
  </si>
  <si>
    <t>2845</t>
  </si>
  <si>
    <t>ＮＥＸＴ　ＦＵＮＤＳ　ＮＡＳＤＡＱ－１００（為替ヘッジあり）連動型上場投信　受益証券</t>
  </si>
  <si>
    <t>NEXT FUNDS NASDAQ-100(R) (Yen-Hedged) Exchange Traded Fund</t>
  </si>
  <si>
    <t>2846</t>
  </si>
  <si>
    <t>ＮＥＸＴ　ＦＵＮＤＳ　ダウ・ジョーンズ工業株３０種平均株価（為替ヘッジあり）連動型上場投信　受益証券</t>
  </si>
  <si>
    <t>NEXT FUNDS DJIA (Yen-Hedged) Exchange Traded Fund</t>
  </si>
  <si>
    <t>2847</t>
  </si>
  <si>
    <t>グローバルＸ　新成長インフラ－日本株式　ＥＴＦ　受益証券</t>
  </si>
  <si>
    <t>Global X Japan New Growth Infrastructure ETF</t>
  </si>
  <si>
    <t>2848</t>
  </si>
  <si>
    <t>グローバルＸ　ＭＳＣＩ　気候変動対応－日本株式　ＥＴＦ　受益証券</t>
  </si>
  <si>
    <t>Global X MSCI Japan Climate Change ETF</t>
  </si>
  <si>
    <t>2849</t>
  </si>
  <si>
    <t>グローバルＸ　Ｍｏｒｎｉｎｇｓｔａｒ　高配当　ＥＳＧ－日本株式　ＥＴＦ　受益証券</t>
  </si>
  <si>
    <t>Global X Morningstar Japan High Dividend ESG ETF</t>
  </si>
  <si>
    <t>2850</t>
  </si>
  <si>
    <t>ＮＥＸＴ　ＦＵＮＤＳ　ＳｏｌａｃｔｉｖｅジャパンＥＳＧコア指数連動型上場投信　受益証券</t>
  </si>
  <si>
    <t>NEXT FUNDS Solactive Japan ESG Core Index Exchange Traded Fund</t>
  </si>
  <si>
    <t>2851</t>
  </si>
  <si>
    <t>ｉシェアーズ　ＭＳＣＩ　ジャパンＳＲＩ　ＥＴＦ　受益証券</t>
  </si>
  <si>
    <t>iShares MSCI Japan SRI ETF</t>
  </si>
  <si>
    <t>2852</t>
  </si>
  <si>
    <t>ｉシェアーズ　グリーンＪリート　ＥＴＦ　受益証券</t>
  </si>
  <si>
    <t>iShares Japan Green REIT ETF</t>
  </si>
  <si>
    <t>2853</t>
  </si>
  <si>
    <t>ｉシェアーズ　気候リスク調整世界国債　ＥＴＦ（除く日本・為替ヘッジあり）　受益証券</t>
  </si>
  <si>
    <t>iShares Climate Risk-Adjusted Global ex Japan Government Bond JPY Hedged ETF</t>
  </si>
  <si>
    <t>2854</t>
  </si>
  <si>
    <t>グローバルＸ　テック・トップ２０－日本株式　ＥＴＦ　受益証券</t>
  </si>
  <si>
    <t>Global X Japan Tech Top 20 ETF</t>
  </si>
  <si>
    <t>2855</t>
  </si>
  <si>
    <t>グローバルＸ　グリーン・Ｊ－ＲＥＩＴ　ＥＴＦ　受益証券</t>
  </si>
  <si>
    <t>Global X Green J-REIT ETF</t>
  </si>
  <si>
    <t>2856</t>
  </si>
  <si>
    <t>ｉシェアーズ　米国債３－７年　ＥＴＦ（為替ヘッジあり）　受益証券</t>
  </si>
  <si>
    <t>iShares 3-7 Year US Treasury Bond JPY Hedged ETF</t>
  </si>
  <si>
    <t>2857</t>
  </si>
  <si>
    <t>ｉシェアーズ　ドイツ国債　ＥＴＦ（為替ヘッジあり）　受益証券</t>
  </si>
  <si>
    <t>iShares Germany Government Bond JPY Hedged ETF</t>
  </si>
  <si>
    <t>2858</t>
  </si>
  <si>
    <t>グローバルＸ　日経２２５　カバード・コール　ＥＴＦ（プレミアム再投資型）　受益証券</t>
  </si>
  <si>
    <t>Global X Nikkei 225 Covered Call ETF (option premium reinvestment type)</t>
  </si>
  <si>
    <t>2859</t>
  </si>
  <si>
    <t>ＮＥＸＴ　ＦＵＮＤＳ　ユーロ・ストックス５０指数（為替ヘッジあり）連動型上場投信　受益証券</t>
  </si>
  <si>
    <t>NEXT FUNDS EURO STOXX 50 (Yen-Hedged) Exchange Traded Fund</t>
  </si>
  <si>
    <t>2860</t>
  </si>
  <si>
    <t>ＮＥＸＴ　ＦＵＮＤＳ　ドイツ株式・ＤＡＸ（為替ヘッジあり）連動型上場投信　受益証券</t>
  </si>
  <si>
    <t>NEXT FUNDS German Equity DAX (Yen-Hedged) Exchange Traded Fund</t>
  </si>
  <si>
    <t>2861</t>
  </si>
  <si>
    <t>上場インデックスファンドフランス国債（為替ヘッジなし）　受益証券</t>
  </si>
  <si>
    <t>Listed Index Fund France Government Bond (No Currency Hedge)</t>
  </si>
  <si>
    <t>2862</t>
  </si>
  <si>
    <t>上場インデックスファンドフランス国債（為替ヘッジあり）　受益証券</t>
  </si>
  <si>
    <t>Listed Index Fund France Government Bond (Currency Hedge)</t>
  </si>
  <si>
    <t>2863</t>
  </si>
  <si>
    <t>ＮＥＸＴ　ＦＵＮＤＳ　Ｓ＆Ｐ米国株式・債券バランス保守型指数（為替ヘッジあり）連動型上場投信　受益証券</t>
  </si>
  <si>
    <t>NEXT FUNDS S&amp;P US Equity and Bond Balance Conservative Index (Yen-Hedged) Exchange Traded Fund</t>
  </si>
  <si>
    <t>2864</t>
  </si>
  <si>
    <t>グローバルＸ　ロジスティクス・ＲＥＩＴ　ＥＴＦ　受益証券</t>
  </si>
  <si>
    <t>Global X Logistics REIT ETF</t>
  </si>
  <si>
    <t>2865</t>
  </si>
  <si>
    <t>グローバルＸ　ＮＡＳＤＡＱ１００・カバード・コール　ＥＴＦ　受益証券</t>
  </si>
  <si>
    <t>Global X Nasdaq 100 Covered Call ETF</t>
  </si>
  <si>
    <t>2866</t>
  </si>
  <si>
    <t>グローバルＸ　米国優先証券　ＥＴＦ　受益証券</t>
  </si>
  <si>
    <t>Global X U.S. Preferred Security ETF</t>
  </si>
  <si>
    <t>2867</t>
  </si>
  <si>
    <t>グローバルＸ　自動運転＆ＥＶ　ＥＴＦ　受益証券</t>
  </si>
  <si>
    <t>Global X Autonomous &amp; EV ETF</t>
  </si>
  <si>
    <t>2868</t>
  </si>
  <si>
    <t>グローバルＸ　Ｓ＆Ｐ５００・カバード・コール　ＥＴＦ　受益証券</t>
  </si>
  <si>
    <t>Global X S&amp;P 500 Covered Call ETF</t>
  </si>
  <si>
    <t>2869</t>
  </si>
  <si>
    <t>ｉＦｒｅｅＥＴＦ　ＮＡＳＤＡＱ１００レバレッジ　受益証券</t>
  </si>
  <si>
    <t>iFreeETF NASDAQ100 Leveraged (2x)</t>
  </si>
  <si>
    <t>2870</t>
  </si>
  <si>
    <t>ｉＦｒｅｅＥＴＦ　ＮＡＳＤＡＱ１００ダブルインバース　受益証券</t>
  </si>
  <si>
    <t>iFreeETF NASDAQ100 Double Inverse (-2x)</t>
  </si>
  <si>
    <t>2971</t>
  </si>
  <si>
    <t>エスコンジャパンリート投資法人　投資証券</t>
  </si>
  <si>
    <t>ESCON JAPAN REIT Investment Corporation</t>
  </si>
  <si>
    <t>2972</t>
  </si>
  <si>
    <t>サンケイリアルエステート投資法人　投資証券</t>
  </si>
  <si>
    <t>SANKEI REAL ESTATE Inc.</t>
  </si>
  <si>
    <t>2979</t>
  </si>
  <si>
    <t>ＳＯＳｉＬＡ物流リート投資法人　投資証券</t>
  </si>
  <si>
    <t>SOSiLA Logistics REIT,Inc.</t>
  </si>
  <si>
    <t>2989</t>
  </si>
  <si>
    <t>東海道リート投資法人　投資証券</t>
  </si>
  <si>
    <t>Tokaido REIT,Inc.</t>
  </si>
  <si>
    <t>3226</t>
  </si>
  <si>
    <t>日本アコモデーションファンド投資法人　投資証券</t>
  </si>
  <si>
    <t>Nippon Accommodations Fund Inc.</t>
  </si>
  <si>
    <t>3234</t>
  </si>
  <si>
    <t>森ヒルズリート投資法人　投資証券</t>
  </si>
  <si>
    <t>MORI HILLS REIT INVESTMENT CORPORATION</t>
  </si>
  <si>
    <t>3249</t>
  </si>
  <si>
    <t>産業ファンド投資法人　投資証券</t>
  </si>
  <si>
    <t>Industrial &amp; Infrastructure Fund Investment Corporation</t>
  </si>
  <si>
    <t>3269</t>
  </si>
  <si>
    <t>アドバンス・レジデンス投資法人　投資証券</t>
  </si>
  <si>
    <t>Advance Residence Investment Corporation</t>
  </si>
  <si>
    <t>3279</t>
  </si>
  <si>
    <t>アクティビア・プロパティーズ投資法人　投資証券</t>
  </si>
  <si>
    <t>Activia Properties Inc.</t>
  </si>
  <si>
    <t>3281</t>
  </si>
  <si>
    <t>ＧＬＰ投資法人　投資証券</t>
  </si>
  <si>
    <t>GLP J-REIT</t>
  </si>
  <si>
    <t>3282</t>
  </si>
  <si>
    <t>コンフォリア・レジデンシャル投資法人　投資証券</t>
  </si>
  <si>
    <t>Comforia Residential REIT,Inc</t>
  </si>
  <si>
    <t>3283</t>
  </si>
  <si>
    <t>日本プロロジスリート投資法人　投資証券</t>
  </si>
  <si>
    <t>Nippon Prologis REIT,Inc.</t>
  </si>
  <si>
    <t>3287</t>
  </si>
  <si>
    <t>星野リゾート・リート投資法人　投資証券</t>
  </si>
  <si>
    <t>Hoshino Resorts REIT,Inc.</t>
  </si>
  <si>
    <t>3290</t>
  </si>
  <si>
    <t>Ｏｎｅリート投資法人　投資証券</t>
  </si>
  <si>
    <t>One REIT,Inc.</t>
  </si>
  <si>
    <t>3292</t>
  </si>
  <si>
    <t>イオンリート投資法人　投資証券</t>
  </si>
  <si>
    <t>AEON REIT Investment Corporation</t>
  </si>
  <si>
    <t>3295</t>
  </si>
  <si>
    <t>ヒューリックリート投資法人　投資証券</t>
  </si>
  <si>
    <t>Hulic Reit,Inc.</t>
  </si>
  <si>
    <t>3296</t>
  </si>
  <si>
    <t>日本リート投資法人　投資証券</t>
  </si>
  <si>
    <t>NIPPON REIT Investment Corporation</t>
  </si>
  <si>
    <t>3309</t>
  </si>
  <si>
    <t>積水ハウス・リート投資法人　投資証券</t>
  </si>
  <si>
    <t>Sekisui House Reit,Inc.</t>
  </si>
  <si>
    <t>3451</t>
  </si>
  <si>
    <t>トーセイ・リート投資法人　投資証券</t>
  </si>
  <si>
    <t>Tosei Reit Investment Corporation</t>
  </si>
  <si>
    <t>3455</t>
  </si>
  <si>
    <t>ヘルスケア＆メディカル投資法人　投資証券</t>
  </si>
  <si>
    <t>Healthcare &amp; Medical Investment Corporation</t>
  </si>
  <si>
    <t>3459</t>
  </si>
  <si>
    <t>サムティ・レジデンシャル投資法人　投資証券</t>
  </si>
  <si>
    <t>Samty Residential Investment Corporation</t>
  </si>
  <si>
    <t>3462</t>
  </si>
  <si>
    <t>野村不動産マスターファンド投資法人　投資証券</t>
  </si>
  <si>
    <t>Nomura Real Estate Master Fund,Inc.</t>
  </si>
  <si>
    <t>3463</t>
  </si>
  <si>
    <t>いちごホテルリート投資法人　投資証券</t>
  </si>
  <si>
    <t>Ichigo Hotel REIT Investment Corporation</t>
  </si>
  <si>
    <t>3466</t>
  </si>
  <si>
    <t>ラサールロジポート投資法人　投資証券</t>
  </si>
  <si>
    <t>LaSalle LOGIPORT REIT</t>
  </si>
  <si>
    <t>3468</t>
  </si>
  <si>
    <t>スターアジア不動産投資法人　投資証券</t>
  </si>
  <si>
    <t>Star Asia Investment Corporation</t>
  </si>
  <si>
    <t>3470</t>
  </si>
  <si>
    <t>マリモ地方創生リート投資法人　投資証券</t>
  </si>
  <si>
    <t>Marimo Regional Revitalization REIT,Inc.</t>
  </si>
  <si>
    <t>3471</t>
  </si>
  <si>
    <t>三井不動産ロジスティクスパーク投資法人　投資証券</t>
  </si>
  <si>
    <t>Mitsui Fudosan Logistics Park Inc.</t>
  </si>
  <si>
    <t>3472</t>
  </si>
  <si>
    <t>日本ホテル＆レジデンシャル投資法人　投資証券</t>
  </si>
  <si>
    <t>Nippon Hotel &amp; Residential Investment Corporation</t>
  </si>
  <si>
    <t>3476</t>
  </si>
  <si>
    <t>投資法人みらい　投資証券</t>
  </si>
  <si>
    <t>MIRAI Corporation</t>
  </si>
  <si>
    <t>3481</t>
  </si>
  <si>
    <t>三菱地所物流リート投資法人　投資証券</t>
  </si>
  <si>
    <t>Mitsubishi Estate Logistics REIT Investment Corporation</t>
  </si>
  <si>
    <t>3487</t>
  </si>
  <si>
    <t>ＣＲＥロジスティクスファンド投資法人　投資証券</t>
  </si>
  <si>
    <t>CRE Logistics REIT,Inc.</t>
  </si>
  <si>
    <t>3488</t>
  </si>
  <si>
    <t>ザイマックス・リート投資法人　投資証券</t>
  </si>
  <si>
    <t>XYMAX REIT Investment Corporation</t>
  </si>
  <si>
    <t>3492</t>
  </si>
  <si>
    <t>タカラレーベン不動産投資法人　投資証券</t>
  </si>
  <si>
    <t>Takara Leben Real Estate Investment Corporation</t>
  </si>
  <si>
    <t>3493</t>
  </si>
  <si>
    <t>アドバンス・ロジスティクス投資法人　投資証券</t>
  </si>
  <si>
    <t>Advance Logistics Investment Corporation</t>
  </si>
  <si>
    <t xml:space="preserve">上場廃止  </t>
  </si>
  <si>
    <t xml:space="preserve">Removal  </t>
  </si>
  <si>
    <t xml:space="preserve">2024/10/30  </t>
  </si>
  <si>
    <t>8951</t>
  </si>
  <si>
    <t>日本ビルファンド投資法人　投資証券</t>
  </si>
  <si>
    <t>Nippon Building Fund Inc.</t>
  </si>
  <si>
    <t>8952</t>
  </si>
  <si>
    <t>ジャパンリアルエステイト投資法人　投資証券</t>
  </si>
  <si>
    <t>Japan Real Estate Investment Corporation</t>
  </si>
  <si>
    <t>8953</t>
  </si>
  <si>
    <t>日本都市ファンド投資法人　投資証券</t>
  </si>
  <si>
    <t>Japan Metropolitan Fund Investment Corporation</t>
  </si>
  <si>
    <t>8954</t>
  </si>
  <si>
    <t>オリックス不動産投資法人　投資証券</t>
  </si>
  <si>
    <t>ORIX JREIT Inc.</t>
  </si>
  <si>
    <t>8955</t>
  </si>
  <si>
    <t>日本プライムリアルティ投資法人　投資証券</t>
  </si>
  <si>
    <t>Japan Prime Realty Investment Corporation</t>
  </si>
  <si>
    <t>8956</t>
  </si>
  <si>
    <t>ＮＴＴ都市開発リート投資法人　投資証券</t>
  </si>
  <si>
    <t>NTT UD REIT Investment Corporation</t>
  </si>
  <si>
    <t>8957</t>
  </si>
  <si>
    <t>東急リアル・エステート投資法人　投資証券</t>
  </si>
  <si>
    <t>TOKYU REIT, Inc.</t>
  </si>
  <si>
    <t>8958</t>
  </si>
  <si>
    <t>グローバル・ワン不動産投資法人　投資証券</t>
  </si>
  <si>
    <t>Global One Real Estate Investment Corporation</t>
  </si>
  <si>
    <t>8960</t>
  </si>
  <si>
    <t>ユナイテッド・アーバン投資法人　投資証券</t>
  </si>
  <si>
    <t>United Urban Investment Corporation</t>
  </si>
  <si>
    <t>8961</t>
  </si>
  <si>
    <t>森トラストリート投資法人　投資証券</t>
  </si>
  <si>
    <t>MORI TRUST REIT,Inc.</t>
  </si>
  <si>
    <t>8963</t>
  </si>
  <si>
    <t>インヴィンシブル投資法人　投資証券</t>
  </si>
  <si>
    <t>Invincible Investment Corporation</t>
  </si>
  <si>
    <t>8964</t>
  </si>
  <si>
    <t>フロンティア不動産投資法人　投資証券</t>
  </si>
  <si>
    <t>Frontier Real Estate Investment Corporation</t>
  </si>
  <si>
    <t>8966</t>
  </si>
  <si>
    <t>平和不動産リート投資法人　投資証券</t>
  </si>
  <si>
    <t>HEIWA REAL ESTATE REIT,Inc.</t>
  </si>
  <si>
    <t>8967</t>
  </si>
  <si>
    <t>日本ロジスティクスファンド投資法人　投資証券</t>
  </si>
  <si>
    <t>Japan Logistics Fund,Inc.</t>
  </si>
  <si>
    <t>8968</t>
  </si>
  <si>
    <t>福岡リート投資法人　投資証券</t>
  </si>
  <si>
    <t>Fukuoka REIT Corporation</t>
  </si>
  <si>
    <t>8972</t>
  </si>
  <si>
    <t>ＫＤＸ不動産投資法人　投資証券</t>
  </si>
  <si>
    <t>KDX Realty Investment Corporation</t>
  </si>
  <si>
    <t>8975</t>
  </si>
  <si>
    <t>いちごオフィスリート投資法人　投資証券</t>
  </si>
  <si>
    <t>Ichigo Office REIT Investment Corporation</t>
  </si>
  <si>
    <t>8976</t>
  </si>
  <si>
    <t>大和証券オフィス投資法人　投資証券</t>
  </si>
  <si>
    <t>Daiwa Office Investment Corporation</t>
  </si>
  <si>
    <t>8977</t>
  </si>
  <si>
    <t>阪急阪神リート投資法人　投資証券</t>
  </si>
  <si>
    <t>Hankyu Hanshin REIT,Inc.</t>
  </si>
  <si>
    <t>8979</t>
  </si>
  <si>
    <t>スターツプロシード投資法人　投資証券</t>
  </si>
  <si>
    <t>Starts Proceed Investment Corporation</t>
  </si>
  <si>
    <t>8984</t>
  </si>
  <si>
    <t>大和ハウスリート投資法人　投資証券</t>
  </si>
  <si>
    <t>Daiwa House REIT Investment Corporation</t>
  </si>
  <si>
    <t>8985</t>
  </si>
  <si>
    <t>ジャパン・ホテル・リート投資法人　投資証券</t>
  </si>
  <si>
    <t>Japan Hotel REIT Investment Corporation</t>
  </si>
  <si>
    <t>8986</t>
  </si>
  <si>
    <t>大和証券リビング投資法人　投資証券</t>
  </si>
  <si>
    <t>Daiwa Securities Living Investment Corporation</t>
  </si>
  <si>
    <t>8987</t>
  </si>
  <si>
    <t>ジャパンエクセレント投資法人　投資証券</t>
  </si>
  <si>
    <t>Japan Excellent,Inc.</t>
  </si>
  <si>
    <t>9282</t>
  </si>
  <si>
    <t>いちごグリーンインフラ投資法人　投資証券</t>
  </si>
  <si>
    <t>Ichigo Green Infrastructure Investment Corporation</t>
  </si>
  <si>
    <t>9284</t>
  </si>
  <si>
    <t>カナディアン・ソーラー・インフラ投資法人　投資証券</t>
  </si>
  <si>
    <t>Canadian Solar Infrastructure Fund,Inc.</t>
  </si>
  <si>
    <t>9285</t>
  </si>
  <si>
    <t>東京インフラ・エネルギー投資法人　投資証券</t>
  </si>
  <si>
    <t>Tokyo Infrastructure Energy Investment Corporation</t>
  </si>
  <si>
    <t>9286</t>
  </si>
  <si>
    <t>エネクス・インフラ投資法人　投資証券</t>
  </si>
  <si>
    <t>Enex Infrastructure Investment Corporation</t>
  </si>
  <si>
    <t>9287</t>
  </si>
  <si>
    <t>ジャパン・インフラファンド投資法人　投資証券</t>
  </si>
  <si>
    <t>Japan Infrastructure Fund Investment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</si>
</sst>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8" numFmtId="0"/>
    <xf applyAlignment="0" applyBorder="0" applyFill="0" applyFont="0" applyProtection="0" borderId="0" fillId="0" fontId="2" numFmtId="9"/>
    <xf borderId="0" fillId="0" fontId="12" numFmtId="0"/>
    <xf borderId="0" fillId="0" fontId="8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8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9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applyAlignment="0" applyFill="0" applyNumberFormat="0" applyProtection="0" borderId="30" fillId="0" fontId="31" numFmtId="0"/>
    <xf applyAlignment="0" applyFill="0" applyNumberFormat="0" applyProtection="0" borderId="31" fillId="0" fontId="32" numFmtId="0"/>
    <xf applyAlignment="0" applyFill="0" applyNumberFormat="0" applyProtection="0" borderId="32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7" fillId="7" fontId="34" numFmtId="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borderId="0" fillId="0" fontId="7" numFmtId="0"/>
    <xf applyAlignment="0" applyFill="0" applyNumberFormat="0" applyProtection="0" borderId="33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6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8" numFmtId="9"/>
    <xf applyAlignment="0" applyBorder="0" applyFill="0" applyFont="0" applyProtection="0" borderId="0" fillId="0" fontId="8" numFmtId="9">
      <alignment vertical="center"/>
    </xf>
    <xf applyAlignment="0" applyBorder="0" applyFill="0" applyFont="0" applyProtection="0" borderId="0" fillId="0" fontId="8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7" fillId="27" fontId="71" numFmtId="49"/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8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8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8" numFmtId="6"/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64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9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8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8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/>
    <xf borderId="0" fillId="0" fontId="8" numFmtId="0"/>
    <xf borderId="0" fillId="0" fontId="14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" numFmtId="0"/>
    <xf borderId="0" fillId="0" fontId="8" numFmtId="0"/>
    <xf borderId="0" fillId="0" fontId="83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3" numFmtId="0"/>
    <xf borderId="0" fillId="0" fontId="8" numFmtId="0"/>
    <xf borderId="0" fillId="0" fontId="83" numFmtId="0"/>
    <xf borderId="0" fillId="0" fontId="1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4" numFmtId="0">
      <alignment vertical="center"/>
    </xf>
    <xf borderId="0" fillId="0" fontId="8" numFmtId="0"/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/>
    <xf borderId="0" fillId="0" fontId="7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8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Font="1" applyNumberFormat="1" borderId="0" fillId="0" fontId="4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1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2" fillId="0" fontId="7" numFmtId="0" xfId="1">
      <alignment horizontal="center" vertical="center"/>
    </xf>
    <xf applyAlignment="1" applyBorder="1" applyFill="1" applyFont="1" applyNumberFormat="1" borderId="9" fillId="0" fontId="7" numFmtId="49" xfId="2">
      <alignment horizontal="center" vertical="center"/>
    </xf>
    <xf applyAlignment="1" applyBorder="1" applyFill="1" applyFont="1" borderId="13" fillId="0" fontId="2" numFmtId="0" xfId="1">
      <alignment horizontal="center" vertical="center"/>
    </xf>
    <xf applyAlignment="1" applyBorder="1" applyFill="1" applyFont="1" applyNumberFormat="1" borderId="4" fillId="0" fontId="2" numFmtId="0" xfId="1">
      <alignment horizontal="center" vertical="center"/>
    </xf>
    <xf applyAlignment="1" applyBorder="1" applyFill="1" applyFont="1" applyNumberFormat="1" borderId="14" fillId="0" fontId="2" numFmtId="0" xfId="1">
      <alignment horizontal="center" vertical="center"/>
    </xf>
    <xf applyAlignment="1" applyBorder="1" applyFill="1" applyFont="1" applyNumberFormat="1" borderId="15" fillId="0" fontId="2" numFmtId="49" xfId="2">
      <alignment horizontal="center" vertical="center"/>
    </xf>
    <xf applyAlignment="1" applyBorder="1" applyFill="1" applyFont="1" applyNumberFormat="1" borderId="13" fillId="0" fontId="7" numFmtId="49" xfId="2">
      <alignment horizontal="center" vertical="center"/>
    </xf>
    <xf applyAlignment="1" applyBorder="1" applyFill="1" applyFont="1" applyNumberFormat="1" borderId="16" fillId="0" fontId="2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borderId="17" fillId="0" fontId="2" numFmtId="0" xfId="1">
      <alignment horizontal="right" vertical="center"/>
    </xf>
    <xf applyAlignment="1" applyBorder="1" applyFill="1" applyFont="1" applyNumberFormat="1" borderId="6" fillId="0" fontId="2" numFmtId="0" xfId="1">
      <alignment horizontal="right" vertical="center"/>
    </xf>
    <xf applyAlignment="1" applyBorder="1" applyFill="1" applyFont="1" applyNumberFormat="1" borderId="18" fillId="0" fontId="2" numFmtId="0" xfId="1">
      <alignment horizontal="right" vertical="center"/>
    </xf>
    <xf applyAlignment="1" applyBorder="1" applyFill="1" applyFont="1" applyNumberFormat="1" borderId="19" fillId="0" fontId="2" numFmtId="0" xfId="1">
      <alignment horizontal="right" vertical="center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20" fillId="0" fontId="11" numFmtId="49" xfId="2">
      <alignment horizontal="right"/>
    </xf>
    <xf applyAlignment="1" applyBorder="1" applyFill="1" applyFont="1" applyNumberFormat="1" borderId="19" fillId="0" fontId="11" numFmtId="49" xfId="2">
      <alignment horizontal="right"/>
    </xf>
    <xf applyAlignment="1" applyBorder="1" applyFill="1" applyFont="1" applyNumberFormat="1" borderId="21" fillId="0" fontId="7" numFmtId="49" xfId="1">
      <alignment horizontal="left" vertical="center"/>
    </xf>
    <xf applyAlignment="1" applyBorder="1" applyFill="1" applyFont="1" applyNumberFormat="1" borderId="22" fillId="0" fontId="7" numFmtId="49" xfId="1">
      <alignment horizontal="left" vertical="center"/>
    </xf>
    <xf applyAlignment="1" applyBorder="1" applyFill="1" applyFont="1" applyNumberFormat="1" borderId="23" fillId="0" fontId="7" numFmtId="49" xfId="1">
      <alignment horizontal="left" vertical="center"/>
    </xf>
    <xf applyAlignment="1" applyBorder="1" applyFill="1" applyFont="1" applyNumberFormat="1" borderId="24" fillId="0" fontId="7" numFmtId="49" xfId="1">
      <alignment horizontal="left" vertical="center"/>
    </xf>
    <xf applyAlignment="1" applyBorder="1" applyFill="1" applyFont="1" applyNumberFormat="1" borderId="21" fillId="0" fontId="7" numFmtId="49" xfId="2">
      <alignment horizontal="left"/>
    </xf>
    <xf applyAlignment="1" applyBorder="1" applyFill="1" applyFont="1" applyNumberFormat="1" borderId="21" fillId="0" fontId="7" numFmtId="3" xfId="2">
      <alignment horizontal="right"/>
    </xf>
    <xf applyAlignment="1" applyBorder="1" applyFill="1" applyFont="1" applyNumberFormat="1" borderId="25" fillId="0" fontId="7" numFmtId="4" xfId="2">
      <alignment horizontal="right"/>
    </xf>
    <xf applyAlignment="1" applyBorder="1" applyFill="1" applyFont="1" applyNumberFormat="1" borderId="24" fillId="0" fontId="7" numFmtId="49" xfId="2">
      <alignment horizontal="right"/>
    </xf>
    <xf applyAlignment="1" applyBorder="1" applyFill="1" applyFont="1" applyNumberFormat="1" borderId="21" fillId="0" fontId="7" numFmtId="4" xfId="2">
      <alignment horizontal="right"/>
    </xf>
    <xf applyAlignment="1" applyBorder="1" applyFill="1" applyFont="1" applyNumberFormat="1" borderId="21" fillId="0" fontId="7" numFmtId="189" xfId="2">
      <alignment horizontal="right"/>
    </xf>
    <xf applyAlignment="1" applyBorder="1" applyFill="1" applyFont="1" borderId="2" fillId="0" fontId="2" numFmtId="0" xfId="1">
      <alignment horizontal="left" vertical="top" wrapText="1"/>
    </xf>
    <xf applyAlignment="1" applyBorder="1" applyFill="1" applyFont="1" borderId="3" fillId="0" fontId="2" numFmtId="0" xfId="1">
      <alignment horizontal="left" vertical="top" wrapText="1"/>
    </xf>
    <xf applyAlignment="1" applyBorder="1" applyFill="1" applyFont="1" borderId="0" fillId="0" fontId="2" numFmtId="0" xfId="1">
      <alignment horizontal="left" vertical="top" wrapText="1"/>
    </xf>
    <xf applyAlignment="1" applyBorder="1" applyFill="1" applyFont="1" borderId="5" fillId="0" fontId="2" numFmtId="0" xfId="1">
      <alignment horizontal="left" vertical="top" wrapText="1"/>
    </xf>
    <xf applyAlignment="1" applyBorder="1" applyFill="1" applyFont="1" borderId="7" fillId="0" fontId="2" numFmtId="0" xfId="1">
      <alignment horizontal="left" vertical="top" wrapText="1"/>
    </xf>
    <xf applyAlignment="1" applyBorder="1" applyFill="1" applyFont="1" borderId="8" fillId="0" fontId="2" numFmtId="0" xfId="1">
      <alignment horizontal="left"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Y442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3.125" collapsed="false"/>
    <col min="2" max="2" bestFit="true" customWidth="true" style="1" width="10.75" collapsed="false"/>
    <col min="3" max="4" bestFit="true" customWidth="true" style="1" width="59.625" collapsed="false"/>
    <col min="5" max="5" bestFit="true" customWidth="true" style="3" width="13.75" collapsed="false"/>
    <col min="6" max="6" bestFit="true" customWidth="true" style="3" width="20.75" collapsed="false"/>
    <col min="7" max="7" customWidth="true" style="3" width="11.25" collapsed="false"/>
    <col min="8" max="8" bestFit="true" customWidth="true" style="1" width="8.75" collapsed="false"/>
    <col min="9" max="9" bestFit="true" customWidth="true" style="1" width="11.75" collapsed="false"/>
    <col min="10" max="10" bestFit="true" customWidth="true" style="1" width="12.625" collapsed="false"/>
    <col min="11" max="11" customWidth="true" style="1" width="16.25" collapsed="false"/>
    <col min="12" max="12" bestFit="true" customWidth="true" style="1" width="5.62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bestFit="true" customWidth="true" style="1" width="23.875" collapsed="false"/>
    <col min="20" max="20" customWidth="true" style="1" width="16.25" collapsed="false"/>
    <col min="21" max="21" bestFit="true" customWidth="true" style="1" width="26.125" collapsed="false"/>
    <col min="22" max="22" bestFit="true" customWidth="true" style="1" width="19.875" collapsed="false"/>
    <col min="23" max="23" bestFit="true" customWidth="true" style="1" width="25.0" collapsed="false"/>
    <col min="24" max="24" bestFit="true" customWidth="true" style="1" width="13.125" collapsed="false"/>
    <col min="25" max="16384" style="1" width="9.0" collapsed="false"/>
  </cols>
  <sheetData>
    <row customHeight="1" ht="13.5" r="1" spans="1:24">
      <c r="A1" s="4"/>
      <c r="B1" s="5"/>
      <c r="C1" s="5"/>
      <c r="D1" s="5"/>
      <c r="E1" s="6"/>
      <c r="F1" s="6"/>
      <c r="G1" s="6"/>
      <c r="H1" s="5"/>
      <c r="I1" s="5"/>
      <c r="J1" s="5"/>
      <c r="K1" s="5"/>
      <c r="L1" s="5"/>
      <c r="M1" s="5"/>
      <c r="N1" s="37" t="s">
        <v>0</v>
      </c>
      <c r="O1" s="37"/>
      <c r="P1" s="37"/>
      <c r="Q1" s="37"/>
      <c r="R1" s="37"/>
      <c r="S1" s="37"/>
      <c r="T1" s="37"/>
      <c r="U1" s="37"/>
      <c r="V1" s="37"/>
      <c r="W1" s="37"/>
      <c r="X1" s="38"/>
    </row>
    <row customHeight="1" ht="99" r="2" spans="1:24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39"/>
      <c r="O2" s="39"/>
      <c r="P2" s="39"/>
      <c r="Q2" s="39"/>
      <c r="R2" s="39"/>
      <c r="S2" s="39"/>
      <c r="T2" s="39"/>
      <c r="U2" s="39"/>
      <c r="V2" s="39"/>
      <c r="W2" s="39"/>
      <c r="X2" s="40"/>
    </row>
    <row customHeight="1" ht="39" r="3" spans="1:24">
      <c r="A3" s="45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1"/>
      <c r="O3" s="41"/>
      <c r="P3" s="41"/>
      <c r="Q3" s="41"/>
      <c r="R3" s="41"/>
      <c r="S3" s="41"/>
      <c r="T3" s="41"/>
      <c r="U3" s="41"/>
      <c r="V3" s="41"/>
      <c r="W3" s="41"/>
      <c r="X3" s="42"/>
    </row>
    <row customFormat="1" customHeight="1" ht="13.5" r="4" s="2" spans="1:24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9" t="s">
        <v>8</v>
      </c>
      <c r="G4" s="10" t="s">
        <v>9</v>
      </c>
      <c r="H4" s="7" t="s">
        <v>10</v>
      </c>
      <c r="I4" s="7" t="s">
        <v>11</v>
      </c>
      <c r="J4" s="7" t="s">
        <v>12</v>
      </c>
      <c r="K4" s="11" t="s">
        <v>13</v>
      </c>
      <c r="L4" s="10" t="s">
        <v>9</v>
      </c>
      <c r="M4" s="11" t="s">
        <v>14</v>
      </c>
      <c r="N4" s="10" t="s">
        <v>9</v>
      </c>
      <c r="O4" s="11" t="s">
        <v>15</v>
      </c>
      <c r="P4" s="10" t="s">
        <v>9</v>
      </c>
      <c r="Q4" s="11" t="s">
        <v>16</v>
      </c>
      <c r="R4" s="10" t="s">
        <v>9</v>
      </c>
      <c r="S4" s="7" t="s">
        <v>17</v>
      </c>
      <c r="T4" s="7" t="s">
        <v>18</v>
      </c>
      <c r="U4" s="12" t="s">
        <v>19</v>
      </c>
      <c r="V4" s="7" t="s">
        <v>20</v>
      </c>
      <c r="W4" s="7" t="s">
        <v>21</v>
      </c>
      <c r="X4" s="7" t="s">
        <v>22</v>
      </c>
    </row>
    <row r="5" spans="1:24">
      <c r="A5" s="13" t="s">
        <v>23</v>
      </c>
      <c r="B5" s="13" t="s">
        <v>24</v>
      </c>
      <c r="C5" s="13"/>
      <c r="D5" s="13"/>
      <c r="E5" s="14"/>
      <c r="F5" s="15"/>
      <c r="G5" s="16" t="s">
        <v>25</v>
      </c>
      <c r="H5" s="17" t="s">
        <v>26</v>
      </c>
      <c r="I5" s="17" t="s">
        <v>27</v>
      </c>
      <c r="J5" s="17" t="s">
        <v>28</v>
      </c>
      <c r="K5" s="18" t="s">
        <v>29</v>
      </c>
      <c r="L5" s="16" t="s">
        <v>25</v>
      </c>
      <c r="M5" s="18" t="s">
        <v>30</v>
      </c>
      <c r="N5" s="16" t="s">
        <v>25</v>
      </c>
      <c r="O5" s="18" t="s">
        <v>31</v>
      </c>
      <c r="P5" s="16" t="s">
        <v>25</v>
      </c>
      <c r="Q5" s="18" t="s">
        <v>32</v>
      </c>
      <c r="R5" s="16" t="s">
        <v>25</v>
      </c>
      <c r="S5" s="19" t="s">
        <v>33</v>
      </c>
      <c r="T5" s="19" t="s">
        <v>34</v>
      </c>
      <c r="U5" s="19" t="s">
        <v>35</v>
      </c>
      <c r="V5" s="19" t="s">
        <v>36</v>
      </c>
      <c r="W5" s="19" t="s">
        <v>37</v>
      </c>
      <c r="X5" s="19" t="s">
        <v>38</v>
      </c>
    </row>
    <row r="6" spans="1:24">
      <c r="A6" s="20"/>
      <c r="B6" s="20"/>
      <c r="C6" s="20"/>
      <c r="D6" s="20"/>
      <c r="E6" s="21"/>
      <c r="F6" s="22"/>
      <c r="G6" s="23"/>
      <c r="H6" s="24"/>
      <c r="I6" s="24"/>
      <c r="J6" s="24" t="s">
        <v>39</v>
      </c>
      <c r="K6" s="25" t="s">
        <v>40</v>
      </c>
      <c r="L6" s="26"/>
      <c r="M6" s="25" t="s">
        <v>40</v>
      </c>
      <c r="N6" s="26"/>
      <c r="O6" s="25" t="s">
        <v>40</v>
      </c>
      <c r="P6" s="26"/>
      <c r="Q6" s="25" t="s">
        <v>40</v>
      </c>
      <c r="R6" s="26"/>
      <c r="S6" s="25" t="s">
        <v>40</v>
      </c>
      <c r="T6" s="24" t="s">
        <v>41</v>
      </c>
      <c r="U6" s="24" t="s">
        <v>41</v>
      </c>
      <c r="V6" s="25" t="s">
        <v>40</v>
      </c>
      <c r="W6" s="25" t="s">
        <v>40</v>
      </c>
      <c r="X6" s="24"/>
    </row>
    <row customFormat="1" customHeight="1" ht="13.5" r="7" s="2" spans="1:24">
      <c r="A7" s="27" t="s">
        <v>42</v>
      </c>
      <c r="B7" s="27" t="s">
        <v>43</v>
      </c>
      <c r="C7" s="27" t="s">
        <v>44</v>
      </c>
      <c r="D7" s="27" t="s">
        <v>45</v>
      </c>
      <c r="E7" s="28" t="s">
        <v>46</v>
      </c>
      <c r="F7" s="29" t="s">
        <v>46</v>
      </c>
      <c r="G7" s="30" t="s">
        <v>46</v>
      </c>
      <c r="H7" s="31"/>
      <c r="I7" s="31" t="s">
        <v>47</v>
      </c>
      <c r="J7" s="32" t="n">
        <v>10.0</v>
      </c>
      <c r="K7" s="33" t="n">
        <f>2823</f>
        <v>2823.0</v>
      </c>
      <c r="L7" s="34" t="s">
        <v>48</v>
      </c>
      <c r="M7" s="33" t="n">
        <f>2923.5</f>
        <v>2923.5</v>
      </c>
      <c r="N7" s="34" t="s">
        <v>49</v>
      </c>
      <c r="O7" s="33" t="n">
        <f>2758</f>
        <v>2758.0</v>
      </c>
      <c r="P7" s="34" t="s">
        <v>50</v>
      </c>
      <c r="Q7" s="33" t="n">
        <f>2841</f>
        <v>2841.0</v>
      </c>
      <c r="R7" s="34" t="s">
        <v>51</v>
      </c>
      <c r="S7" s="35" t="n">
        <f>2845.43</f>
        <v>2845.43</v>
      </c>
      <c r="T7" s="32" t="n">
        <f>18208440</f>
        <v>1.820844E7</v>
      </c>
      <c r="U7" s="32" t="n">
        <f>11693270</f>
        <v>1.169327E7</v>
      </c>
      <c r="V7" s="32" t="n">
        <f>51858006263</f>
        <v>5.1858006263E10</v>
      </c>
      <c r="W7" s="32" t="n">
        <f>33433668323</f>
        <v>3.3433668323E10</v>
      </c>
      <c r="X7" s="36" t="n">
        <f>22</f>
        <v>22.0</v>
      </c>
    </row>
    <row r="8">
      <c r="A8" s="27" t="s">
        <v>42</v>
      </c>
      <c r="B8" s="27" t="s">
        <v>52</v>
      </c>
      <c r="C8" s="27" t="s">
        <v>53</v>
      </c>
      <c r="D8" s="27" t="s">
        <v>54</v>
      </c>
      <c r="E8" s="28" t="s">
        <v>46</v>
      </c>
      <c r="F8" s="29" t="s">
        <v>46</v>
      </c>
      <c r="G8" s="30" t="s">
        <v>46</v>
      </c>
      <c r="H8" s="31"/>
      <c r="I8" s="31" t="s">
        <v>47</v>
      </c>
      <c r="J8" s="32" t="n">
        <v>10.0</v>
      </c>
      <c r="K8" s="33" t="n">
        <f>2790</f>
        <v>2790.0</v>
      </c>
      <c r="L8" s="34" t="s">
        <v>48</v>
      </c>
      <c r="M8" s="33" t="n">
        <f>2885.5</f>
        <v>2885.5</v>
      </c>
      <c r="N8" s="34" t="s">
        <v>55</v>
      </c>
      <c r="O8" s="33" t="n">
        <f>2729.5</f>
        <v>2729.5</v>
      </c>
      <c r="P8" s="34" t="s">
        <v>56</v>
      </c>
      <c r="Q8" s="33" t="n">
        <f>2818</f>
        <v>2818.0</v>
      </c>
      <c r="R8" s="34" t="s">
        <v>51</v>
      </c>
      <c r="S8" s="35" t="n">
        <f>2812.39</f>
        <v>2812.39</v>
      </c>
      <c r="T8" s="32" t="n">
        <f>48684140</f>
        <v>4.868414E7</v>
      </c>
      <c r="U8" s="32" t="n">
        <f>11044630</f>
        <v>1.104463E7</v>
      </c>
      <c r="V8" s="32" t="n">
        <f>136851627041</f>
        <v>1.36851627041E11</v>
      </c>
      <c r="W8" s="32" t="n">
        <f>31054363891</f>
        <v>3.1054363891E10</v>
      </c>
      <c r="X8" s="36" t="n">
        <f>22</f>
        <v>22.0</v>
      </c>
    </row>
    <row r="9">
      <c r="A9" s="27" t="s">
        <v>42</v>
      </c>
      <c r="B9" s="27" t="s">
        <v>57</v>
      </c>
      <c r="C9" s="27" t="s">
        <v>58</v>
      </c>
      <c r="D9" s="27" t="s">
        <v>59</v>
      </c>
      <c r="E9" s="28" t="s">
        <v>46</v>
      </c>
      <c r="F9" s="29" t="s">
        <v>46</v>
      </c>
      <c r="G9" s="30" t="s">
        <v>46</v>
      </c>
      <c r="H9" s="31"/>
      <c r="I9" s="31" t="s">
        <v>47</v>
      </c>
      <c r="J9" s="32" t="n">
        <v>1.0</v>
      </c>
      <c r="K9" s="33" t="n">
        <f>2760</f>
        <v>2760.0</v>
      </c>
      <c r="L9" s="34" t="s">
        <v>48</v>
      </c>
      <c r="M9" s="33" t="n">
        <f>2850</f>
        <v>2850.0</v>
      </c>
      <c r="N9" s="34" t="s">
        <v>55</v>
      </c>
      <c r="O9" s="33" t="n">
        <f>2698</f>
        <v>2698.0</v>
      </c>
      <c r="P9" s="34" t="s">
        <v>60</v>
      </c>
      <c r="Q9" s="33" t="n">
        <f>2787</f>
        <v>2787.0</v>
      </c>
      <c r="R9" s="34" t="s">
        <v>51</v>
      </c>
      <c r="S9" s="35" t="n">
        <f>2778.68</f>
        <v>2778.68</v>
      </c>
      <c r="T9" s="32" t="n">
        <f>8307981</f>
        <v>8307981.0</v>
      </c>
      <c r="U9" s="32" t="n">
        <f>5306362</f>
        <v>5306362.0</v>
      </c>
      <c r="V9" s="32" t="n">
        <f>23071011848</f>
        <v>2.3071011848E10</v>
      </c>
      <c r="W9" s="32" t="n">
        <f>14711967673</f>
        <v>1.4711967673E10</v>
      </c>
      <c r="X9" s="36" t="n">
        <f>22</f>
        <v>22.0</v>
      </c>
    </row>
    <row r="10">
      <c r="A10" s="27" t="s">
        <v>42</v>
      </c>
      <c r="B10" s="27" t="s">
        <v>61</v>
      </c>
      <c r="C10" s="27" t="s">
        <v>62</v>
      </c>
      <c r="D10" s="27" t="s">
        <v>63</v>
      </c>
      <c r="E10" s="28" t="s">
        <v>46</v>
      </c>
      <c r="F10" s="29" t="s">
        <v>46</v>
      </c>
      <c r="G10" s="30" t="s">
        <v>46</v>
      </c>
      <c r="H10" s="31"/>
      <c r="I10" s="31" t="s">
        <v>47</v>
      </c>
      <c r="J10" s="32" t="n">
        <v>1.0</v>
      </c>
      <c r="K10" s="33" t="n">
        <f>45500</f>
        <v>45500.0</v>
      </c>
      <c r="L10" s="34" t="s">
        <v>48</v>
      </c>
      <c r="M10" s="33" t="n">
        <f>77220</f>
        <v>77220.0</v>
      </c>
      <c r="N10" s="34" t="s">
        <v>64</v>
      </c>
      <c r="O10" s="33" t="n">
        <f>43000</f>
        <v>43000.0</v>
      </c>
      <c r="P10" s="34" t="s">
        <v>65</v>
      </c>
      <c r="Q10" s="33" t="n">
        <f>44800</f>
        <v>44800.0</v>
      </c>
      <c r="R10" s="34" t="s">
        <v>51</v>
      </c>
      <c r="S10" s="35" t="n">
        <f>49763.18</f>
        <v>49763.18</v>
      </c>
      <c r="T10" s="32" t="n">
        <f>58437</f>
        <v>58437.0</v>
      </c>
      <c r="U10" s="32" t="str">
        <f>"－"</f>
        <v>－</v>
      </c>
      <c r="V10" s="32" t="n">
        <f>3492999600</f>
        <v>3.4929996E9</v>
      </c>
      <c r="W10" s="32" t="str">
        <f>"－"</f>
        <v>－</v>
      </c>
      <c r="X10" s="36" t="n">
        <f>22</f>
        <v>22.0</v>
      </c>
    </row>
    <row r="11">
      <c r="A11" s="27" t="s">
        <v>42</v>
      </c>
      <c r="B11" s="27" t="s">
        <v>66</v>
      </c>
      <c r="C11" s="27" t="s">
        <v>67</v>
      </c>
      <c r="D11" s="27" t="s">
        <v>68</v>
      </c>
      <c r="E11" s="28" t="s">
        <v>46</v>
      </c>
      <c r="F11" s="29" t="s">
        <v>46</v>
      </c>
      <c r="G11" s="30" t="s">
        <v>46</v>
      </c>
      <c r="H11" s="31"/>
      <c r="I11" s="31" t="s">
        <v>47</v>
      </c>
      <c r="J11" s="32" t="n">
        <v>10.0</v>
      </c>
      <c r="K11" s="33" t="n">
        <f>1376.5</f>
        <v>1376.5</v>
      </c>
      <c r="L11" s="34" t="s">
        <v>48</v>
      </c>
      <c r="M11" s="33" t="n">
        <f>1430</f>
        <v>1430.0</v>
      </c>
      <c r="N11" s="34" t="s">
        <v>55</v>
      </c>
      <c r="O11" s="33" t="n">
        <f>1357</f>
        <v>1357.0</v>
      </c>
      <c r="P11" s="34" t="s">
        <v>60</v>
      </c>
      <c r="Q11" s="33" t="n">
        <f>1405</f>
        <v>1405.0</v>
      </c>
      <c r="R11" s="34" t="s">
        <v>51</v>
      </c>
      <c r="S11" s="35" t="n">
        <f>1392.11</f>
        <v>1392.11</v>
      </c>
      <c r="T11" s="32" t="n">
        <f>195060</f>
        <v>195060.0</v>
      </c>
      <c r="U11" s="32" t="n">
        <f>690</f>
        <v>690.0</v>
      </c>
      <c r="V11" s="32" t="n">
        <f>272084130</f>
        <v>2.7208413E8</v>
      </c>
      <c r="W11" s="32" t="n">
        <f>963550</f>
        <v>963550.0</v>
      </c>
      <c r="X11" s="36" t="n">
        <f>22</f>
        <v>22.0</v>
      </c>
    </row>
    <row r="12">
      <c r="A12" s="27" t="s">
        <v>42</v>
      </c>
      <c r="B12" s="27" t="s">
        <v>69</v>
      </c>
      <c r="C12" s="27" t="s">
        <v>70</v>
      </c>
      <c r="D12" s="27" t="s">
        <v>71</v>
      </c>
      <c r="E12" s="28" t="s">
        <v>46</v>
      </c>
      <c r="F12" s="29" t="s">
        <v>46</v>
      </c>
      <c r="G12" s="30" t="s">
        <v>46</v>
      </c>
      <c r="H12" s="31"/>
      <c r="I12" s="31" t="s">
        <v>47</v>
      </c>
      <c r="J12" s="32" t="n">
        <v>1000.0</v>
      </c>
      <c r="K12" s="33" t="n">
        <f>480</f>
        <v>480.0</v>
      </c>
      <c r="L12" s="34" t="s">
        <v>48</v>
      </c>
      <c r="M12" s="33" t="n">
        <f>540</f>
        <v>540.0</v>
      </c>
      <c r="N12" s="34" t="s">
        <v>51</v>
      </c>
      <c r="O12" s="33" t="n">
        <f>472</f>
        <v>472.0</v>
      </c>
      <c r="P12" s="34" t="s">
        <v>72</v>
      </c>
      <c r="Q12" s="33" t="n">
        <f>540</f>
        <v>540.0</v>
      </c>
      <c r="R12" s="34" t="s">
        <v>51</v>
      </c>
      <c r="S12" s="35" t="n">
        <f>494.51</f>
        <v>494.51</v>
      </c>
      <c r="T12" s="32" t="n">
        <f>901000</f>
        <v>901000.0</v>
      </c>
      <c r="U12" s="32" t="str">
        <f>"－"</f>
        <v>－</v>
      </c>
      <c r="V12" s="32" t="n">
        <f>468582300</f>
        <v>4.685823E8</v>
      </c>
      <c r="W12" s="32" t="str">
        <f>"－"</f>
        <v>－</v>
      </c>
      <c r="X12" s="36" t="n">
        <f>18</f>
        <v>18.0</v>
      </c>
    </row>
    <row r="13">
      <c r="A13" s="27" t="s">
        <v>42</v>
      </c>
      <c r="B13" s="27" t="s">
        <v>73</v>
      </c>
      <c r="C13" s="27" t="s">
        <v>74</v>
      </c>
      <c r="D13" s="27" t="s">
        <v>75</v>
      </c>
      <c r="E13" s="28" t="s">
        <v>46</v>
      </c>
      <c r="F13" s="29" t="s">
        <v>46</v>
      </c>
      <c r="G13" s="30" t="s">
        <v>46</v>
      </c>
      <c r="H13" s="31"/>
      <c r="I13" s="31" t="s">
        <v>47</v>
      </c>
      <c r="J13" s="32" t="n">
        <v>1.0</v>
      </c>
      <c r="K13" s="33" t="n">
        <f>39590</f>
        <v>39590.0</v>
      </c>
      <c r="L13" s="34" t="s">
        <v>48</v>
      </c>
      <c r="M13" s="33" t="n">
        <f>41620</f>
        <v>41620.0</v>
      </c>
      <c r="N13" s="34" t="s">
        <v>76</v>
      </c>
      <c r="O13" s="33" t="n">
        <f>38940</f>
        <v>38940.0</v>
      </c>
      <c r="P13" s="34" t="s">
        <v>72</v>
      </c>
      <c r="Q13" s="33" t="n">
        <f>40380</f>
        <v>40380.0</v>
      </c>
      <c r="R13" s="34" t="s">
        <v>51</v>
      </c>
      <c r="S13" s="35" t="n">
        <f>40142.73</f>
        <v>40142.73</v>
      </c>
      <c r="T13" s="32" t="n">
        <f>1566721</f>
        <v>1566721.0</v>
      </c>
      <c r="U13" s="32" t="n">
        <f>713330</f>
        <v>713330.0</v>
      </c>
      <c r="V13" s="32" t="n">
        <f>63014567947</f>
        <v>6.3014567947E10</v>
      </c>
      <c r="W13" s="32" t="n">
        <f>28669873747</f>
        <v>2.8669873747E10</v>
      </c>
      <c r="X13" s="36" t="n">
        <f>22</f>
        <v>22.0</v>
      </c>
    </row>
    <row r="14">
      <c r="A14" s="27" t="s">
        <v>42</v>
      </c>
      <c r="B14" s="27" t="s">
        <v>77</v>
      </c>
      <c r="C14" s="27" t="s">
        <v>78</v>
      </c>
      <c r="D14" s="27" t="s">
        <v>79</v>
      </c>
      <c r="E14" s="28" t="s">
        <v>46</v>
      </c>
      <c r="F14" s="29" t="s">
        <v>46</v>
      </c>
      <c r="G14" s="30" t="s">
        <v>46</v>
      </c>
      <c r="H14" s="31"/>
      <c r="I14" s="31" t="s">
        <v>47</v>
      </c>
      <c r="J14" s="32" t="n">
        <v>1.0</v>
      </c>
      <c r="K14" s="33" t="n">
        <f>39720</f>
        <v>39720.0</v>
      </c>
      <c r="L14" s="34" t="s">
        <v>48</v>
      </c>
      <c r="M14" s="33" t="n">
        <f>41770</f>
        <v>41770.0</v>
      </c>
      <c r="N14" s="34" t="s">
        <v>76</v>
      </c>
      <c r="O14" s="33" t="n">
        <f>39070</f>
        <v>39070.0</v>
      </c>
      <c r="P14" s="34" t="s">
        <v>72</v>
      </c>
      <c r="Q14" s="33" t="n">
        <f>40530</f>
        <v>40530.0</v>
      </c>
      <c r="R14" s="34" t="s">
        <v>51</v>
      </c>
      <c r="S14" s="35" t="n">
        <f>40285</f>
        <v>40285.0</v>
      </c>
      <c r="T14" s="32" t="n">
        <f>8411793</f>
        <v>8411793.0</v>
      </c>
      <c r="U14" s="32" t="n">
        <f>1512984</f>
        <v>1512984.0</v>
      </c>
      <c r="V14" s="32" t="n">
        <f>339309665496</f>
        <v>3.39309665496E11</v>
      </c>
      <c r="W14" s="32" t="n">
        <f>61298658266</f>
        <v>6.1298658266E10</v>
      </c>
      <c r="X14" s="36" t="n">
        <f>22</f>
        <v>22.0</v>
      </c>
    </row>
    <row r="15">
      <c r="A15" s="27" t="s">
        <v>42</v>
      </c>
      <c r="B15" s="27" t="s">
        <v>80</v>
      </c>
      <c r="C15" s="27" t="s">
        <v>81</v>
      </c>
      <c r="D15" s="27" t="s">
        <v>82</v>
      </c>
      <c r="E15" s="28" t="s">
        <v>46</v>
      </c>
      <c r="F15" s="29" t="s">
        <v>46</v>
      </c>
      <c r="G15" s="30" t="s">
        <v>46</v>
      </c>
      <c r="H15" s="31"/>
      <c r="I15" s="31" t="s">
        <v>47</v>
      </c>
      <c r="J15" s="32" t="n">
        <v>10.0</v>
      </c>
      <c r="K15" s="33" t="n">
        <f>9390</f>
        <v>9390.0</v>
      </c>
      <c r="L15" s="34" t="s">
        <v>48</v>
      </c>
      <c r="M15" s="33" t="n">
        <f>16500</f>
        <v>16500.0</v>
      </c>
      <c r="N15" s="34" t="s">
        <v>83</v>
      </c>
      <c r="O15" s="33" t="n">
        <f>8208</f>
        <v>8208.0</v>
      </c>
      <c r="P15" s="34" t="s">
        <v>84</v>
      </c>
      <c r="Q15" s="33" t="n">
        <f>8754</f>
        <v>8754.0</v>
      </c>
      <c r="R15" s="34" t="s">
        <v>51</v>
      </c>
      <c r="S15" s="35" t="n">
        <f>9309</f>
        <v>9309.0</v>
      </c>
      <c r="T15" s="32" t="n">
        <f>385400</f>
        <v>385400.0</v>
      </c>
      <c r="U15" s="32" t="str">
        <f>"－"</f>
        <v>－</v>
      </c>
      <c r="V15" s="32" t="n">
        <f>4283414080</f>
        <v>4.28341408E9</v>
      </c>
      <c r="W15" s="32" t="str">
        <f>"－"</f>
        <v>－</v>
      </c>
      <c r="X15" s="36" t="n">
        <f>22</f>
        <v>22.0</v>
      </c>
    </row>
    <row r="16">
      <c r="A16" s="27" t="s">
        <v>42</v>
      </c>
      <c r="B16" s="27" t="s">
        <v>85</v>
      </c>
      <c r="C16" s="27" t="s">
        <v>86</v>
      </c>
      <c r="D16" s="27" t="s">
        <v>87</v>
      </c>
      <c r="E16" s="28" t="s">
        <v>46</v>
      </c>
      <c r="F16" s="29" t="s">
        <v>46</v>
      </c>
      <c r="G16" s="30" t="s">
        <v>46</v>
      </c>
      <c r="H16" s="31" t="s">
        <v>88</v>
      </c>
      <c r="I16" s="31" t="s">
        <v>47</v>
      </c>
      <c r="J16" s="32" t="n">
        <v>100.0</v>
      </c>
      <c r="K16" s="33" t="str">
        <f>"－"</f>
        <v>－</v>
      </c>
      <c r="L16" s="34"/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5" t="str">
        <f>"－"</f>
        <v>－</v>
      </c>
      <c r="T16" s="32" t="str">
        <f>"－"</f>
        <v>－</v>
      </c>
      <c r="U16" s="32" t="str">
        <f>"－"</f>
        <v>－</v>
      </c>
      <c r="V16" s="32" t="str">
        <f>"－"</f>
        <v>－</v>
      </c>
      <c r="W16" s="32" t="str">
        <f>"－"</f>
        <v>－</v>
      </c>
      <c r="X16" s="36" t="str">
        <f>"－"</f>
        <v>－</v>
      </c>
    </row>
    <row r="17">
      <c r="A17" s="27" t="s">
        <v>42</v>
      </c>
      <c r="B17" s="27" t="s">
        <v>89</v>
      </c>
      <c r="C17" s="27" t="s">
        <v>90</v>
      </c>
      <c r="D17" s="27" t="s">
        <v>91</v>
      </c>
      <c r="E17" s="28" t="s">
        <v>46</v>
      </c>
      <c r="F17" s="29" t="s">
        <v>46</v>
      </c>
      <c r="G17" s="30" t="s">
        <v>46</v>
      </c>
      <c r="H17" s="31"/>
      <c r="I17" s="31" t="s">
        <v>47</v>
      </c>
      <c r="J17" s="32" t="n">
        <v>100.0</v>
      </c>
      <c r="K17" s="33" t="n">
        <f>208</f>
        <v>208.0</v>
      </c>
      <c r="L17" s="34" t="s">
        <v>48</v>
      </c>
      <c r="M17" s="33" t="n">
        <f>216.4</f>
        <v>216.4</v>
      </c>
      <c r="N17" s="34" t="s">
        <v>55</v>
      </c>
      <c r="O17" s="33" t="n">
        <f>203</f>
        <v>203.0</v>
      </c>
      <c r="P17" s="34" t="s">
        <v>92</v>
      </c>
      <c r="Q17" s="33" t="n">
        <f>207</f>
        <v>207.0</v>
      </c>
      <c r="R17" s="34" t="s">
        <v>51</v>
      </c>
      <c r="S17" s="35" t="n">
        <f>208.25</f>
        <v>208.25</v>
      </c>
      <c r="T17" s="32" t="n">
        <f>500900</f>
        <v>500900.0</v>
      </c>
      <c r="U17" s="32" t="n">
        <f>3500</f>
        <v>3500.0</v>
      </c>
      <c r="V17" s="32" t="n">
        <f>104599690</f>
        <v>1.0459969E8</v>
      </c>
      <c r="W17" s="32" t="n">
        <f>734690</f>
        <v>734690.0</v>
      </c>
      <c r="X17" s="36" t="n">
        <f>22</f>
        <v>22.0</v>
      </c>
    </row>
    <row r="18">
      <c r="A18" s="27" t="s">
        <v>42</v>
      </c>
      <c r="B18" s="27" t="s">
        <v>93</v>
      </c>
      <c r="C18" s="27" t="s">
        <v>94</v>
      </c>
      <c r="D18" s="27" t="s">
        <v>95</v>
      </c>
      <c r="E18" s="28" t="s">
        <v>46</v>
      </c>
      <c r="F18" s="29" t="s">
        <v>46</v>
      </c>
      <c r="G18" s="30" t="s">
        <v>46</v>
      </c>
      <c r="H18" s="31"/>
      <c r="I18" s="31" t="s">
        <v>47</v>
      </c>
      <c r="J18" s="32" t="n">
        <v>1.0</v>
      </c>
      <c r="K18" s="33" t="n">
        <f>35030</f>
        <v>35030.0</v>
      </c>
      <c r="L18" s="34" t="s">
        <v>48</v>
      </c>
      <c r="M18" s="33" t="n">
        <f>39610</f>
        <v>39610.0</v>
      </c>
      <c r="N18" s="34" t="s">
        <v>51</v>
      </c>
      <c r="O18" s="33" t="n">
        <f>35010</f>
        <v>35010.0</v>
      </c>
      <c r="P18" s="34" t="s">
        <v>48</v>
      </c>
      <c r="Q18" s="33" t="n">
        <f>39430</f>
        <v>39430.0</v>
      </c>
      <c r="R18" s="34" t="s">
        <v>51</v>
      </c>
      <c r="S18" s="35" t="n">
        <f>37227.27</f>
        <v>37227.27</v>
      </c>
      <c r="T18" s="32" t="n">
        <f>239402</f>
        <v>239402.0</v>
      </c>
      <c r="U18" s="32" t="n">
        <f>620</f>
        <v>620.0</v>
      </c>
      <c r="V18" s="32" t="n">
        <f>8937580659</f>
        <v>8.937580659E9</v>
      </c>
      <c r="W18" s="32" t="n">
        <f>21928089</f>
        <v>2.1928089E7</v>
      </c>
      <c r="X18" s="36" t="n">
        <f>22</f>
        <v>22.0</v>
      </c>
    </row>
    <row r="19">
      <c r="A19" s="27" t="s">
        <v>42</v>
      </c>
      <c r="B19" s="27" t="s">
        <v>96</v>
      </c>
      <c r="C19" s="27" t="s">
        <v>97</v>
      </c>
      <c r="D19" s="27" t="s">
        <v>98</v>
      </c>
      <c r="E19" s="28" t="s">
        <v>46</v>
      </c>
      <c r="F19" s="29" t="s">
        <v>46</v>
      </c>
      <c r="G19" s="30" t="s">
        <v>46</v>
      </c>
      <c r="H19" s="31"/>
      <c r="I19" s="31" t="s">
        <v>47</v>
      </c>
      <c r="J19" s="32" t="n">
        <v>10.0</v>
      </c>
      <c r="K19" s="33" t="n">
        <f>9224</f>
        <v>9224.0</v>
      </c>
      <c r="L19" s="34" t="s">
        <v>48</v>
      </c>
      <c r="M19" s="33" t="n">
        <f>10425</f>
        <v>10425.0</v>
      </c>
      <c r="N19" s="34" t="s">
        <v>51</v>
      </c>
      <c r="O19" s="33" t="n">
        <f>9215</f>
        <v>9215.0</v>
      </c>
      <c r="P19" s="34" t="s">
        <v>48</v>
      </c>
      <c r="Q19" s="33" t="n">
        <f>10360</f>
        <v>10360.0</v>
      </c>
      <c r="R19" s="34" t="s">
        <v>51</v>
      </c>
      <c r="S19" s="35" t="n">
        <f>9793.82</f>
        <v>9793.82</v>
      </c>
      <c r="T19" s="32" t="n">
        <f>458940</f>
        <v>458940.0</v>
      </c>
      <c r="U19" s="32" t="n">
        <f>1150</f>
        <v>1150.0</v>
      </c>
      <c r="V19" s="32" t="n">
        <f>4544394085</f>
        <v>4.544394085E9</v>
      </c>
      <c r="W19" s="32" t="n">
        <f>11026455</f>
        <v>1.1026455E7</v>
      </c>
      <c r="X19" s="36" t="n">
        <f>22</f>
        <v>22.0</v>
      </c>
    </row>
    <row r="20">
      <c r="A20" s="27" t="s">
        <v>42</v>
      </c>
      <c r="B20" s="27" t="s">
        <v>99</v>
      </c>
      <c r="C20" s="27" t="s">
        <v>100</v>
      </c>
      <c r="D20" s="27" t="s">
        <v>101</v>
      </c>
      <c r="E20" s="28" t="s">
        <v>46</v>
      </c>
      <c r="F20" s="29" t="s">
        <v>46</v>
      </c>
      <c r="G20" s="30" t="s">
        <v>46</v>
      </c>
      <c r="H20" s="31"/>
      <c r="I20" s="31" t="s">
        <v>47</v>
      </c>
      <c r="J20" s="32" t="n">
        <v>1.0</v>
      </c>
      <c r="K20" s="33" t="n">
        <f>39830</f>
        <v>39830.0</v>
      </c>
      <c r="L20" s="34" t="s">
        <v>48</v>
      </c>
      <c r="M20" s="33" t="n">
        <f>41860</f>
        <v>41860.0</v>
      </c>
      <c r="N20" s="34" t="s">
        <v>76</v>
      </c>
      <c r="O20" s="33" t="n">
        <f>39160</f>
        <v>39160.0</v>
      </c>
      <c r="P20" s="34" t="s">
        <v>72</v>
      </c>
      <c r="Q20" s="33" t="n">
        <f>40700</f>
        <v>40700.0</v>
      </c>
      <c r="R20" s="34" t="s">
        <v>51</v>
      </c>
      <c r="S20" s="35" t="n">
        <f>40407.73</f>
        <v>40407.73</v>
      </c>
      <c r="T20" s="32" t="n">
        <f>1290299</f>
        <v>1290299.0</v>
      </c>
      <c r="U20" s="32" t="n">
        <f>263159</f>
        <v>263159.0</v>
      </c>
      <c r="V20" s="32" t="n">
        <f>52122430058</f>
        <v>5.2122430058E10</v>
      </c>
      <c r="W20" s="32" t="n">
        <f>10613682208</f>
        <v>1.0613682208E10</v>
      </c>
      <c r="X20" s="36" t="n">
        <f>22</f>
        <v>22.0</v>
      </c>
    </row>
    <row r="21">
      <c r="A21" s="27" t="s">
        <v>42</v>
      </c>
      <c r="B21" s="27" t="s">
        <v>102</v>
      </c>
      <c r="C21" s="27" t="s">
        <v>103</v>
      </c>
      <c r="D21" s="27" t="s">
        <v>104</v>
      </c>
      <c r="E21" s="28" t="s">
        <v>46</v>
      </c>
      <c r="F21" s="29" t="s">
        <v>46</v>
      </c>
      <c r="G21" s="30" t="s">
        <v>46</v>
      </c>
      <c r="H21" s="31"/>
      <c r="I21" s="31" t="s">
        <v>47</v>
      </c>
      <c r="J21" s="32" t="n">
        <v>1.0</v>
      </c>
      <c r="K21" s="33" t="n">
        <f>39760</f>
        <v>39760.0</v>
      </c>
      <c r="L21" s="34" t="s">
        <v>48</v>
      </c>
      <c r="M21" s="33" t="n">
        <f>41790</f>
        <v>41790.0</v>
      </c>
      <c r="N21" s="34" t="s">
        <v>76</v>
      </c>
      <c r="O21" s="33" t="n">
        <f>39100</f>
        <v>39100.0</v>
      </c>
      <c r="P21" s="34" t="s">
        <v>72</v>
      </c>
      <c r="Q21" s="33" t="n">
        <f>40620</f>
        <v>40620.0</v>
      </c>
      <c r="R21" s="34" t="s">
        <v>51</v>
      </c>
      <c r="S21" s="35" t="n">
        <f>40320.45</f>
        <v>40320.45</v>
      </c>
      <c r="T21" s="32" t="n">
        <f>2184784</f>
        <v>2184784.0</v>
      </c>
      <c r="U21" s="32" t="n">
        <f>1373504</f>
        <v>1373504.0</v>
      </c>
      <c r="V21" s="32" t="n">
        <f>87923890553</f>
        <v>8.7923890553E10</v>
      </c>
      <c r="W21" s="32" t="n">
        <f>55235416993</f>
        <v>5.5235416993E10</v>
      </c>
      <c r="X21" s="36" t="n">
        <f>22</f>
        <v>22.0</v>
      </c>
    </row>
    <row r="22">
      <c r="A22" s="27" t="s">
        <v>42</v>
      </c>
      <c r="B22" s="27" t="s">
        <v>105</v>
      </c>
      <c r="C22" s="27" t="s">
        <v>106</v>
      </c>
      <c r="D22" s="27" t="s">
        <v>107</v>
      </c>
      <c r="E22" s="28" t="s">
        <v>46</v>
      </c>
      <c r="F22" s="29" t="s">
        <v>46</v>
      </c>
      <c r="G22" s="30" t="s">
        <v>46</v>
      </c>
      <c r="H22" s="31"/>
      <c r="I22" s="31" t="s">
        <v>47</v>
      </c>
      <c r="J22" s="32" t="n">
        <v>1.0</v>
      </c>
      <c r="K22" s="33" t="n">
        <f>971</f>
        <v>971.0</v>
      </c>
      <c r="L22" s="34" t="s">
        <v>48</v>
      </c>
      <c r="M22" s="33" t="n">
        <f>1046</f>
        <v>1046.0</v>
      </c>
      <c r="N22" s="34" t="s">
        <v>50</v>
      </c>
      <c r="O22" s="33" t="n">
        <f>971</f>
        <v>971.0</v>
      </c>
      <c r="P22" s="34" t="s">
        <v>48</v>
      </c>
      <c r="Q22" s="33" t="n">
        <f>1040</f>
        <v>1040.0</v>
      </c>
      <c r="R22" s="34" t="s">
        <v>51</v>
      </c>
      <c r="S22" s="35" t="n">
        <f>1016.36</f>
        <v>1016.36</v>
      </c>
      <c r="T22" s="32" t="n">
        <f>10264132</f>
        <v>1.0264132E7</v>
      </c>
      <c r="U22" s="32" t="n">
        <f>8830006</f>
        <v>8830006.0</v>
      </c>
      <c r="V22" s="32" t="n">
        <f>10465564443</f>
        <v>1.0465564443E10</v>
      </c>
      <c r="W22" s="32" t="n">
        <f>9001355971</f>
        <v>9.001355971E9</v>
      </c>
      <c r="X22" s="36" t="n">
        <f>22</f>
        <v>22.0</v>
      </c>
    </row>
    <row r="23">
      <c r="A23" s="27" t="s">
        <v>42</v>
      </c>
      <c r="B23" s="27" t="s">
        <v>108</v>
      </c>
      <c r="C23" s="27" t="s">
        <v>109</v>
      </c>
      <c r="D23" s="27" t="s">
        <v>110</v>
      </c>
      <c r="E23" s="28" t="s">
        <v>46</v>
      </c>
      <c r="F23" s="29" t="s">
        <v>46</v>
      </c>
      <c r="G23" s="30" t="s">
        <v>46</v>
      </c>
      <c r="H23" s="31"/>
      <c r="I23" s="31" t="s">
        <v>47</v>
      </c>
      <c r="J23" s="32" t="n">
        <v>10.0</v>
      </c>
      <c r="K23" s="33" t="n">
        <f>1873.5</f>
        <v>1873.5</v>
      </c>
      <c r="L23" s="34" t="s">
        <v>48</v>
      </c>
      <c r="M23" s="33" t="n">
        <f>1874</f>
        <v>1874.0</v>
      </c>
      <c r="N23" s="34" t="s">
        <v>48</v>
      </c>
      <c r="O23" s="33" t="n">
        <f>1814.5</f>
        <v>1814.5</v>
      </c>
      <c r="P23" s="34" t="s">
        <v>50</v>
      </c>
      <c r="Q23" s="33" t="n">
        <f>1825.5</f>
        <v>1825.5</v>
      </c>
      <c r="R23" s="34" t="s">
        <v>51</v>
      </c>
      <c r="S23" s="35" t="n">
        <f>1839.18</f>
        <v>1839.18</v>
      </c>
      <c r="T23" s="32" t="n">
        <f>17376150</f>
        <v>1.737615E7</v>
      </c>
      <c r="U23" s="32" t="n">
        <f>6889720</f>
        <v>6889720.0</v>
      </c>
      <c r="V23" s="32" t="n">
        <f>31908216374</f>
        <v>3.1908216374E10</v>
      </c>
      <c r="W23" s="32" t="n">
        <f>12639460794</f>
        <v>1.2639460794E10</v>
      </c>
      <c r="X23" s="36" t="n">
        <f>22</f>
        <v>22.0</v>
      </c>
    </row>
    <row r="24">
      <c r="A24" s="27" t="s">
        <v>42</v>
      </c>
      <c r="B24" s="27" t="s">
        <v>111</v>
      </c>
      <c r="C24" s="27" t="s">
        <v>112</v>
      </c>
      <c r="D24" s="27" t="s">
        <v>113</v>
      </c>
      <c r="E24" s="28" t="s">
        <v>46</v>
      </c>
      <c r="F24" s="29" t="s">
        <v>46</v>
      </c>
      <c r="G24" s="30" t="s">
        <v>46</v>
      </c>
      <c r="H24" s="31"/>
      <c r="I24" s="31" t="s">
        <v>47</v>
      </c>
      <c r="J24" s="32" t="n">
        <v>100.0</v>
      </c>
      <c r="K24" s="33" t="n">
        <f>1760</f>
        <v>1760.0</v>
      </c>
      <c r="L24" s="34" t="s">
        <v>48</v>
      </c>
      <c r="M24" s="33" t="n">
        <f>1760</f>
        <v>1760.0</v>
      </c>
      <c r="N24" s="34" t="s">
        <v>48</v>
      </c>
      <c r="O24" s="33" t="n">
        <f>1700</f>
        <v>1700.0</v>
      </c>
      <c r="P24" s="34" t="s">
        <v>50</v>
      </c>
      <c r="Q24" s="33" t="n">
        <f>1712.5</f>
        <v>1712.5</v>
      </c>
      <c r="R24" s="34" t="s">
        <v>51</v>
      </c>
      <c r="S24" s="35" t="n">
        <f>1722.41</f>
        <v>1722.41</v>
      </c>
      <c r="T24" s="32" t="n">
        <f>2123600</f>
        <v>2123600.0</v>
      </c>
      <c r="U24" s="32" t="n">
        <f>1523800</f>
        <v>1523800.0</v>
      </c>
      <c r="V24" s="32" t="n">
        <f>3675084312</f>
        <v>3.675084312E9</v>
      </c>
      <c r="W24" s="32" t="n">
        <f>2640818912</f>
        <v>2.640818912E9</v>
      </c>
      <c r="X24" s="36" t="n">
        <f>22</f>
        <v>22.0</v>
      </c>
    </row>
    <row r="25">
      <c r="A25" s="27" t="s">
        <v>42</v>
      </c>
      <c r="B25" s="27" t="s">
        <v>114</v>
      </c>
      <c r="C25" s="27" t="s">
        <v>115</v>
      </c>
      <c r="D25" s="27" t="s">
        <v>116</v>
      </c>
      <c r="E25" s="28" t="s">
        <v>46</v>
      </c>
      <c r="F25" s="29" t="s">
        <v>46</v>
      </c>
      <c r="G25" s="30" t="s">
        <v>46</v>
      </c>
      <c r="H25" s="31"/>
      <c r="I25" s="31" t="s">
        <v>47</v>
      </c>
      <c r="J25" s="32" t="n">
        <v>1.0</v>
      </c>
      <c r="K25" s="33" t="n">
        <f>39750</f>
        <v>39750.0</v>
      </c>
      <c r="L25" s="34" t="s">
        <v>48</v>
      </c>
      <c r="M25" s="33" t="n">
        <f>41820</f>
        <v>41820.0</v>
      </c>
      <c r="N25" s="34" t="s">
        <v>76</v>
      </c>
      <c r="O25" s="33" t="n">
        <f>39120</f>
        <v>39120.0</v>
      </c>
      <c r="P25" s="34" t="s">
        <v>72</v>
      </c>
      <c r="Q25" s="33" t="n">
        <f>40640</f>
        <v>40640.0</v>
      </c>
      <c r="R25" s="34" t="s">
        <v>51</v>
      </c>
      <c r="S25" s="35" t="n">
        <f>40343.64</f>
        <v>40343.64</v>
      </c>
      <c r="T25" s="32" t="n">
        <f>1661308</f>
        <v>1661308.0</v>
      </c>
      <c r="U25" s="32" t="n">
        <f>851000</f>
        <v>851000.0</v>
      </c>
      <c r="V25" s="32" t="n">
        <f>67337426356</f>
        <v>6.7337426356E10</v>
      </c>
      <c r="W25" s="32" t="n">
        <f>34506300916</f>
        <v>3.4506300916E10</v>
      </c>
      <c r="X25" s="36" t="n">
        <f>22</f>
        <v>22.0</v>
      </c>
    </row>
    <row r="26">
      <c r="A26" s="27" t="s">
        <v>42</v>
      </c>
      <c r="B26" s="27" t="s">
        <v>117</v>
      </c>
      <c r="C26" s="27" t="s">
        <v>118</v>
      </c>
      <c r="D26" s="27" t="s">
        <v>119</v>
      </c>
      <c r="E26" s="28" t="s">
        <v>46</v>
      </c>
      <c r="F26" s="29" t="s">
        <v>46</v>
      </c>
      <c r="G26" s="30" t="s">
        <v>46</v>
      </c>
      <c r="H26" s="31"/>
      <c r="I26" s="31" t="s">
        <v>47</v>
      </c>
      <c r="J26" s="32" t="n">
        <v>10.0</v>
      </c>
      <c r="K26" s="33" t="n">
        <f>2780</f>
        <v>2780.0</v>
      </c>
      <c r="L26" s="34" t="s">
        <v>48</v>
      </c>
      <c r="M26" s="33" t="n">
        <f>2875</f>
        <v>2875.0</v>
      </c>
      <c r="N26" s="34" t="s">
        <v>55</v>
      </c>
      <c r="O26" s="33" t="n">
        <f>2722</f>
        <v>2722.0</v>
      </c>
      <c r="P26" s="34" t="s">
        <v>56</v>
      </c>
      <c r="Q26" s="33" t="n">
        <f>2813.5</f>
        <v>2813.5</v>
      </c>
      <c r="R26" s="34" t="s">
        <v>51</v>
      </c>
      <c r="S26" s="35" t="n">
        <f>2804.75</f>
        <v>2804.75</v>
      </c>
      <c r="T26" s="32" t="n">
        <f>9723070</f>
        <v>9723070.0</v>
      </c>
      <c r="U26" s="32" t="n">
        <f>4003580</f>
        <v>4003580.0</v>
      </c>
      <c r="V26" s="32" t="n">
        <f>27194491690</f>
        <v>2.719449169E10</v>
      </c>
      <c r="W26" s="32" t="n">
        <f>11235277380</f>
        <v>1.123527738E10</v>
      </c>
      <c r="X26" s="36" t="n">
        <f>22</f>
        <v>22.0</v>
      </c>
    </row>
    <row r="27">
      <c r="A27" s="27" t="s">
        <v>42</v>
      </c>
      <c r="B27" s="27" t="s">
        <v>120</v>
      </c>
      <c r="C27" s="27" t="s">
        <v>121</v>
      </c>
      <c r="D27" s="27" t="s">
        <v>122</v>
      </c>
      <c r="E27" s="28" t="s">
        <v>46</v>
      </c>
      <c r="F27" s="29" t="s">
        <v>46</v>
      </c>
      <c r="G27" s="30" t="s">
        <v>46</v>
      </c>
      <c r="H27" s="31"/>
      <c r="I27" s="31" t="s">
        <v>47</v>
      </c>
      <c r="J27" s="32" t="n">
        <v>1.0</v>
      </c>
      <c r="K27" s="33" t="n">
        <f>16315</f>
        <v>16315.0</v>
      </c>
      <c r="L27" s="34" t="s">
        <v>48</v>
      </c>
      <c r="M27" s="33" t="n">
        <f>16950</f>
        <v>16950.0</v>
      </c>
      <c r="N27" s="34" t="s">
        <v>56</v>
      </c>
      <c r="O27" s="33" t="n">
        <f>16315</f>
        <v>16315.0</v>
      </c>
      <c r="P27" s="34" t="s">
        <v>48</v>
      </c>
      <c r="Q27" s="33" t="n">
        <f>16765</f>
        <v>16765.0</v>
      </c>
      <c r="R27" s="34" t="s">
        <v>51</v>
      </c>
      <c r="S27" s="35" t="n">
        <f>16676.25</f>
        <v>16676.25</v>
      </c>
      <c r="T27" s="32" t="n">
        <f>1218</f>
        <v>1218.0</v>
      </c>
      <c r="U27" s="32" t="str">
        <f>"－"</f>
        <v>－</v>
      </c>
      <c r="V27" s="32" t="n">
        <f>20393345</f>
        <v>2.0393345E7</v>
      </c>
      <c r="W27" s="32" t="str">
        <f>"－"</f>
        <v>－</v>
      </c>
      <c r="X27" s="36" t="n">
        <f>20</f>
        <v>20.0</v>
      </c>
    </row>
    <row r="28">
      <c r="A28" s="27" t="s">
        <v>42</v>
      </c>
      <c r="B28" s="27" t="s">
        <v>123</v>
      </c>
      <c r="C28" s="27" t="s">
        <v>124</v>
      </c>
      <c r="D28" s="27" t="s">
        <v>125</v>
      </c>
      <c r="E28" s="28" t="s">
        <v>46</v>
      </c>
      <c r="F28" s="29" t="s">
        <v>46</v>
      </c>
      <c r="G28" s="30" t="s">
        <v>46</v>
      </c>
      <c r="H28" s="31"/>
      <c r="I28" s="31" t="s">
        <v>47</v>
      </c>
      <c r="J28" s="32" t="n">
        <v>10.0</v>
      </c>
      <c r="K28" s="33" t="n">
        <f>342.1</f>
        <v>342.1</v>
      </c>
      <c r="L28" s="34" t="s">
        <v>48</v>
      </c>
      <c r="M28" s="33" t="n">
        <f>356</f>
        <v>356.0</v>
      </c>
      <c r="N28" s="34" t="s">
        <v>56</v>
      </c>
      <c r="O28" s="33" t="n">
        <f>319.1</f>
        <v>319.1</v>
      </c>
      <c r="P28" s="34" t="s">
        <v>55</v>
      </c>
      <c r="Q28" s="33" t="n">
        <f>333</f>
        <v>333.0</v>
      </c>
      <c r="R28" s="34" t="s">
        <v>51</v>
      </c>
      <c r="S28" s="35" t="n">
        <f>335.87</f>
        <v>335.87</v>
      </c>
      <c r="T28" s="32" t="n">
        <f>54108920</f>
        <v>5.410892E7</v>
      </c>
      <c r="U28" s="32" t="n">
        <f>3590</f>
        <v>3590.0</v>
      </c>
      <c r="V28" s="32" t="n">
        <f>18157692771</f>
        <v>1.8157692771E10</v>
      </c>
      <c r="W28" s="32" t="n">
        <f>1226247</f>
        <v>1226247.0</v>
      </c>
      <c r="X28" s="36" t="n">
        <f>22</f>
        <v>22.0</v>
      </c>
    </row>
    <row r="29">
      <c r="A29" s="27" t="s">
        <v>42</v>
      </c>
      <c r="B29" s="27" t="s">
        <v>126</v>
      </c>
      <c r="C29" s="27" t="s">
        <v>127</v>
      </c>
      <c r="D29" s="27" t="s">
        <v>128</v>
      </c>
      <c r="E29" s="28" t="s">
        <v>46</v>
      </c>
      <c r="F29" s="29" t="s">
        <v>46</v>
      </c>
      <c r="G29" s="30" t="s">
        <v>46</v>
      </c>
      <c r="H29" s="31"/>
      <c r="I29" s="31" t="s">
        <v>47</v>
      </c>
      <c r="J29" s="32" t="n">
        <v>1.0</v>
      </c>
      <c r="K29" s="33" t="n">
        <f>127</f>
        <v>127.0</v>
      </c>
      <c r="L29" s="34" t="s">
        <v>48</v>
      </c>
      <c r="M29" s="33" t="n">
        <f>132</f>
        <v>132.0</v>
      </c>
      <c r="N29" s="34" t="s">
        <v>72</v>
      </c>
      <c r="O29" s="33" t="n">
        <f>114</f>
        <v>114.0</v>
      </c>
      <c r="P29" s="34" t="s">
        <v>76</v>
      </c>
      <c r="Q29" s="33" t="n">
        <f>121</f>
        <v>121.0</v>
      </c>
      <c r="R29" s="34" t="s">
        <v>51</v>
      </c>
      <c r="S29" s="35" t="n">
        <f>122.82</f>
        <v>122.82</v>
      </c>
      <c r="T29" s="32" t="n">
        <f>982517275</f>
        <v>9.82517275E8</v>
      </c>
      <c r="U29" s="32" t="n">
        <f>29940896</f>
        <v>2.9940896E7</v>
      </c>
      <c r="V29" s="32" t="n">
        <f>120870844960</f>
        <v>1.2087084496E11</v>
      </c>
      <c r="W29" s="32" t="n">
        <f>3684208350</f>
        <v>3.68420835E9</v>
      </c>
      <c r="X29" s="36" t="n">
        <f>22</f>
        <v>22.0</v>
      </c>
    </row>
    <row r="30">
      <c r="A30" s="27" t="s">
        <v>42</v>
      </c>
      <c r="B30" s="27" t="s">
        <v>129</v>
      </c>
      <c r="C30" s="27" t="s">
        <v>130</v>
      </c>
      <c r="D30" s="27" t="s">
        <v>131</v>
      </c>
      <c r="E30" s="28" t="s">
        <v>46</v>
      </c>
      <c r="F30" s="29" t="s">
        <v>46</v>
      </c>
      <c r="G30" s="30" t="s">
        <v>46</v>
      </c>
      <c r="H30" s="31"/>
      <c r="I30" s="31" t="s">
        <v>47</v>
      </c>
      <c r="J30" s="32" t="n">
        <v>1.0</v>
      </c>
      <c r="K30" s="33" t="n">
        <f>49070</f>
        <v>49070.0</v>
      </c>
      <c r="L30" s="34" t="s">
        <v>48</v>
      </c>
      <c r="M30" s="33" t="n">
        <f>54300</f>
        <v>54300.0</v>
      </c>
      <c r="N30" s="34" t="s">
        <v>76</v>
      </c>
      <c r="O30" s="33" t="n">
        <f>47510</f>
        <v>47510.0</v>
      </c>
      <c r="P30" s="34" t="s">
        <v>72</v>
      </c>
      <c r="Q30" s="33" t="n">
        <f>51010</f>
        <v>51010.0</v>
      </c>
      <c r="R30" s="34" t="s">
        <v>51</v>
      </c>
      <c r="S30" s="35" t="n">
        <f>50469.55</f>
        <v>50469.55</v>
      </c>
      <c r="T30" s="32" t="n">
        <f>369649</f>
        <v>369649.0</v>
      </c>
      <c r="U30" s="32" t="n">
        <f>1</f>
        <v>1.0</v>
      </c>
      <c r="V30" s="32" t="n">
        <f>18671025120</f>
        <v>1.867102512E10</v>
      </c>
      <c r="W30" s="32" t="n">
        <f>50200</f>
        <v>50200.0</v>
      </c>
      <c r="X30" s="36" t="n">
        <f>22</f>
        <v>22.0</v>
      </c>
    </row>
    <row r="31">
      <c r="A31" s="27" t="s">
        <v>42</v>
      </c>
      <c r="B31" s="27" t="s">
        <v>132</v>
      </c>
      <c r="C31" s="27" t="s">
        <v>133</v>
      </c>
      <c r="D31" s="27" t="s">
        <v>134</v>
      </c>
      <c r="E31" s="28" t="s">
        <v>46</v>
      </c>
      <c r="F31" s="29" t="s">
        <v>46</v>
      </c>
      <c r="G31" s="30" t="s">
        <v>46</v>
      </c>
      <c r="H31" s="31"/>
      <c r="I31" s="31" t="s">
        <v>47</v>
      </c>
      <c r="J31" s="32" t="n">
        <v>10.0</v>
      </c>
      <c r="K31" s="33" t="n">
        <f>312.6</f>
        <v>312.6</v>
      </c>
      <c r="L31" s="34" t="s">
        <v>48</v>
      </c>
      <c r="M31" s="33" t="n">
        <f>322.3</f>
        <v>322.3</v>
      </c>
      <c r="N31" s="34" t="s">
        <v>72</v>
      </c>
      <c r="O31" s="33" t="n">
        <f>280.6</f>
        <v>280.6</v>
      </c>
      <c r="P31" s="34" t="s">
        <v>76</v>
      </c>
      <c r="Q31" s="33" t="n">
        <f>296.5</f>
        <v>296.5</v>
      </c>
      <c r="R31" s="34" t="s">
        <v>51</v>
      </c>
      <c r="S31" s="35" t="n">
        <f>301.47</f>
        <v>301.47</v>
      </c>
      <c r="T31" s="32" t="n">
        <f>1035550600</f>
        <v>1.0355506E9</v>
      </c>
      <c r="U31" s="32" t="n">
        <f>9922500</f>
        <v>9922500.0</v>
      </c>
      <c r="V31" s="32" t="n">
        <f>312477126090</f>
        <v>3.1247712609E11</v>
      </c>
      <c r="W31" s="32" t="n">
        <f>3000753370</f>
        <v>3.00075337E9</v>
      </c>
      <c r="X31" s="36" t="n">
        <f>22</f>
        <v>22.0</v>
      </c>
    </row>
    <row r="32">
      <c r="A32" s="27" t="s">
        <v>42</v>
      </c>
      <c r="B32" s="27" t="s">
        <v>135</v>
      </c>
      <c r="C32" s="27" t="s">
        <v>136</v>
      </c>
      <c r="D32" s="27" t="s">
        <v>137</v>
      </c>
      <c r="E32" s="28" t="s">
        <v>46</v>
      </c>
      <c r="F32" s="29" t="s">
        <v>46</v>
      </c>
      <c r="G32" s="30" t="s">
        <v>46</v>
      </c>
      <c r="H32" s="31"/>
      <c r="I32" s="31" t="s">
        <v>47</v>
      </c>
      <c r="J32" s="32" t="n">
        <v>1.0</v>
      </c>
      <c r="K32" s="33" t="n">
        <f>25145</f>
        <v>25145.0</v>
      </c>
      <c r="L32" s="34" t="s">
        <v>48</v>
      </c>
      <c r="M32" s="33" t="n">
        <f>25885</f>
        <v>25885.0</v>
      </c>
      <c r="N32" s="34" t="s">
        <v>55</v>
      </c>
      <c r="O32" s="33" t="n">
        <f>24490</f>
        <v>24490.0</v>
      </c>
      <c r="P32" s="34" t="s">
        <v>50</v>
      </c>
      <c r="Q32" s="33" t="n">
        <f>25250</f>
        <v>25250.0</v>
      </c>
      <c r="R32" s="34" t="s">
        <v>51</v>
      </c>
      <c r="S32" s="35" t="n">
        <f>25238.41</f>
        <v>25238.41</v>
      </c>
      <c r="T32" s="32" t="n">
        <f>10820</f>
        <v>10820.0</v>
      </c>
      <c r="U32" s="32" t="n">
        <f>389</f>
        <v>389.0</v>
      </c>
      <c r="V32" s="32" t="n">
        <f>272825620</f>
        <v>2.7282562E8</v>
      </c>
      <c r="W32" s="32" t="n">
        <f>9969175</f>
        <v>9969175.0</v>
      </c>
      <c r="X32" s="36" t="n">
        <f>22</f>
        <v>22.0</v>
      </c>
    </row>
    <row r="33">
      <c r="A33" s="27" t="s">
        <v>42</v>
      </c>
      <c r="B33" s="27" t="s">
        <v>138</v>
      </c>
      <c r="C33" s="27" t="s">
        <v>139</v>
      </c>
      <c r="D33" s="27" t="s">
        <v>140</v>
      </c>
      <c r="E33" s="28" t="s">
        <v>46</v>
      </c>
      <c r="F33" s="29" t="s">
        <v>46</v>
      </c>
      <c r="G33" s="30" t="s">
        <v>46</v>
      </c>
      <c r="H33" s="31"/>
      <c r="I33" s="31" t="s">
        <v>47</v>
      </c>
      <c r="J33" s="32" t="n">
        <v>1.0</v>
      </c>
      <c r="K33" s="33" t="n">
        <f>40310</f>
        <v>40310.0</v>
      </c>
      <c r="L33" s="34" t="s">
        <v>48</v>
      </c>
      <c r="M33" s="33" t="n">
        <f>44470</f>
        <v>44470.0</v>
      </c>
      <c r="N33" s="34" t="s">
        <v>76</v>
      </c>
      <c r="O33" s="33" t="n">
        <f>38960</f>
        <v>38960.0</v>
      </c>
      <c r="P33" s="34" t="s">
        <v>56</v>
      </c>
      <c r="Q33" s="33" t="n">
        <f>41800</f>
        <v>41800.0</v>
      </c>
      <c r="R33" s="34" t="s">
        <v>51</v>
      </c>
      <c r="S33" s="35" t="n">
        <f>41403.18</f>
        <v>41403.18</v>
      </c>
      <c r="T33" s="32" t="n">
        <f>1386913</f>
        <v>1386913.0</v>
      </c>
      <c r="U33" s="32" t="n">
        <f>19088</f>
        <v>19088.0</v>
      </c>
      <c r="V33" s="32" t="n">
        <f>57412987783</f>
        <v>5.7412987783E10</v>
      </c>
      <c r="W33" s="32" t="n">
        <f>790345333</f>
        <v>7.90345333E8</v>
      </c>
      <c r="X33" s="36" t="n">
        <f>22</f>
        <v>22.0</v>
      </c>
    </row>
    <row r="34">
      <c r="A34" s="27" t="s">
        <v>42</v>
      </c>
      <c r="B34" s="27" t="s">
        <v>141</v>
      </c>
      <c r="C34" s="27" t="s">
        <v>142</v>
      </c>
      <c r="D34" s="27" t="s">
        <v>143</v>
      </c>
      <c r="E34" s="28" t="s">
        <v>46</v>
      </c>
      <c r="F34" s="29" t="s">
        <v>46</v>
      </c>
      <c r="G34" s="30" t="s">
        <v>46</v>
      </c>
      <c r="H34" s="31"/>
      <c r="I34" s="31" t="s">
        <v>47</v>
      </c>
      <c r="J34" s="32" t="n">
        <v>1.0</v>
      </c>
      <c r="K34" s="33" t="n">
        <f>320</f>
        <v>320.0</v>
      </c>
      <c r="L34" s="34" t="s">
        <v>48</v>
      </c>
      <c r="M34" s="33" t="n">
        <f>331</f>
        <v>331.0</v>
      </c>
      <c r="N34" s="34" t="s">
        <v>72</v>
      </c>
      <c r="O34" s="33" t="n">
        <f>287</f>
        <v>287.0</v>
      </c>
      <c r="P34" s="34" t="s">
        <v>76</v>
      </c>
      <c r="Q34" s="33" t="n">
        <f>304</f>
        <v>304.0</v>
      </c>
      <c r="R34" s="34" t="s">
        <v>51</v>
      </c>
      <c r="S34" s="35" t="n">
        <f>309.73</f>
        <v>309.73</v>
      </c>
      <c r="T34" s="32" t="n">
        <f>43440844</f>
        <v>4.3440844E7</v>
      </c>
      <c r="U34" s="32" t="n">
        <f>758060</f>
        <v>758060.0</v>
      </c>
      <c r="V34" s="32" t="n">
        <f>13493365212</f>
        <v>1.3493365212E10</v>
      </c>
      <c r="W34" s="32" t="n">
        <f>234516817</f>
        <v>2.34516817E8</v>
      </c>
      <c r="X34" s="36" t="n">
        <f>22</f>
        <v>22.0</v>
      </c>
    </row>
    <row r="35">
      <c r="A35" s="27" t="s">
        <v>42</v>
      </c>
      <c r="B35" s="27" t="s">
        <v>144</v>
      </c>
      <c r="C35" s="27" t="s">
        <v>145</v>
      </c>
      <c r="D35" s="27" t="s">
        <v>146</v>
      </c>
      <c r="E35" s="28" t="s">
        <v>46</v>
      </c>
      <c r="F35" s="29" t="s">
        <v>46</v>
      </c>
      <c r="G35" s="30" t="s">
        <v>46</v>
      </c>
      <c r="H35" s="31"/>
      <c r="I35" s="31" t="s">
        <v>47</v>
      </c>
      <c r="J35" s="32" t="n">
        <v>1.0</v>
      </c>
      <c r="K35" s="33" t="n">
        <f>34480</f>
        <v>34480.0</v>
      </c>
      <c r="L35" s="34" t="s">
        <v>48</v>
      </c>
      <c r="M35" s="33" t="n">
        <f>36760</f>
        <v>36760.0</v>
      </c>
      <c r="N35" s="34" t="s">
        <v>55</v>
      </c>
      <c r="O35" s="33" t="n">
        <f>32870</f>
        <v>32870.0</v>
      </c>
      <c r="P35" s="34" t="s">
        <v>56</v>
      </c>
      <c r="Q35" s="33" t="n">
        <f>35250</f>
        <v>35250.0</v>
      </c>
      <c r="R35" s="34" t="s">
        <v>51</v>
      </c>
      <c r="S35" s="35" t="n">
        <f>34935.91</f>
        <v>34935.91</v>
      </c>
      <c r="T35" s="32" t="n">
        <f>205269</f>
        <v>205269.0</v>
      </c>
      <c r="U35" s="32" t="n">
        <f>4269</f>
        <v>4269.0</v>
      </c>
      <c r="V35" s="32" t="n">
        <f>7197344550</f>
        <v>7.19734455E9</v>
      </c>
      <c r="W35" s="32" t="n">
        <f>149204910</f>
        <v>1.4920491E8</v>
      </c>
      <c r="X35" s="36" t="n">
        <f>22</f>
        <v>22.0</v>
      </c>
    </row>
    <row r="36">
      <c r="A36" s="27" t="s">
        <v>42</v>
      </c>
      <c r="B36" s="27" t="s">
        <v>147</v>
      </c>
      <c r="C36" s="27" t="s">
        <v>148</v>
      </c>
      <c r="D36" s="27" t="s">
        <v>149</v>
      </c>
      <c r="E36" s="28" t="s">
        <v>46</v>
      </c>
      <c r="F36" s="29" t="s">
        <v>46</v>
      </c>
      <c r="G36" s="30" t="s">
        <v>46</v>
      </c>
      <c r="H36" s="31"/>
      <c r="I36" s="31" t="s">
        <v>47</v>
      </c>
      <c r="J36" s="32" t="n">
        <v>1.0</v>
      </c>
      <c r="K36" s="33" t="n">
        <f>493</f>
        <v>493.0</v>
      </c>
      <c r="L36" s="34" t="s">
        <v>48</v>
      </c>
      <c r="M36" s="33" t="n">
        <f>514</f>
        <v>514.0</v>
      </c>
      <c r="N36" s="34" t="s">
        <v>56</v>
      </c>
      <c r="O36" s="33" t="n">
        <f>460</f>
        <v>460.0</v>
      </c>
      <c r="P36" s="34" t="s">
        <v>55</v>
      </c>
      <c r="Q36" s="33" t="n">
        <f>480</f>
        <v>480.0</v>
      </c>
      <c r="R36" s="34" t="s">
        <v>51</v>
      </c>
      <c r="S36" s="35" t="n">
        <f>484.5</f>
        <v>484.5</v>
      </c>
      <c r="T36" s="32" t="n">
        <f>3325146</f>
        <v>3325146.0</v>
      </c>
      <c r="U36" s="32" t="n">
        <f>2579</f>
        <v>2579.0</v>
      </c>
      <c r="V36" s="32" t="n">
        <f>1610882960</f>
        <v>1.61088296E9</v>
      </c>
      <c r="W36" s="32" t="n">
        <f>1259818</f>
        <v>1259818.0</v>
      </c>
      <c r="X36" s="36" t="n">
        <f>22</f>
        <v>22.0</v>
      </c>
    </row>
    <row r="37">
      <c r="A37" s="27" t="s">
        <v>42</v>
      </c>
      <c r="B37" s="27" t="s">
        <v>150</v>
      </c>
      <c r="C37" s="27" t="s">
        <v>151</v>
      </c>
      <c r="D37" s="27" t="s">
        <v>152</v>
      </c>
      <c r="E37" s="28" t="s">
        <v>46</v>
      </c>
      <c r="F37" s="29" t="s">
        <v>46</v>
      </c>
      <c r="G37" s="30" t="s">
        <v>46</v>
      </c>
      <c r="H37" s="31"/>
      <c r="I37" s="31" t="s">
        <v>47</v>
      </c>
      <c r="J37" s="32" t="n">
        <v>1.0</v>
      </c>
      <c r="K37" s="33" t="n">
        <f>38600</f>
        <v>38600.0</v>
      </c>
      <c r="L37" s="34" t="s">
        <v>48</v>
      </c>
      <c r="M37" s="33" t="n">
        <f>40620</f>
        <v>40620.0</v>
      </c>
      <c r="N37" s="34" t="s">
        <v>76</v>
      </c>
      <c r="O37" s="33" t="n">
        <f>38020</f>
        <v>38020.0</v>
      </c>
      <c r="P37" s="34" t="s">
        <v>72</v>
      </c>
      <c r="Q37" s="33" t="n">
        <f>39420</f>
        <v>39420.0</v>
      </c>
      <c r="R37" s="34" t="s">
        <v>51</v>
      </c>
      <c r="S37" s="35" t="n">
        <f>39206.36</f>
        <v>39206.36</v>
      </c>
      <c r="T37" s="32" t="n">
        <f>80815</f>
        <v>80815.0</v>
      </c>
      <c r="U37" s="32" t="n">
        <f>31625</f>
        <v>31625.0</v>
      </c>
      <c r="V37" s="32" t="n">
        <f>3188573848</f>
        <v>3.188573848E9</v>
      </c>
      <c r="W37" s="32" t="n">
        <f>1247350128</f>
        <v>1.247350128E9</v>
      </c>
      <c r="X37" s="36" t="n">
        <f>22</f>
        <v>22.0</v>
      </c>
    </row>
    <row r="38">
      <c r="A38" s="27" t="s">
        <v>42</v>
      </c>
      <c r="B38" s="27" t="s">
        <v>153</v>
      </c>
      <c r="C38" s="27" t="s">
        <v>154</v>
      </c>
      <c r="D38" s="27" t="s">
        <v>155</v>
      </c>
      <c r="E38" s="28" t="s">
        <v>46</v>
      </c>
      <c r="F38" s="29" t="s">
        <v>46</v>
      </c>
      <c r="G38" s="30" t="s">
        <v>46</v>
      </c>
      <c r="H38" s="31"/>
      <c r="I38" s="31" t="s">
        <v>47</v>
      </c>
      <c r="J38" s="32" t="n">
        <v>1.0</v>
      </c>
      <c r="K38" s="33" t="n">
        <f>39010</f>
        <v>39010.0</v>
      </c>
      <c r="L38" s="34" t="s">
        <v>48</v>
      </c>
      <c r="M38" s="33" t="n">
        <f>40670</f>
        <v>40670.0</v>
      </c>
      <c r="N38" s="34" t="s">
        <v>76</v>
      </c>
      <c r="O38" s="33" t="n">
        <f>38150</f>
        <v>38150.0</v>
      </c>
      <c r="P38" s="34" t="s">
        <v>60</v>
      </c>
      <c r="Q38" s="33" t="n">
        <f>39540</f>
        <v>39540.0</v>
      </c>
      <c r="R38" s="34" t="s">
        <v>51</v>
      </c>
      <c r="S38" s="35" t="n">
        <f>39330.91</f>
        <v>39330.91</v>
      </c>
      <c r="T38" s="32" t="n">
        <f>144852</f>
        <v>144852.0</v>
      </c>
      <c r="U38" s="32" t="n">
        <f>32110</f>
        <v>32110.0</v>
      </c>
      <c r="V38" s="32" t="n">
        <f>5650576880</f>
        <v>5.65057688E9</v>
      </c>
      <c r="W38" s="32" t="n">
        <f>1238678890</f>
        <v>1.23867889E9</v>
      </c>
      <c r="X38" s="36" t="n">
        <f>22</f>
        <v>22.0</v>
      </c>
    </row>
    <row r="39">
      <c r="A39" s="27" t="s">
        <v>42</v>
      </c>
      <c r="B39" s="27" t="s">
        <v>156</v>
      </c>
      <c r="C39" s="27" t="s">
        <v>157</v>
      </c>
      <c r="D39" s="27" t="s">
        <v>158</v>
      </c>
      <c r="E39" s="28" t="s">
        <v>46</v>
      </c>
      <c r="F39" s="29" t="s">
        <v>46</v>
      </c>
      <c r="G39" s="30" t="s">
        <v>46</v>
      </c>
      <c r="H39" s="31"/>
      <c r="I39" s="31" t="s">
        <v>47</v>
      </c>
      <c r="J39" s="32" t="n">
        <v>10.0</v>
      </c>
      <c r="K39" s="33" t="n">
        <f>1775.5</f>
        <v>1775.5</v>
      </c>
      <c r="L39" s="34" t="s">
        <v>48</v>
      </c>
      <c r="M39" s="33" t="n">
        <f>1775.5</f>
        <v>1775.5</v>
      </c>
      <c r="N39" s="34" t="s">
        <v>48</v>
      </c>
      <c r="O39" s="33" t="n">
        <f>1720.5</f>
        <v>1720.5</v>
      </c>
      <c r="P39" s="34" t="s">
        <v>56</v>
      </c>
      <c r="Q39" s="33" t="n">
        <f>1734</f>
        <v>1734.0</v>
      </c>
      <c r="R39" s="34" t="s">
        <v>51</v>
      </c>
      <c r="S39" s="35" t="n">
        <f>1743.25</f>
        <v>1743.25</v>
      </c>
      <c r="T39" s="32" t="n">
        <f>4154670</f>
        <v>4154670.0</v>
      </c>
      <c r="U39" s="32" t="n">
        <f>2728480</f>
        <v>2728480.0</v>
      </c>
      <c r="V39" s="32" t="n">
        <f>7254473752</f>
        <v>7.254473752E9</v>
      </c>
      <c r="W39" s="32" t="n">
        <f>4756253982</f>
        <v>4.756253982E9</v>
      </c>
      <c r="X39" s="36" t="n">
        <f>22</f>
        <v>22.0</v>
      </c>
    </row>
    <row r="40">
      <c r="A40" s="27" t="s">
        <v>42</v>
      </c>
      <c r="B40" s="27" t="s">
        <v>159</v>
      </c>
      <c r="C40" s="27" t="s">
        <v>160</v>
      </c>
      <c r="D40" s="27" t="s">
        <v>161</v>
      </c>
      <c r="E40" s="28" t="s">
        <v>46</v>
      </c>
      <c r="F40" s="29" t="s">
        <v>46</v>
      </c>
      <c r="G40" s="30" t="s">
        <v>46</v>
      </c>
      <c r="H40" s="31"/>
      <c r="I40" s="31" t="s">
        <v>47</v>
      </c>
      <c r="J40" s="32" t="n">
        <v>10.0</v>
      </c>
      <c r="K40" s="33" t="n">
        <f>2239.5</f>
        <v>2239.5</v>
      </c>
      <c r="L40" s="34" t="s">
        <v>48</v>
      </c>
      <c r="M40" s="33" t="n">
        <f>2269.5</f>
        <v>2269.5</v>
      </c>
      <c r="N40" s="34" t="s">
        <v>64</v>
      </c>
      <c r="O40" s="33" t="n">
        <f>2130.5</f>
        <v>2130.5</v>
      </c>
      <c r="P40" s="34" t="s">
        <v>50</v>
      </c>
      <c r="Q40" s="33" t="n">
        <f>2216</f>
        <v>2216.0</v>
      </c>
      <c r="R40" s="34" t="s">
        <v>51</v>
      </c>
      <c r="S40" s="35" t="n">
        <f>2212.93</f>
        <v>2212.93</v>
      </c>
      <c r="T40" s="32" t="n">
        <f>35130</f>
        <v>35130.0</v>
      </c>
      <c r="U40" s="32" t="n">
        <f>150</f>
        <v>150.0</v>
      </c>
      <c r="V40" s="32" t="n">
        <f>78168925</f>
        <v>7.8168925E7</v>
      </c>
      <c r="W40" s="32" t="n">
        <f>327560</f>
        <v>327560.0</v>
      </c>
      <c r="X40" s="36" t="n">
        <f>21</f>
        <v>21.0</v>
      </c>
    </row>
    <row r="41">
      <c r="A41" s="27" t="s">
        <v>42</v>
      </c>
      <c r="B41" s="27" t="s">
        <v>162</v>
      </c>
      <c r="C41" s="27" t="s">
        <v>163</v>
      </c>
      <c r="D41" s="27" t="s">
        <v>164</v>
      </c>
      <c r="E41" s="28" t="s">
        <v>46</v>
      </c>
      <c r="F41" s="29" t="s">
        <v>46</v>
      </c>
      <c r="G41" s="30" t="s">
        <v>46</v>
      </c>
      <c r="H41" s="31"/>
      <c r="I41" s="31" t="s">
        <v>47</v>
      </c>
      <c r="J41" s="32" t="n">
        <v>1.0</v>
      </c>
      <c r="K41" s="33" t="n">
        <f>1929</f>
        <v>1929.0</v>
      </c>
      <c r="L41" s="34" t="s">
        <v>48</v>
      </c>
      <c r="M41" s="33" t="n">
        <f>2002</f>
        <v>2002.0</v>
      </c>
      <c r="N41" s="34" t="s">
        <v>51</v>
      </c>
      <c r="O41" s="33" t="n">
        <f>1920</f>
        <v>1920.0</v>
      </c>
      <c r="P41" s="34" t="s">
        <v>83</v>
      </c>
      <c r="Q41" s="33" t="n">
        <f>2001</f>
        <v>2001.0</v>
      </c>
      <c r="R41" s="34" t="s">
        <v>51</v>
      </c>
      <c r="S41" s="35" t="n">
        <f>1969.36</f>
        <v>1969.36</v>
      </c>
      <c r="T41" s="32" t="n">
        <f>28411</f>
        <v>28411.0</v>
      </c>
      <c r="U41" s="32" t="str">
        <f>"－"</f>
        <v>－</v>
      </c>
      <c r="V41" s="32" t="n">
        <f>56401430</f>
        <v>5.640143E7</v>
      </c>
      <c r="W41" s="32" t="str">
        <f>"－"</f>
        <v>－</v>
      </c>
      <c r="X41" s="36" t="n">
        <f>22</f>
        <v>22.0</v>
      </c>
    </row>
    <row r="42">
      <c r="A42" s="27" t="s">
        <v>42</v>
      </c>
      <c r="B42" s="27" t="s">
        <v>165</v>
      </c>
      <c r="C42" s="27" t="s">
        <v>166</v>
      </c>
      <c r="D42" s="27" t="s">
        <v>167</v>
      </c>
      <c r="E42" s="28" t="s">
        <v>46</v>
      </c>
      <c r="F42" s="29" t="s">
        <v>46</v>
      </c>
      <c r="G42" s="30" t="s">
        <v>46</v>
      </c>
      <c r="H42" s="31"/>
      <c r="I42" s="31" t="s">
        <v>47</v>
      </c>
      <c r="J42" s="32" t="n">
        <v>1.0</v>
      </c>
      <c r="K42" s="33" t="n">
        <f>2540</f>
        <v>2540.0</v>
      </c>
      <c r="L42" s="34" t="s">
        <v>48</v>
      </c>
      <c r="M42" s="33" t="n">
        <f>2580</f>
        <v>2580.0</v>
      </c>
      <c r="N42" s="34" t="s">
        <v>72</v>
      </c>
      <c r="O42" s="33" t="n">
        <f>2408</f>
        <v>2408.0</v>
      </c>
      <c r="P42" s="34" t="s">
        <v>76</v>
      </c>
      <c r="Q42" s="33" t="n">
        <f>2478</f>
        <v>2478.0</v>
      </c>
      <c r="R42" s="34" t="s">
        <v>51</v>
      </c>
      <c r="S42" s="35" t="n">
        <f>2496.5</f>
        <v>2496.5</v>
      </c>
      <c r="T42" s="32" t="n">
        <f>3706558</f>
        <v>3706558.0</v>
      </c>
      <c r="U42" s="32" t="n">
        <f>950190</f>
        <v>950190.0</v>
      </c>
      <c r="V42" s="32" t="n">
        <f>9252839220</f>
        <v>9.25283922E9</v>
      </c>
      <c r="W42" s="32" t="n">
        <f>2365194274</f>
        <v>2.365194274E9</v>
      </c>
      <c r="X42" s="36" t="n">
        <f>22</f>
        <v>22.0</v>
      </c>
    </row>
    <row r="43">
      <c r="A43" s="27" t="s">
        <v>42</v>
      </c>
      <c r="B43" s="27" t="s">
        <v>168</v>
      </c>
      <c r="C43" s="27" t="s">
        <v>169</v>
      </c>
      <c r="D43" s="27" t="s">
        <v>170</v>
      </c>
      <c r="E43" s="28" t="s">
        <v>46</v>
      </c>
      <c r="F43" s="29" t="s">
        <v>46</v>
      </c>
      <c r="G43" s="30" t="s">
        <v>46</v>
      </c>
      <c r="H43" s="31"/>
      <c r="I43" s="31" t="s">
        <v>47</v>
      </c>
      <c r="J43" s="32" t="n">
        <v>1.0</v>
      </c>
      <c r="K43" s="33" t="n">
        <f>3045</f>
        <v>3045.0</v>
      </c>
      <c r="L43" s="34" t="s">
        <v>48</v>
      </c>
      <c r="M43" s="33" t="n">
        <f>3100</f>
        <v>3100.0</v>
      </c>
      <c r="N43" s="34" t="s">
        <v>60</v>
      </c>
      <c r="O43" s="33" t="n">
        <f>2938</f>
        <v>2938.0</v>
      </c>
      <c r="P43" s="34" t="s">
        <v>55</v>
      </c>
      <c r="Q43" s="33" t="n">
        <f>2991</f>
        <v>2991.0</v>
      </c>
      <c r="R43" s="34" t="s">
        <v>51</v>
      </c>
      <c r="S43" s="35" t="n">
        <f>3013.55</f>
        <v>3013.55</v>
      </c>
      <c r="T43" s="32" t="n">
        <f>939117</f>
        <v>939117.0</v>
      </c>
      <c r="U43" s="32" t="n">
        <f>763743</f>
        <v>763743.0</v>
      </c>
      <c r="V43" s="32" t="n">
        <f>2837781344</f>
        <v>2.837781344E9</v>
      </c>
      <c r="W43" s="32" t="n">
        <f>2310707477</f>
        <v>2.310707477E9</v>
      </c>
      <c r="X43" s="36" t="n">
        <f>22</f>
        <v>22.0</v>
      </c>
    </row>
    <row r="44">
      <c r="A44" s="27" t="s">
        <v>42</v>
      </c>
      <c r="B44" s="27" t="s">
        <v>171</v>
      </c>
      <c r="C44" s="27" t="s">
        <v>172</v>
      </c>
      <c r="D44" s="27" t="s">
        <v>173</v>
      </c>
      <c r="E44" s="28" t="s">
        <v>46</v>
      </c>
      <c r="F44" s="29" t="s">
        <v>46</v>
      </c>
      <c r="G44" s="30" t="s">
        <v>46</v>
      </c>
      <c r="H44" s="31"/>
      <c r="I44" s="31" t="s">
        <v>47</v>
      </c>
      <c r="J44" s="32" t="n">
        <v>1.0</v>
      </c>
      <c r="K44" s="33" t="n">
        <f>30920</f>
        <v>30920.0</v>
      </c>
      <c r="L44" s="34" t="s">
        <v>48</v>
      </c>
      <c r="M44" s="33" t="n">
        <f>34140</f>
        <v>34140.0</v>
      </c>
      <c r="N44" s="34" t="s">
        <v>76</v>
      </c>
      <c r="O44" s="33" t="n">
        <f>29895</f>
        <v>29895.0</v>
      </c>
      <c r="P44" s="34" t="s">
        <v>72</v>
      </c>
      <c r="Q44" s="33" t="n">
        <f>32150</f>
        <v>32150.0</v>
      </c>
      <c r="R44" s="34" t="s">
        <v>51</v>
      </c>
      <c r="S44" s="35" t="n">
        <f>31779.09</f>
        <v>31779.09</v>
      </c>
      <c r="T44" s="32" t="n">
        <f>7540930</f>
        <v>7540930.0</v>
      </c>
      <c r="U44" s="32" t="n">
        <f>102652</f>
        <v>102652.0</v>
      </c>
      <c r="V44" s="32" t="n">
        <f>239883165260</f>
        <v>2.3988316526E11</v>
      </c>
      <c r="W44" s="32" t="n">
        <f>3267437380</f>
        <v>3.26743738E9</v>
      </c>
      <c r="X44" s="36" t="n">
        <f>22</f>
        <v>22.0</v>
      </c>
    </row>
    <row r="45">
      <c r="A45" s="27" t="s">
        <v>42</v>
      </c>
      <c r="B45" s="27" t="s">
        <v>174</v>
      </c>
      <c r="C45" s="27" t="s">
        <v>175</v>
      </c>
      <c r="D45" s="27" t="s">
        <v>176</v>
      </c>
      <c r="E45" s="28" t="s">
        <v>46</v>
      </c>
      <c r="F45" s="29" t="s">
        <v>46</v>
      </c>
      <c r="G45" s="30" t="s">
        <v>46</v>
      </c>
      <c r="H45" s="31"/>
      <c r="I45" s="31" t="s">
        <v>47</v>
      </c>
      <c r="J45" s="32" t="n">
        <v>1.0</v>
      </c>
      <c r="K45" s="33" t="n">
        <f>514</f>
        <v>514.0</v>
      </c>
      <c r="L45" s="34" t="s">
        <v>48</v>
      </c>
      <c r="M45" s="33" t="n">
        <f>529</f>
        <v>529.0</v>
      </c>
      <c r="N45" s="34" t="s">
        <v>72</v>
      </c>
      <c r="O45" s="33" t="n">
        <f>460</f>
        <v>460.0</v>
      </c>
      <c r="P45" s="34" t="s">
        <v>76</v>
      </c>
      <c r="Q45" s="33" t="n">
        <f>487</f>
        <v>487.0</v>
      </c>
      <c r="R45" s="34" t="s">
        <v>51</v>
      </c>
      <c r="S45" s="35" t="n">
        <f>494.77</f>
        <v>494.77</v>
      </c>
      <c r="T45" s="32" t="n">
        <f>289993912</f>
        <v>2.89993912E8</v>
      </c>
      <c r="U45" s="32" t="n">
        <f>2835124</f>
        <v>2835124.0</v>
      </c>
      <c r="V45" s="32" t="n">
        <f>143493451588</f>
        <v>1.43493451588E11</v>
      </c>
      <c r="W45" s="32" t="n">
        <f>1414395419</f>
        <v>1.414395419E9</v>
      </c>
      <c r="X45" s="36" t="n">
        <f>22</f>
        <v>22.0</v>
      </c>
    </row>
    <row r="46">
      <c r="A46" s="27" t="s">
        <v>42</v>
      </c>
      <c r="B46" s="27" t="s">
        <v>177</v>
      </c>
      <c r="C46" s="27" t="s">
        <v>178</v>
      </c>
      <c r="D46" s="27" t="s">
        <v>179</v>
      </c>
      <c r="E46" s="28" t="s">
        <v>46</v>
      </c>
      <c r="F46" s="29" t="s">
        <v>46</v>
      </c>
      <c r="G46" s="30" t="s">
        <v>46</v>
      </c>
      <c r="H46" s="31" t="s">
        <v>180</v>
      </c>
      <c r="I46" s="31"/>
      <c r="J46" s="32" t="n">
        <v>1.0</v>
      </c>
      <c r="K46" s="33" t="n">
        <f>28375</f>
        <v>28375.0</v>
      </c>
      <c r="L46" s="34" t="s">
        <v>48</v>
      </c>
      <c r="M46" s="33" t="n">
        <f>30700</f>
        <v>30700.0</v>
      </c>
      <c r="N46" s="34" t="s">
        <v>181</v>
      </c>
      <c r="O46" s="33" t="n">
        <f>28375</f>
        <v>28375.0</v>
      </c>
      <c r="P46" s="34" t="s">
        <v>48</v>
      </c>
      <c r="Q46" s="33" t="n">
        <f>29000</f>
        <v>29000.0</v>
      </c>
      <c r="R46" s="34" t="s">
        <v>51</v>
      </c>
      <c r="S46" s="35" t="n">
        <f>28991.36</f>
        <v>28991.36</v>
      </c>
      <c r="T46" s="32" t="n">
        <f>4315</f>
        <v>4315.0</v>
      </c>
      <c r="U46" s="32" t="n">
        <f>265</f>
        <v>265.0</v>
      </c>
      <c r="V46" s="32" t="n">
        <f>126238895</f>
        <v>1.26238895E8</v>
      </c>
      <c r="W46" s="32" t="n">
        <f>7683520</f>
        <v>7683520.0</v>
      </c>
      <c r="X46" s="36" t="n">
        <f>22</f>
        <v>22.0</v>
      </c>
    </row>
    <row r="47">
      <c r="A47" s="27" t="s">
        <v>42</v>
      </c>
      <c r="B47" s="27" t="s">
        <v>182</v>
      </c>
      <c r="C47" s="27" t="s">
        <v>183</v>
      </c>
      <c r="D47" s="27" t="s">
        <v>184</v>
      </c>
      <c r="E47" s="28" t="s">
        <v>46</v>
      </c>
      <c r="F47" s="29" t="s">
        <v>46</v>
      </c>
      <c r="G47" s="30" t="s">
        <v>46</v>
      </c>
      <c r="H47" s="31" t="s">
        <v>180</v>
      </c>
      <c r="I47" s="31"/>
      <c r="J47" s="32" t="n">
        <v>1.0</v>
      </c>
      <c r="K47" s="33" t="n">
        <f>2843</f>
        <v>2843.0</v>
      </c>
      <c r="L47" s="34" t="s">
        <v>48</v>
      </c>
      <c r="M47" s="33" t="n">
        <f>3030</f>
        <v>3030.0</v>
      </c>
      <c r="N47" s="34" t="s">
        <v>49</v>
      </c>
      <c r="O47" s="33" t="n">
        <f>2768</f>
        <v>2768.0</v>
      </c>
      <c r="P47" s="34" t="s">
        <v>55</v>
      </c>
      <c r="Q47" s="33" t="n">
        <f>2881</f>
        <v>2881.0</v>
      </c>
      <c r="R47" s="34" t="s">
        <v>51</v>
      </c>
      <c r="S47" s="35" t="n">
        <f>2859.05</f>
        <v>2859.05</v>
      </c>
      <c r="T47" s="32" t="n">
        <f>14804</f>
        <v>14804.0</v>
      </c>
      <c r="U47" s="32" t="n">
        <f>1</f>
        <v>1.0</v>
      </c>
      <c r="V47" s="32" t="n">
        <f>42406408</f>
        <v>4.2406408E7</v>
      </c>
      <c r="W47" s="32" t="n">
        <f>2836</f>
        <v>2836.0</v>
      </c>
      <c r="X47" s="36" t="n">
        <f>22</f>
        <v>22.0</v>
      </c>
    </row>
    <row r="48">
      <c r="A48" s="27" t="s">
        <v>42</v>
      </c>
      <c r="B48" s="27" t="s">
        <v>185</v>
      </c>
      <c r="C48" s="27" t="s">
        <v>186</v>
      </c>
      <c r="D48" s="27" t="s">
        <v>187</v>
      </c>
      <c r="E48" s="28" t="s">
        <v>46</v>
      </c>
      <c r="F48" s="29" t="s">
        <v>46</v>
      </c>
      <c r="G48" s="30" t="s">
        <v>46</v>
      </c>
      <c r="H48" s="31"/>
      <c r="I48" s="31" t="s">
        <v>47</v>
      </c>
      <c r="J48" s="32" t="n">
        <v>1.0</v>
      </c>
      <c r="K48" s="33" t="n">
        <f>622</f>
        <v>622.0</v>
      </c>
      <c r="L48" s="34" t="s">
        <v>48</v>
      </c>
      <c r="M48" s="33" t="n">
        <f>648</f>
        <v>648.0</v>
      </c>
      <c r="N48" s="34" t="s">
        <v>72</v>
      </c>
      <c r="O48" s="33" t="n">
        <f>583</f>
        <v>583.0</v>
      </c>
      <c r="P48" s="34" t="s">
        <v>55</v>
      </c>
      <c r="Q48" s="33" t="n">
        <f>608</f>
        <v>608.0</v>
      </c>
      <c r="R48" s="34" t="s">
        <v>51</v>
      </c>
      <c r="S48" s="35" t="n">
        <f>611.5</f>
        <v>611.5</v>
      </c>
      <c r="T48" s="32" t="n">
        <f>62721</f>
        <v>62721.0</v>
      </c>
      <c r="U48" s="32" t="str">
        <f>"－"</f>
        <v>－</v>
      </c>
      <c r="V48" s="32" t="n">
        <f>38322013</f>
        <v>3.8322013E7</v>
      </c>
      <c r="W48" s="32" t="str">
        <f>"－"</f>
        <v>－</v>
      </c>
      <c r="X48" s="36" t="n">
        <f>22</f>
        <v>22.0</v>
      </c>
    </row>
    <row r="49">
      <c r="A49" s="27" t="s">
        <v>42</v>
      </c>
      <c r="B49" s="27" t="s">
        <v>188</v>
      </c>
      <c r="C49" s="27" t="s">
        <v>189</v>
      </c>
      <c r="D49" s="27" t="s">
        <v>190</v>
      </c>
      <c r="E49" s="28" t="s">
        <v>46</v>
      </c>
      <c r="F49" s="29" t="s">
        <v>46</v>
      </c>
      <c r="G49" s="30" t="s">
        <v>46</v>
      </c>
      <c r="H49" s="31"/>
      <c r="I49" s="31" t="s">
        <v>47</v>
      </c>
      <c r="J49" s="32" t="n">
        <v>10.0</v>
      </c>
      <c r="K49" s="33" t="n">
        <f>600.3</f>
        <v>600.3</v>
      </c>
      <c r="L49" s="34" t="s">
        <v>48</v>
      </c>
      <c r="M49" s="33" t="n">
        <f>638.5</f>
        <v>638.5</v>
      </c>
      <c r="N49" s="34" t="s">
        <v>50</v>
      </c>
      <c r="O49" s="33" t="n">
        <f>580</f>
        <v>580.0</v>
      </c>
      <c r="P49" s="34" t="s">
        <v>76</v>
      </c>
      <c r="Q49" s="33" t="n">
        <f>603</f>
        <v>603.0</v>
      </c>
      <c r="R49" s="34" t="s">
        <v>51</v>
      </c>
      <c r="S49" s="35" t="n">
        <f>602.03</f>
        <v>602.03</v>
      </c>
      <c r="T49" s="32" t="n">
        <f>115550</f>
        <v>115550.0</v>
      </c>
      <c r="U49" s="32" t="str">
        <f>"－"</f>
        <v>－</v>
      </c>
      <c r="V49" s="32" t="n">
        <f>69574532</f>
        <v>6.9574532E7</v>
      </c>
      <c r="W49" s="32" t="str">
        <f>"－"</f>
        <v>－</v>
      </c>
      <c r="X49" s="36" t="n">
        <f>22</f>
        <v>22.0</v>
      </c>
    </row>
    <row r="50">
      <c r="A50" s="27" t="s">
        <v>42</v>
      </c>
      <c r="B50" s="27" t="s">
        <v>191</v>
      </c>
      <c r="C50" s="27" t="s">
        <v>192</v>
      </c>
      <c r="D50" s="27" t="s">
        <v>193</v>
      </c>
      <c r="E50" s="28" t="s">
        <v>46</v>
      </c>
      <c r="F50" s="29" t="s">
        <v>46</v>
      </c>
      <c r="G50" s="30" t="s">
        <v>46</v>
      </c>
      <c r="H50" s="31"/>
      <c r="I50" s="31" t="s">
        <v>47</v>
      </c>
      <c r="J50" s="32" t="n">
        <v>1.0</v>
      </c>
      <c r="K50" s="33" t="n">
        <f>261</f>
        <v>261.0</v>
      </c>
      <c r="L50" s="34" t="s">
        <v>48</v>
      </c>
      <c r="M50" s="33" t="n">
        <f>274</f>
        <v>274.0</v>
      </c>
      <c r="N50" s="34" t="s">
        <v>50</v>
      </c>
      <c r="O50" s="33" t="n">
        <f>238</f>
        <v>238.0</v>
      </c>
      <c r="P50" s="34" t="s">
        <v>194</v>
      </c>
      <c r="Q50" s="33" t="n">
        <f>240</f>
        <v>240.0</v>
      </c>
      <c r="R50" s="34" t="s">
        <v>51</v>
      </c>
      <c r="S50" s="35" t="n">
        <f>251.32</f>
        <v>251.32</v>
      </c>
      <c r="T50" s="32" t="n">
        <f>195556</f>
        <v>195556.0</v>
      </c>
      <c r="U50" s="32" t="str">
        <f>"－"</f>
        <v>－</v>
      </c>
      <c r="V50" s="32" t="n">
        <f>49039886</f>
        <v>4.9039886E7</v>
      </c>
      <c r="W50" s="32" t="str">
        <f>"－"</f>
        <v>－</v>
      </c>
      <c r="X50" s="36" t="n">
        <f>22</f>
        <v>22.0</v>
      </c>
    </row>
    <row r="51">
      <c r="A51" s="27" t="s">
        <v>42</v>
      </c>
      <c r="B51" s="27" t="s">
        <v>195</v>
      </c>
      <c r="C51" s="27" t="s">
        <v>196</v>
      </c>
      <c r="D51" s="27" t="s">
        <v>197</v>
      </c>
      <c r="E51" s="28" t="s">
        <v>46</v>
      </c>
      <c r="F51" s="29" t="s">
        <v>46</v>
      </c>
      <c r="G51" s="30" t="s">
        <v>46</v>
      </c>
      <c r="H51" s="31"/>
      <c r="I51" s="31" t="s">
        <v>47</v>
      </c>
      <c r="J51" s="32" t="n">
        <v>10.0</v>
      </c>
      <c r="K51" s="33" t="n">
        <f>2752</f>
        <v>2752.0</v>
      </c>
      <c r="L51" s="34" t="s">
        <v>48</v>
      </c>
      <c r="M51" s="33" t="n">
        <f>2818.5</f>
        <v>2818.5</v>
      </c>
      <c r="N51" s="34" t="s">
        <v>55</v>
      </c>
      <c r="O51" s="33" t="n">
        <f>2670.5</f>
        <v>2670.5</v>
      </c>
      <c r="P51" s="34" t="s">
        <v>50</v>
      </c>
      <c r="Q51" s="33" t="n">
        <f>2766.5</f>
        <v>2766.5</v>
      </c>
      <c r="R51" s="34" t="s">
        <v>51</v>
      </c>
      <c r="S51" s="35" t="n">
        <f>2750.61</f>
        <v>2750.61</v>
      </c>
      <c r="T51" s="32" t="n">
        <f>695890</f>
        <v>695890.0</v>
      </c>
      <c r="U51" s="32" t="n">
        <f>457630</f>
        <v>457630.0</v>
      </c>
      <c r="V51" s="32" t="n">
        <f>1916939431</f>
        <v>1.916939431E9</v>
      </c>
      <c r="W51" s="32" t="n">
        <f>1262825506</f>
        <v>1.262825506E9</v>
      </c>
      <c r="X51" s="36" t="n">
        <f>22</f>
        <v>22.0</v>
      </c>
    </row>
    <row r="52">
      <c r="A52" s="27" t="s">
        <v>42</v>
      </c>
      <c r="B52" s="27" t="s">
        <v>198</v>
      </c>
      <c r="C52" s="27" t="s">
        <v>199</v>
      </c>
      <c r="D52" s="27" t="s">
        <v>200</v>
      </c>
      <c r="E52" s="28" t="s">
        <v>46</v>
      </c>
      <c r="F52" s="29" t="s">
        <v>46</v>
      </c>
      <c r="G52" s="30" t="s">
        <v>46</v>
      </c>
      <c r="H52" s="31"/>
      <c r="I52" s="31" t="s">
        <v>47</v>
      </c>
      <c r="J52" s="32" t="n">
        <v>1.0</v>
      </c>
      <c r="K52" s="33" t="n">
        <f>24810</f>
        <v>24810.0</v>
      </c>
      <c r="L52" s="34" t="s">
        <v>48</v>
      </c>
      <c r="M52" s="33" t="n">
        <f>25660</f>
        <v>25660.0</v>
      </c>
      <c r="N52" s="34" t="s">
        <v>55</v>
      </c>
      <c r="O52" s="33" t="n">
        <f>24290</f>
        <v>24290.0</v>
      </c>
      <c r="P52" s="34" t="s">
        <v>56</v>
      </c>
      <c r="Q52" s="33" t="n">
        <f>25015</f>
        <v>25015.0</v>
      </c>
      <c r="R52" s="34" t="s">
        <v>51</v>
      </c>
      <c r="S52" s="35" t="n">
        <f>25012.05</f>
        <v>25012.05</v>
      </c>
      <c r="T52" s="32" t="n">
        <f>50406</f>
        <v>50406.0</v>
      </c>
      <c r="U52" s="32" t="n">
        <f>20304</f>
        <v>20304.0</v>
      </c>
      <c r="V52" s="32" t="n">
        <f>1251737297</f>
        <v>1.251737297E9</v>
      </c>
      <c r="W52" s="32" t="n">
        <f>499998182</f>
        <v>4.99998182E8</v>
      </c>
      <c r="X52" s="36" t="n">
        <f>22</f>
        <v>22.0</v>
      </c>
    </row>
    <row r="53">
      <c r="A53" s="27" t="s">
        <v>42</v>
      </c>
      <c r="B53" s="27" t="s">
        <v>201</v>
      </c>
      <c r="C53" s="27" t="s">
        <v>202</v>
      </c>
      <c r="D53" s="27" t="s">
        <v>203</v>
      </c>
      <c r="E53" s="28" t="s">
        <v>46</v>
      </c>
      <c r="F53" s="29" t="s">
        <v>46</v>
      </c>
      <c r="G53" s="30" t="s">
        <v>46</v>
      </c>
      <c r="H53" s="31"/>
      <c r="I53" s="31" t="s">
        <v>47</v>
      </c>
      <c r="J53" s="32" t="n">
        <v>10.0</v>
      </c>
      <c r="K53" s="33" t="n">
        <f>275.5</f>
        <v>275.5</v>
      </c>
      <c r="L53" s="34" t="s">
        <v>48</v>
      </c>
      <c r="M53" s="33" t="n">
        <f>284</f>
        <v>284.0</v>
      </c>
      <c r="N53" s="34" t="s">
        <v>55</v>
      </c>
      <c r="O53" s="33" t="n">
        <f>268.7</f>
        <v>268.7</v>
      </c>
      <c r="P53" s="34" t="s">
        <v>56</v>
      </c>
      <c r="Q53" s="33" t="n">
        <f>278</f>
        <v>278.0</v>
      </c>
      <c r="R53" s="34" t="s">
        <v>51</v>
      </c>
      <c r="S53" s="35" t="n">
        <f>276.9</f>
        <v>276.9</v>
      </c>
      <c r="T53" s="32" t="n">
        <f>119043860</f>
        <v>1.1904386E8</v>
      </c>
      <c r="U53" s="32" t="n">
        <f>34985010</f>
        <v>3.498501E7</v>
      </c>
      <c r="V53" s="32" t="n">
        <f>32921039316</f>
        <v>3.2921039316E10</v>
      </c>
      <c r="W53" s="32" t="n">
        <f>9671936916</f>
        <v>9.671936916E9</v>
      </c>
      <c r="X53" s="36" t="n">
        <f>22</f>
        <v>22.0</v>
      </c>
    </row>
    <row r="54">
      <c r="A54" s="27" t="s">
        <v>42</v>
      </c>
      <c r="B54" s="27" t="s">
        <v>204</v>
      </c>
      <c r="C54" s="27" t="s">
        <v>205</v>
      </c>
      <c r="D54" s="27" t="s">
        <v>206</v>
      </c>
      <c r="E54" s="28" t="s">
        <v>46</v>
      </c>
      <c r="F54" s="29" t="s">
        <v>46</v>
      </c>
      <c r="G54" s="30" t="s">
        <v>46</v>
      </c>
      <c r="H54" s="31"/>
      <c r="I54" s="31" t="s">
        <v>47</v>
      </c>
      <c r="J54" s="32" t="n">
        <v>1.0</v>
      </c>
      <c r="K54" s="33" t="n">
        <f>1796</f>
        <v>1796.0</v>
      </c>
      <c r="L54" s="34" t="s">
        <v>48</v>
      </c>
      <c r="M54" s="33" t="n">
        <f>1796</f>
        <v>1796.0</v>
      </c>
      <c r="N54" s="34" t="s">
        <v>48</v>
      </c>
      <c r="O54" s="33" t="n">
        <f>1740</f>
        <v>1740.0</v>
      </c>
      <c r="P54" s="34" t="s">
        <v>50</v>
      </c>
      <c r="Q54" s="33" t="n">
        <f>1749</f>
        <v>1749.0</v>
      </c>
      <c r="R54" s="34" t="s">
        <v>51</v>
      </c>
      <c r="S54" s="35" t="n">
        <f>1764</f>
        <v>1764.0</v>
      </c>
      <c r="T54" s="32" t="n">
        <f>7485851</f>
        <v>7485851.0</v>
      </c>
      <c r="U54" s="32" t="n">
        <f>4545524</f>
        <v>4545524.0</v>
      </c>
      <c r="V54" s="32" t="n">
        <f>13199797048</f>
        <v>1.3199797048E10</v>
      </c>
      <c r="W54" s="32" t="n">
        <f>8001692014</f>
        <v>8.001692014E9</v>
      </c>
      <c r="X54" s="36" t="n">
        <f>22</f>
        <v>22.0</v>
      </c>
    </row>
    <row r="55">
      <c r="A55" s="27" t="s">
        <v>42</v>
      </c>
      <c r="B55" s="27" t="s">
        <v>207</v>
      </c>
      <c r="C55" s="27" t="s">
        <v>208</v>
      </c>
      <c r="D55" s="27" t="s">
        <v>209</v>
      </c>
      <c r="E55" s="28" t="s">
        <v>46</v>
      </c>
      <c r="F55" s="29" t="s">
        <v>46</v>
      </c>
      <c r="G55" s="30" t="s">
        <v>46</v>
      </c>
      <c r="H55" s="31"/>
      <c r="I55" s="31" t="s">
        <v>47</v>
      </c>
      <c r="J55" s="32" t="n">
        <v>1.0</v>
      </c>
      <c r="K55" s="33" t="n">
        <f>2527</f>
        <v>2527.0</v>
      </c>
      <c r="L55" s="34" t="s">
        <v>48</v>
      </c>
      <c r="M55" s="33" t="n">
        <f>2640</f>
        <v>2640.0</v>
      </c>
      <c r="N55" s="34" t="s">
        <v>55</v>
      </c>
      <c r="O55" s="33" t="n">
        <f>2511</f>
        <v>2511.0</v>
      </c>
      <c r="P55" s="34" t="s">
        <v>56</v>
      </c>
      <c r="Q55" s="33" t="n">
        <f>2576</f>
        <v>2576.0</v>
      </c>
      <c r="R55" s="34" t="s">
        <v>51</v>
      </c>
      <c r="S55" s="35" t="n">
        <f>2574.05</f>
        <v>2574.05</v>
      </c>
      <c r="T55" s="32" t="n">
        <f>46076</f>
        <v>46076.0</v>
      </c>
      <c r="U55" s="32" t="n">
        <f>3567</f>
        <v>3567.0</v>
      </c>
      <c r="V55" s="32" t="n">
        <f>118448028</f>
        <v>1.18448028E8</v>
      </c>
      <c r="W55" s="32" t="n">
        <f>9193117</f>
        <v>9193117.0</v>
      </c>
      <c r="X55" s="36" t="n">
        <f>22</f>
        <v>22.0</v>
      </c>
    </row>
    <row r="56">
      <c r="A56" s="27" t="s">
        <v>42</v>
      </c>
      <c r="B56" s="27" t="s">
        <v>210</v>
      </c>
      <c r="C56" s="27" t="s">
        <v>211</v>
      </c>
      <c r="D56" s="27" t="s">
        <v>212</v>
      </c>
      <c r="E56" s="28" t="s">
        <v>46</v>
      </c>
      <c r="F56" s="29" t="s">
        <v>46</v>
      </c>
      <c r="G56" s="30" t="s">
        <v>46</v>
      </c>
      <c r="H56" s="31"/>
      <c r="I56" s="31" t="s">
        <v>47</v>
      </c>
      <c r="J56" s="32" t="n">
        <v>1.0</v>
      </c>
      <c r="K56" s="33" t="n">
        <f>3640</f>
        <v>3640.0</v>
      </c>
      <c r="L56" s="34" t="s">
        <v>48</v>
      </c>
      <c r="M56" s="33" t="n">
        <f>3740</f>
        <v>3740.0</v>
      </c>
      <c r="N56" s="34" t="s">
        <v>55</v>
      </c>
      <c r="O56" s="33" t="n">
        <f>3565</f>
        <v>3565.0</v>
      </c>
      <c r="P56" s="34" t="s">
        <v>60</v>
      </c>
      <c r="Q56" s="33" t="n">
        <f>3675</f>
        <v>3675.0</v>
      </c>
      <c r="R56" s="34" t="s">
        <v>51</v>
      </c>
      <c r="S56" s="35" t="n">
        <f>3655.23</f>
        <v>3655.23</v>
      </c>
      <c r="T56" s="32" t="n">
        <f>598735</f>
        <v>598735.0</v>
      </c>
      <c r="U56" s="32" t="n">
        <f>329993</f>
        <v>329993.0</v>
      </c>
      <c r="V56" s="32" t="n">
        <f>2183878994</f>
        <v>2.183878994E9</v>
      </c>
      <c r="W56" s="32" t="n">
        <f>1200471084</f>
        <v>1.200471084E9</v>
      </c>
      <c r="X56" s="36" t="n">
        <f>22</f>
        <v>22.0</v>
      </c>
    </row>
    <row r="57">
      <c r="A57" s="27" t="s">
        <v>42</v>
      </c>
      <c r="B57" s="27" t="s">
        <v>213</v>
      </c>
      <c r="C57" s="27" t="s">
        <v>214</v>
      </c>
      <c r="D57" s="27" t="s">
        <v>215</v>
      </c>
      <c r="E57" s="28" t="s">
        <v>46</v>
      </c>
      <c r="F57" s="29" t="s">
        <v>46</v>
      </c>
      <c r="G57" s="30" t="s">
        <v>46</v>
      </c>
      <c r="H57" s="31"/>
      <c r="I57" s="31" t="s">
        <v>47</v>
      </c>
      <c r="J57" s="32" t="n">
        <v>1.0</v>
      </c>
      <c r="K57" s="33" t="n">
        <f>35330</f>
        <v>35330.0</v>
      </c>
      <c r="L57" s="34" t="s">
        <v>64</v>
      </c>
      <c r="M57" s="33" t="n">
        <f>36460</f>
        <v>36460.0</v>
      </c>
      <c r="N57" s="34" t="s">
        <v>76</v>
      </c>
      <c r="O57" s="33" t="n">
        <f>35330</f>
        <v>35330.0</v>
      </c>
      <c r="P57" s="34" t="s">
        <v>64</v>
      </c>
      <c r="Q57" s="33" t="n">
        <f>35890</f>
        <v>35890.0</v>
      </c>
      <c r="R57" s="34" t="s">
        <v>49</v>
      </c>
      <c r="S57" s="35" t="n">
        <f>35808</f>
        <v>35808.0</v>
      </c>
      <c r="T57" s="32" t="n">
        <f>65</f>
        <v>65.0</v>
      </c>
      <c r="U57" s="32" t="str">
        <f>"－"</f>
        <v>－</v>
      </c>
      <c r="V57" s="32" t="n">
        <f>2333430</f>
        <v>2333430.0</v>
      </c>
      <c r="W57" s="32" t="str">
        <f>"－"</f>
        <v>－</v>
      </c>
      <c r="X57" s="36" t="n">
        <f>5</f>
        <v>5.0</v>
      </c>
    </row>
    <row r="58">
      <c r="A58" s="27" t="s">
        <v>42</v>
      </c>
      <c r="B58" s="27" t="s">
        <v>216</v>
      </c>
      <c r="C58" s="27" t="s">
        <v>217</v>
      </c>
      <c r="D58" s="27" t="s">
        <v>218</v>
      </c>
      <c r="E58" s="28" t="s">
        <v>46</v>
      </c>
      <c r="F58" s="29" t="s">
        <v>46</v>
      </c>
      <c r="G58" s="30" t="s">
        <v>46</v>
      </c>
      <c r="H58" s="31"/>
      <c r="I58" s="31" t="s">
        <v>47</v>
      </c>
      <c r="J58" s="32" t="n">
        <v>1.0</v>
      </c>
      <c r="K58" s="33" t="n">
        <f>27365</f>
        <v>27365.0</v>
      </c>
      <c r="L58" s="34" t="s">
        <v>72</v>
      </c>
      <c r="M58" s="33" t="n">
        <f>27935</f>
        <v>27935.0</v>
      </c>
      <c r="N58" s="34" t="s">
        <v>55</v>
      </c>
      <c r="O58" s="33" t="n">
        <f>26320</f>
        <v>26320.0</v>
      </c>
      <c r="P58" s="34" t="s">
        <v>56</v>
      </c>
      <c r="Q58" s="33" t="n">
        <f>26820</f>
        <v>26820.0</v>
      </c>
      <c r="R58" s="34" t="s">
        <v>219</v>
      </c>
      <c r="S58" s="35" t="n">
        <f>27234.44</f>
        <v>27234.44</v>
      </c>
      <c r="T58" s="32" t="n">
        <f>202</f>
        <v>202.0</v>
      </c>
      <c r="U58" s="32" t="str">
        <f>"－"</f>
        <v>－</v>
      </c>
      <c r="V58" s="32" t="n">
        <f>5581315</f>
        <v>5581315.0</v>
      </c>
      <c r="W58" s="32" t="str">
        <f>"－"</f>
        <v>－</v>
      </c>
      <c r="X58" s="36" t="n">
        <f>9</f>
        <v>9.0</v>
      </c>
    </row>
    <row r="59">
      <c r="A59" s="27" t="s">
        <v>42</v>
      </c>
      <c r="B59" s="27" t="s">
        <v>220</v>
      </c>
      <c r="C59" s="27" t="s">
        <v>221</v>
      </c>
      <c r="D59" s="27" t="s">
        <v>222</v>
      </c>
      <c r="E59" s="28" t="s">
        <v>46</v>
      </c>
      <c r="F59" s="29" t="s">
        <v>46</v>
      </c>
      <c r="G59" s="30" t="s">
        <v>46</v>
      </c>
      <c r="H59" s="31"/>
      <c r="I59" s="31" t="s">
        <v>47</v>
      </c>
      <c r="J59" s="32" t="n">
        <v>1.0</v>
      </c>
      <c r="K59" s="33" t="n">
        <f>2849</f>
        <v>2849.0</v>
      </c>
      <c r="L59" s="34" t="s">
        <v>48</v>
      </c>
      <c r="M59" s="33" t="n">
        <f>2901</f>
        <v>2901.0</v>
      </c>
      <c r="N59" s="34" t="s">
        <v>55</v>
      </c>
      <c r="O59" s="33" t="n">
        <f>2779</f>
        <v>2779.0</v>
      </c>
      <c r="P59" s="34" t="s">
        <v>56</v>
      </c>
      <c r="Q59" s="33" t="n">
        <f>2838</f>
        <v>2838.0</v>
      </c>
      <c r="R59" s="34" t="s">
        <v>51</v>
      </c>
      <c r="S59" s="35" t="n">
        <f>2844</f>
        <v>2844.0</v>
      </c>
      <c r="T59" s="32" t="n">
        <f>12954</f>
        <v>12954.0</v>
      </c>
      <c r="U59" s="32" t="str">
        <f>"－"</f>
        <v>－</v>
      </c>
      <c r="V59" s="32" t="n">
        <f>37048475</f>
        <v>3.7048475E7</v>
      </c>
      <c r="W59" s="32" t="str">
        <f>"－"</f>
        <v>－</v>
      </c>
      <c r="X59" s="36" t="n">
        <f>22</f>
        <v>22.0</v>
      </c>
    </row>
    <row r="60">
      <c r="A60" s="27" t="s">
        <v>42</v>
      </c>
      <c r="B60" s="27" t="s">
        <v>223</v>
      </c>
      <c r="C60" s="27" t="s">
        <v>224</v>
      </c>
      <c r="D60" s="27" t="s">
        <v>225</v>
      </c>
      <c r="E60" s="28" t="s">
        <v>46</v>
      </c>
      <c r="F60" s="29" t="s">
        <v>46</v>
      </c>
      <c r="G60" s="30" t="s">
        <v>46</v>
      </c>
      <c r="H60" s="31"/>
      <c r="I60" s="31" t="s">
        <v>47</v>
      </c>
      <c r="J60" s="32" t="n">
        <v>1.0</v>
      </c>
      <c r="K60" s="33" t="n">
        <f>1769</f>
        <v>1769.0</v>
      </c>
      <c r="L60" s="34" t="s">
        <v>48</v>
      </c>
      <c r="M60" s="33" t="n">
        <f>1775</f>
        <v>1775.0</v>
      </c>
      <c r="N60" s="34" t="s">
        <v>72</v>
      </c>
      <c r="O60" s="33" t="n">
        <f>1680</f>
        <v>1680.0</v>
      </c>
      <c r="P60" s="34" t="s">
        <v>51</v>
      </c>
      <c r="Q60" s="33" t="n">
        <f>1684</f>
        <v>1684.0</v>
      </c>
      <c r="R60" s="34" t="s">
        <v>51</v>
      </c>
      <c r="S60" s="35" t="n">
        <f>1718.68</f>
        <v>1718.68</v>
      </c>
      <c r="T60" s="32" t="n">
        <f>18193874</f>
        <v>1.8193874E7</v>
      </c>
      <c r="U60" s="32" t="n">
        <f>14914023</f>
        <v>1.4914023E7</v>
      </c>
      <c r="V60" s="32" t="n">
        <f>31423233825</f>
        <v>3.1423233825E10</v>
      </c>
      <c r="W60" s="32" t="n">
        <f>25767191130</f>
        <v>2.576719113E10</v>
      </c>
      <c r="X60" s="36" t="n">
        <f>22</f>
        <v>22.0</v>
      </c>
    </row>
    <row r="61">
      <c r="A61" s="27" t="s">
        <v>42</v>
      </c>
      <c r="B61" s="27" t="s">
        <v>226</v>
      </c>
      <c r="C61" s="27" t="s">
        <v>227</v>
      </c>
      <c r="D61" s="27" t="s">
        <v>228</v>
      </c>
      <c r="E61" s="28" t="s">
        <v>46</v>
      </c>
      <c r="F61" s="29" t="s">
        <v>46</v>
      </c>
      <c r="G61" s="30" t="s">
        <v>46</v>
      </c>
      <c r="H61" s="31"/>
      <c r="I61" s="31" t="s">
        <v>47</v>
      </c>
      <c r="J61" s="32" t="n">
        <v>1.0</v>
      </c>
      <c r="K61" s="33" t="n">
        <f>2803</f>
        <v>2803.0</v>
      </c>
      <c r="L61" s="34" t="s">
        <v>48</v>
      </c>
      <c r="M61" s="33" t="n">
        <f>2880</f>
        <v>2880.0</v>
      </c>
      <c r="N61" s="34" t="s">
        <v>76</v>
      </c>
      <c r="O61" s="33" t="n">
        <f>2746</f>
        <v>2746.0</v>
      </c>
      <c r="P61" s="34" t="s">
        <v>194</v>
      </c>
      <c r="Q61" s="33" t="n">
        <f>2822</f>
        <v>2822.0</v>
      </c>
      <c r="R61" s="34" t="s">
        <v>51</v>
      </c>
      <c r="S61" s="35" t="n">
        <f>2821.41</f>
        <v>2821.41</v>
      </c>
      <c r="T61" s="32" t="n">
        <f>4937</f>
        <v>4937.0</v>
      </c>
      <c r="U61" s="32" t="n">
        <f>3028</f>
        <v>3028.0</v>
      </c>
      <c r="V61" s="32" t="n">
        <f>14000950</f>
        <v>1.400095E7</v>
      </c>
      <c r="W61" s="32" t="n">
        <f>8630768</f>
        <v>8630768.0</v>
      </c>
      <c r="X61" s="36" t="n">
        <f>22</f>
        <v>22.0</v>
      </c>
    </row>
    <row r="62">
      <c r="A62" s="27" t="s">
        <v>42</v>
      </c>
      <c r="B62" s="27" t="s">
        <v>229</v>
      </c>
      <c r="C62" s="27" t="s">
        <v>230</v>
      </c>
      <c r="D62" s="27" t="s">
        <v>231</v>
      </c>
      <c r="E62" s="28" t="s">
        <v>46</v>
      </c>
      <c r="F62" s="29" t="s">
        <v>46</v>
      </c>
      <c r="G62" s="30" t="s">
        <v>46</v>
      </c>
      <c r="H62" s="31"/>
      <c r="I62" s="31" t="s">
        <v>47</v>
      </c>
      <c r="J62" s="32" t="n">
        <v>10.0</v>
      </c>
      <c r="K62" s="33" t="n">
        <f>2809</f>
        <v>2809.0</v>
      </c>
      <c r="L62" s="34" t="s">
        <v>48</v>
      </c>
      <c r="M62" s="33" t="n">
        <f>2864</f>
        <v>2864.0</v>
      </c>
      <c r="N62" s="34" t="s">
        <v>55</v>
      </c>
      <c r="O62" s="33" t="n">
        <f>2740.5</f>
        <v>2740.5</v>
      </c>
      <c r="P62" s="34" t="s">
        <v>56</v>
      </c>
      <c r="Q62" s="33" t="n">
        <f>2799</f>
        <v>2799.0</v>
      </c>
      <c r="R62" s="34" t="s">
        <v>51</v>
      </c>
      <c r="S62" s="35" t="n">
        <f>2806.14</f>
        <v>2806.14</v>
      </c>
      <c r="T62" s="32" t="n">
        <f>11860</f>
        <v>11860.0</v>
      </c>
      <c r="U62" s="32" t="str">
        <f>"－"</f>
        <v>－</v>
      </c>
      <c r="V62" s="32" t="n">
        <f>33358435</f>
        <v>3.3358435E7</v>
      </c>
      <c r="W62" s="32" t="str">
        <f>"－"</f>
        <v>－</v>
      </c>
      <c r="X62" s="36" t="n">
        <f>22</f>
        <v>22.0</v>
      </c>
    </row>
    <row r="63">
      <c r="A63" s="27" t="s">
        <v>42</v>
      </c>
      <c r="B63" s="27" t="s">
        <v>232</v>
      </c>
      <c r="C63" s="27" t="s">
        <v>233</v>
      </c>
      <c r="D63" s="27" t="s">
        <v>234</v>
      </c>
      <c r="E63" s="28" t="s">
        <v>46</v>
      </c>
      <c r="F63" s="29" t="s">
        <v>46</v>
      </c>
      <c r="G63" s="30" t="s">
        <v>46</v>
      </c>
      <c r="H63" s="31"/>
      <c r="I63" s="31" t="s">
        <v>47</v>
      </c>
      <c r="J63" s="32" t="n">
        <v>1.0</v>
      </c>
      <c r="K63" s="33" t="n">
        <f>48620</f>
        <v>48620.0</v>
      </c>
      <c r="L63" s="34" t="s">
        <v>235</v>
      </c>
      <c r="M63" s="33" t="n">
        <f>52000</f>
        <v>52000.0</v>
      </c>
      <c r="N63" s="34" t="s">
        <v>219</v>
      </c>
      <c r="O63" s="33" t="n">
        <f>40270</f>
        <v>40270.0</v>
      </c>
      <c r="P63" s="34" t="s">
        <v>51</v>
      </c>
      <c r="Q63" s="33" t="n">
        <f>40320</f>
        <v>40320.0</v>
      </c>
      <c r="R63" s="34" t="s">
        <v>51</v>
      </c>
      <c r="S63" s="35" t="n">
        <f>46760</f>
        <v>46760.0</v>
      </c>
      <c r="T63" s="32" t="n">
        <f>65</f>
        <v>65.0</v>
      </c>
      <c r="U63" s="32" t="str">
        <f>"－"</f>
        <v>－</v>
      </c>
      <c r="V63" s="32" t="n">
        <f>2782010</f>
        <v>2782010.0</v>
      </c>
      <c r="W63" s="32" t="str">
        <f>"－"</f>
        <v>－</v>
      </c>
      <c r="X63" s="36" t="n">
        <f>4</f>
        <v>4.0</v>
      </c>
    </row>
    <row r="64">
      <c r="A64" s="27" t="s">
        <v>42</v>
      </c>
      <c r="B64" s="27" t="s">
        <v>236</v>
      </c>
      <c r="C64" s="27" t="s">
        <v>237</v>
      </c>
      <c r="D64" s="27" t="s">
        <v>238</v>
      </c>
      <c r="E64" s="28" t="s">
        <v>46</v>
      </c>
      <c r="F64" s="29" t="s">
        <v>46</v>
      </c>
      <c r="G64" s="30" t="s">
        <v>46</v>
      </c>
      <c r="H64" s="31"/>
      <c r="I64" s="31" t="s">
        <v>47</v>
      </c>
      <c r="J64" s="32" t="n">
        <v>1.0</v>
      </c>
      <c r="K64" s="33" t="n">
        <f>23160</f>
        <v>23160.0</v>
      </c>
      <c r="L64" s="34" t="s">
        <v>48</v>
      </c>
      <c r="M64" s="33" t="n">
        <f>24020</f>
        <v>24020.0</v>
      </c>
      <c r="N64" s="34" t="s">
        <v>49</v>
      </c>
      <c r="O64" s="33" t="n">
        <f>22900</f>
        <v>22900.0</v>
      </c>
      <c r="P64" s="34" t="s">
        <v>48</v>
      </c>
      <c r="Q64" s="33" t="n">
        <f>23875</f>
        <v>23875.0</v>
      </c>
      <c r="R64" s="34" t="s">
        <v>51</v>
      </c>
      <c r="S64" s="35" t="n">
        <f>23672.5</f>
        <v>23672.5</v>
      </c>
      <c r="T64" s="32" t="n">
        <f>312725</f>
        <v>312725.0</v>
      </c>
      <c r="U64" s="32" t="n">
        <f>266768</f>
        <v>266768.0</v>
      </c>
      <c r="V64" s="32" t="n">
        <f>7428399971</f>
        <v>7.428399971E9</v>
      </c>
      <c r="W64" s="32" t="n">
        <f>6343911496</f>
        <v>6.343911496E9</v>
      </c>
      <c r="X64" s="36" t="n">
        <f>22</f>
        <v>22.0</v>
      </c>
    </row>
    <row r="65">
      <c r="A65" s="27" t="s">
        <v>42</v>
      </c>
      <c r="B65" s="27" t="s">
        <v>239</v>
      </c>
      <c r="C65" s="27" t="s">
        <v>240</v>
      </c>
      <c r="D65" s="27" t="s">
        <v>241</v>
      </c>
      <c r="E65" s="28" t="s">
        <v>46</v>
      </c>
      <c r="F65" s="29" t="s">
        <v>46</v>
      </c>
      <c r="G65" s="30" t="s">
        <v>46</v>
      </c>
      <c r="H65" s="31"/>
      <c r="I65" s="31" t="s">
        <v>47</v>
      </c>
      <c r="J65" s="32" t="n">
        <v>1.0</v>
      </c>
      <c r="K65" s="33" t="n">
        <f>13600</f>
        <v>13600.0</v>
      </c>
      <c r="L65" s="34" t="s">
        <v>48</v>
      </c>
      <c r="M65" s="33" t="n">
        <f>13615</f>
        <v>13615.0</v>
      </c>
      <c r="N65" s="34" t="s">
        <v>72</v>
      </c>
      <c r="O65" s="33" t="n">
        <f>13000</f>
        <v>13000.0</v>
      </c>
      <c r="P65" s="34" t="s">
        <v>49</v>
      </c>
      <c r="Q65" s="33" t="n">
        <f>13035</f>
        <v>13035.0</v>
      </c>
      <c r="R65" s="34" t="s">
        <v>51</v>
      </c>
      <c r="S65" s="35" t="n">
        <f>13256.59</f>
        <v>13256.59</v>
      </c>
      <c r="T65" s="32" t="n">
        <f>608886</f>
        <v>608886.0</v>
      </c>
      <c r="U65" s="32" t="n">
        <f>527501</f>
        <v>527501.0</v>
      </c>
      <c r="V65" s="32" t="n">
        <f>8049511457</f>
        <v>8.049511457E9</v>
      </c>
      <c r="W65" s="32" t="n">
        <f>6971743942</f>
        <v>6.971743942E9</v>
      </c>
      <c r="X65" s="36" t="n">
        <f>22</f>
        <v>22.0</v>
      </c>
    </row>
    <row r="66">
      <c r="A66" s="27" t="s">
        <v>42</v>
      </c>
      <c r="B66" s="27" t="s">
        <v>242</v>
      </c>
      <c r="C66" s="27" t="s">
        <v>243</v>
      </c>
      <c r="D66" s="27" t="s">
        <v>244</v>
      </c>
      <c r="E66" s="28" t="s">
        <v>46</v>
      </c>
      <c r="F66" s="29" t="s">
        <v>46</v>
      </c>
      <c r="G66" s="30" t="s">
        <v>46</v>
      </c>
      <c r="H66" s="31"/>
      <c r="I66" s="31" t="s">
        <v>47</v>
      </c>
      <c r="J66" s="32" t="n">
        <v>1.0</v>
      </c>
      <c r="K66" s="33" t="n">
        <f>1791</f>
        <v>1791.0</v>
      </c>
      <c r="L66" s="34" t="s">
        <v>48</v>
      </c>
      <c r="M66" s="33" t="n">
        <f>1791</f>
        <v>1791.0</v>
      </c>
      <c r="N66" s="34" t="s">
        <v>48</v>
      </c>
      <c r="O66" s="33" t="n">
        <f>1729</f>
        <v>1729.0</v>
      </c>
      <c r="P66" s="34" t="s">
        <v>56</v>
      </c>
      <c r="Q66" s="33" t="n">
        <f>1743</f>
        <v>1743.0</v>
      </c>
      <c r="R66" s="34" t="s">
        <v>51</v>
      </c>
      <c r="S66" s="35" t="n">
        <f>1753.95</f>
        <v>1753.95</v>
      </c>
      <c r="T66" s="32" t="n">
        <f>2187282</f>
        <v>2187282.0</v>
      </c>
      <c r="U66" s="32" t="n">
        <f>795756</f>
        <v>795756.0</v>
      </c>
      <c r="V66" s="32" t="n">
        <f>3829978825</f>
        <v>3.829978825E9</v>
      </c>
      <c r="W66" s="32" t="n">
        <f>1391855236</f>
        <v>1.391855236E9</v>
      </c>
      <c r="X66" s="36" t="n">
        <f>22</f>
        <v>22.0</v>
      </c>
    </row>
    <row r="67">
      <c r="A67" s="27" t="s">
        <v>42</v>
      </c>
      <c r="B67" s="27" t="s">
        <v>245</v>
      </c>
      <c r="C67" s="27" t="s">
        <v>246</v>
      </c>
      <c r="D67" s="27" t="s">
        <v>247</v>
      </c>
      <c r="E67" s="28" t="s">
        <v>46</v>
      </c>
      <c r="F67" s="29" t="s">
        <v>46</v>
      </c>
      <c r="G67" s="30" t="s">
        <v>46</v>
      </c>
      <c r="H67" s="31"/>
      <c r="I67" s="31" t="s">
        <v>47</v>
      </c>
      <c r="J67" s="32" t="n">
        <v>1.0</v>
      </c>
      <c r="K67" s="33" t="n">
        <f>2267</f>
        <v>2267.0</v>
      </c>
      <c r="L67" s="34" t="s">
        <v>48</v>
      </c>
      <c r="M67" s="33" t="n">
        <f>2315</f>
        <v>2315.0</v>
      </c>
      <c r="N67" s="34" t="s">
        <v>64</v>
      </c>
      <c r="O67" s="33" t="n">
        <f>2165</f>
        <v>2165.0</v>
      </c>
      <c r="P67" s="34" t="s">
        <v>50</v>
      </c>
      <c r="Q67" s="33" t="n">
        <f>2250</f>
        <v>2250.0</v>
      </c>
      <c r="R67" s="34" t="s">
        <v>51</v>
      </c>
      <c r="S67" s="35" t="n">
        <f>2243.73</f>
        <v>2243.73</v>
      </c>
      <c r="T67" s="32" t="n">
        <f>12620552</f>
        <v>1.2620552E7</v>
      </c>
      <c r="U67" s="32" t="n">
        <f>704222</f>
        <v>704222.0</v>
      </c>
      <c r="V67" s="32" t="n">
        <f>28339653963</f>
        <v>2.8339653963E10</v>
      </c>
      <c r="W67" s="32" t="n">
        <f>1573406719</f>
        <v>1.573406719E9</v>
      </c>
      <c r="X67" s="36" t="n">
        <f>22</f>
        <v>22.0</v>
      </c>
    </row>
    <row r="68">
      <c r="A68" s="27" t="s">
        <v>42</v>
      </c>
      <c r="B68" s="27" t="s">
        <v>248</v>
      </c>
      <c r="C68" s="27" t="s">
        <v>249</v>
      </c>
      <c r="D68" s="27" t="s">
        <v>250</v>
      </c>
      <c r="E68" s="28" t="s">
        <v>46</v>
      </c>
      <c r="F68" s="29" t="s">
        <v>46</v>
      </c>
      <c r="G68" s="30" t="s">
        <v>46</v>
      </c>
      <c r="H68" s="31"/>
      <c r="I68" s="31" t="s">
        <v>47</v>
      </c>
      <c r="J68" s="32" t="n">
        <v>10.0</v>
      </c>
      <c r="K68" s="33" t="n">
        <f>7675</f>
        <v>7675.0</v>
      </c>
      <c r="L68" s="34" t="s">
        <v>72</v>
      </c>
      <c r="M68" s="33" t="n">
        <f>7681</f>
        <v>7681.0</v>
      </c>
      <c r="N68" s="34" t="s">
        <v>72</v>
      </c>
      <c r="O68" s="33" t="n">
        <f>7540</f>
        <v>7540.0</v>
      </c>
      <c r="P68" s="34" t="s">
        <v>56</v>
      </c>
      <c r="Q68" s="33" t="n">
        <f>7540</f>
        <v>7540.0</v>
      </c>
      <c r="R68" s="34" t="s">
        <v>56</v>
      </c>
      <c r="S68" s="35" t="n">
        <f>7610.5</f>
        <v>7610.5</v>
      </c>
      <c r="T68" s="32" t="n">
        <f>200</f>
        <v>200.0</v>
      </c>
      <c r="U68" s="32" t="str">
        <f>"－"</f>
        <v>－</v>
      </c>
      <c r="V68" s="32" t="n">
        <f>1526150</f>
        <v>1526150.0</v>
      </c>
      <c r="W68" s="32" t="str">
        <f>"－"</f>
        <v>－</v>
      </c>
      <c r="X68" s="36" t="n">
        <f>2</f>
        <v>2.0</v>
      </c>
    </row>
    <row r="69">
      <c r="A69" s="27" t="s">
        <v>42</v>
      </c>
      <c r="B69" s="27" t="s">
        <v>251</v>
      </c>
      <c r="C69" s="27" t="s">
        <v>252</v>
      </c>
      <c r="D69" s="27" t="s">
        <v>253</v>
      </c>
      <c r="E69" s="28" t="s">
        <v>46</v>
      </c>
      <c r="F69" s="29" t="s">
        <v>46</v>
      </c>
      <c r="G69" s="30" t="s">
        <v>46</v>
      </c>
      <c r="H69" s="31"/>
      <c r="I69" s="31" t="s">
        <v>47</v>
      </c>
      <c r="J69" s="32" t="n">
        <v>1.0</v>
      </c>
      <c r="K69" s="33" t="n">
        <f>19665</f>
        <v>19665.0</v>
      </c>
      <c r="L69" s="34" t="s">
        <v>48</v>
      </c>
      <c r="M69" s="33" t="n">
        <f>19920</f>
        <v>19920.0</v>
      </c>
      <c r="N69" s="34" t="s">
        <v>55</v>
      </c>
      <c r="O69" s="33" t="n">
        <f>18705</f>
        <v>18705.0</v>
      </c>
      <c r="P69" s="34" t="s">
        <v>56</v>
      </c>
      <c r="Q69" s="33" t="n">
        <f>19430</f>
        <v>19430.0</v>
      </c>
      <c r="R69" s="34" t="s">
        <v>51</v>
      </c>
      <c r="S69" s="35" t="n">
        <f>19454.32</f>
        <v>19454.32</v>
      </c>
      <c r="T69" s="32" t="n">
        <f>2076</f>
        <v>2076.0</v>
      </c>
      <c r="U69" s="32" t="n">
        <f>4</f>
        <v>4.0</v>
      </c>
      <c r="V69" s="32" t="n">
        <f>40346843</f>
        <v>4.0346843E7</v>
      </c>
      <c r="W69" s="32" t="n">
        <f>78778</f>
        <v>78778.0</v>
      </c>
      <c r="X69" s="36" t="n">
        <f>22</f>
        <v>22.0</v>
      </c>
    </row>
    <row r="70">
      <c r="A70" s="27" t="s">
        <v>42</v>
      </c>
      <c r="B70" s="27" t="s">
        <v>254</v>
      </c>
      <c r="C70" s="27" t="s">
        <v>255</v>
      </c>
      <c r="D70" s="27" t="s">
        <v>256</v>
      </c>
      <c r="E70" s="28" t="s">
        <v>46</v>
      </c>
      <c r="F70" s="29" t="s">
        <v>46</v>
      </c>
      <c r="G70" s="30" t="s">
        <v>46</v>
      </c>
      <c r="H70" s="31"/>
      <c r="I70" s="31" t="s">
        <v>47</v>
      </c>
      <c r="J70" s="32" t="n">
        <v>1.0</v>
      </c>
      <c r="K70" s="33" t="n">
        <f>31030</f>
        <v>31030.0</v>
      </c>
      <c r="L70" s="34" t="s">
        <v>48</v>
      </c>
      <c r="M70" s="33" t="n">
        <f>31080</f>
        <v>31080.0</v>
      </c>
      <c r="N70" s="34" t="s">
        <v>83</v>
      </c>
      <c r="O70" s="33" t="n">
        <f>29500</f>
        <v>29500.0</v>
      </c>
      <c r="P70" s="34" t="s">
        <v>50</v>
      </c>
      <c r="Q70" s="33" t="n">
        <f>30390</f>
        <v>30390.0</v>
      </c>
      <c r="R70" s="34" t="s">
        <v>51</v>
      </c>
      <c r="S70" s="35" t="n">
        <f>30341.36</f>
        <v>30341.36</v>
      </c>
      <c r="T70" s="32" t="n">
        <f>85832</f>
        <v>85832.0</v>
      </c>
      <c r="U70" s="32" t="n">
        <f>30582</f>
        <v>30582.0</v>
      </c>
      <c r="V70" s="32" t="n">
        <f>2588912042</f>
        <v>2.588912042E9</v>
      </c>
      <c r="W70" s="32" t="n">
        <f>920471157</f>
        <v>9.20471157E8</v>
      </c>
      <c r="X70" s="36" t="n">
        <f>22</f>
        <v>22.0</v>
      </c>
    </row>
    <row r="71">
      <c r="A71" s="27" t="s">
        <v>42</v>
      </c>
      <c r="B71" s="27" t="s">
        <v>257</v>
      </c>
      <c r="C71" s="27" t="s">
        <v>258</v>
      </c>
      <c r="D71" s="27" t="s">
        <v>259</v>
      </c>
      <c r="E71" s="28" t="s">
        <v>46</v>
      </c>
      <c r="F71" s="29" t="s">
        <v>46</v>
      </c>
      <c r="G71" s="30" t="s">
        <v>46</v>
      </c>
      <c r="H71" s="31"/>
      <c r="I71" s="31" t="s">
        <v>47</v>
      </c>
      <c r="J71" s="32" t="n">
        <v>10.0</v>
      </c>
      <c r="K71" s="33" t="n">
        <f>10870</f>
        <v>10870.0</v>
      </c>
      <c r="L71" s="34" t="s">
        <v>48</v>
      </c>
      <c r="M71" s="33" t="n">
        <f>11700</f>
        <v>11700.0</v>
      </c>
      <c r="N71" s="34" t="s">
        <v>260</v>
      </c>
      <c r="O71" s="33" t="n">
        <f>10590</f>
        <v>10590.0</v>
      </c>
      <c r="P71" s="34" t="s">
        <v>51</v>
      </c>
      <c r="Q71" s="33" t="n">
        <f>10590</f>
        <v>10590.0</v>
      </c>
      <c r="R71" s="34" t="s">
        <v>51</v>
      </c>
      <c r="S71" s="35" t="n">
        <f>10942.5</f>
        <v>10942.5</v>
      </c>
      <c r="T71" s="32" t="n">
        <f>10160</f>
        <v>10160.0</v>
      </c>
      <c r="U71" s="32" t="n">
        <f>10</f>
        <v>10.0</v>
      </c>
      <c r="V71" s="32" t="n">
        <f>111059750</f>
        <v>1.1105975E8</v>
      </c>
      <c r="W71" s="32" t="n">
        <f>109800</f>
        <v>109800.0</v>
      </c>
      <c r="X71" s="36" t="n">
        <f>22</f>
        <v>22.0</v>
      </c>
    </row>
    <row r="72">
      <c r="A72" s="27" t="s">
        <v>42</v>
      </c>
      <c r="B72" s="27" t="s">
        <v>261</v>
      </c>
      <c r="C72" s="27" t="s">
        <v>262</v>
      </c>
      <c r="D72" s="27" t="s">
        <v>263</v>
      </c>
      <c r="E72" s="28" t="s">
        <v>46</v>
      </c>
      <c r="F72" s="29" t="s">
        <v>46</v>
      </c>
      <c r="G72" s="30" t="s">
        <v>46</v>
      </c>
      <c r="H72" s="31"/>
      <c r="I72" s="31" t="s">
        <v>47</v>
      </c>
      <c r="J72" s="32" t="n">
        <v>1.0</v>
      </c>
      <c r="K72" s="33" t="n">
        <f>1909</f>
        <v>1909.0</v>
      </c>
      <c r="L72" s="34" t="s">
        <v>48</v>
      </c>
      <c r="M72" s="33" t="n">
        <f>1909</f>
        <v>1909.0</v>
      </c>
      <c r="N72" s="34" t="s">
        <v>48</v>
      </c>
      <c r="O72" s="33" t="n">
        <f>1802</f>
        <v>1802.0</v>
      </c>
      <c r="P72" s="34" t="s">
        <v>219</v>
      </c>
      <c r="Q72" s="33" t="n">
        <f>1806</f>
        <v>1806.0</v>
      </c>
      <c r="R72" s="34" t="s">
        <v>51</v>
      </c>
      <c r="S72" s="35" t="n">
        <f>1843</f>
        <v>1843.0</v>
      </c>
      <c r="T72" s="32" t="n">
        <f>1076801</f>
        <v>1076801.0</v>
      </c>
      <c r="U72" s="32" t="n">
        <f>462791</f>
        <v>462791.0</v>
      </c>
      <c r="V72" s="32" t="n">
        <f>1966771431</f>
        <v>1.966771431E9</v>
      </c>
      <c r="W72" s="32" t="n">
        <f>836938713</f>
        <v>8.36938713E8</v>
      </c>
      <c r="X72" s="36" t="n">
        <f>22</f>
        <v>22.0</v>
      </c>
    </row>
    <row r="73">
      <c r="A73" s="27" t="s">
        <v>42</v>
      </c>
      <c r="B73" s="27" t="s">
        <v>264</v>
      </c>
      <c r="C73" s="27" t="s">
        <v>265</v>
      </c>
      <c r="D73" s="27" t="s">
        <v>266</v>
      </c>
      <c r="E73" s="28" t="s">
        <v>46</v>
      </c>
      <c r="F73" s="29" t="s">
        <v>46</v>
      </c>
      <c r="G73" s="30" t="s">
        <v>46</v>
      </c>
      <c r="H73" s="31"/>
      <c r="I73" s="31" t="s">
        <v>47</v>
      </c>
      <c r="J73" s="32" t="n">
        <v>1.0</v>
      </c>
      <c r="K73" s="33" t="n">
        <f>1904</f>
        <v>1904.0</v>
      </c>
      <c r="L73" s="34" t="s">
        <v>48</v>
      </c>
      <c r="M73" s="33" t="n">
        <f>1907</f>
        <v>1907.0</v>
      </c>
      <c r="N73" s="34" t="s">
        <v>48</v>
      </c>
      <c r="O73" s="33" t="n">
        <f>1850</f>
        <v>1850.0</v>
      </c>
      <c r="P73" s="34" t="s">
        <v>267</v>
      </c>
      <c r="Q73" s="33" t="n">
        <f>1854</f>
        <v>1854.0</v>
      </c>
      <c r="R73" s="34" t="s">
        <v>51</v>
      </c>
      <c r="S73" s="35" t="n">
        <f>1872.36</f>
        <v>1872.36</v>
      </c>
      <c r="T73" s="32" t="n">
        <f>566735</f>
        <v>566735.0</v>
      </c>
      <c r="U73" s="32" t="n">
        <f>20001</f>
        <v>20001.0</v>
      </c>
      <c r="V73" s="32" t="n">
        <f>1062324346</f>
        <v>1.062324346E9</v>
      </c>
      <c r="W73" s="32" t="n">
        <f>37971893</f>
        <v>3.7971893E7</v>
      </c>
      <c r="X73" s="36" t="n">
        <f>22</f>
        <v>22.0</v>
      </c>
    </row>
    <row r="74">
      <c r="A74" s="27" t="s">
        <v>42</v>
      </c>
      <c r="B74" s="27" t="s">
        <v>268</v>
      </c>
      <c r="C74" s="27" t="s">
        <v>269</v>
      </c>
      <c r="D74" s="27" t="s">
        <v>270</v>
      </c>
      <c r="E74" s="28" t="s">
        <v>46</v>
      </c>
      <c r="F74" s="29" t="s">
        <v>46</v>
      </c>
      <c r="G74" s="30" t="s">
        <v>46</v>
      </c>
      <c r="H74" s="31"/>
      <c r="I74" s="31" t="s">
        <v>47</v>
      </c>
      <c r="J74" s="32" t="n">
        <v>1.0</v>
      </c>
      <c r="K74" s="33" t="n">
        <f>21040</f>
        <v>21040.0</v>
      </c>
      <c r="L74" s="34" t="s">
        <v>48</v>
      </c>
      <c r="M74" s="33" t="n">
        <f>22500</f>
        <v>22500.0</v>
      </c>
      <c r="N74" s="34" t="s">
        <v>55</v>
      </c>
      <c r="O74" s="33" t="n">
        <f>20835</f>
        <v>20835.0</v>
      </c>
      <c r="P74" s="34" t="s">
        <v>56</v>
      </c>
      <c r="Q74" s="33" t="n">
        <f>21470</f>
        <v>21470.0</v>
      </c>
      <c r="R74" s="34" t="s">
        <v>51</v>
      </c>
      <c r="S74" s="35" t="n">
        <f>21436.36</f>
        <v>21436.36</v>
      </c>
      <c r="T74" s="32" t="n">
        <f>7291</f>
        <v>7291.0</v>
      </c>
      <c r="U74" s="32" t="str">
        <f>"－"</f>
        <v>－</v>
      </c>
      <c r="V74" s="32" t="n">
        <f>155868235</f>
        <v>1.55868235E8</v>
      </c>
      <c r="W74" s="32" t="str">
        <f>"－"</f>
        <v>－</v>
      </c>
      <c r="X74" s="36" t="n">
        <f>22</f>
        <v>22.0</v>
      </c>
    </row>
    <row r="75">
      <c r="A75" s="27" t="s">
        <v>42</v>
      </c>
      <c r="B75" s="27" t="s">
        <v>271</v>
      </c>
      <c r="C75" s="27" t="s">
        <v>272</v>
      </c>
      <c r="D75" s="27" t="s">
        <v>273</v>
      </c>
      <c r="E75" s="28" t="s">
        <v>46</v>
      </c>
      <c r="F75" s="29" t="s">
        <v>46</v>
      </c>
      <c r="G75" s="30" t="s">
        <v>46</v>
      </c>
      <c r="H75" s="31"/>
      <c r="I75" s="31" t="s">
        <v>47</v>
      </c>
      <c r="J75" s="32" t="n">
        <v>1.0</v>
      </c>
      <c r="K75" s="33" t="n">
        <f>9452</f>
        <v>9452.0</v>
      </c>
      <c r="L75" s="34" t="s">
        <v>48</v>
      </c>
      <c r="M75" s="33" t="n">
        <f>9535</f>
        <v>9535.0</v>
      </c>
      <c r="N75" s="34" t="s">
        <v>55</v>
      </c>
      <c r="O75" s="33" t="n">
        <f>9249</f>
        <v>9249.0</v>
      </c>
      <c r="P75" s="34" t="s">
        <v>51</v>
      </c>
      <c r="Q75" s="33" t="n">
        <f>9269</f>
        <v>9269.0</v>
      </c>
      <c r="R75" s="34" t="s">
        <v>51</v>
      </c>
      <c r="S75" s="35" t="n">
        <f>9340.09</f>
        <v>9340.09</v>
      </c>
      <c r="T75" s="32" t="n">
        <f>2240</f>
        <v>2240.0</v>
      </c>
      <c r="U75" s="32" t="str">
        <f>"－"</f>
        <v>－</v>
      </c>
      <c r="V75" s="32" t="n">
        <f>21004226</f>
        <v>2.1004226E7</v>
      </c>
      <c r="W75" s="32" t="str">
        <f>"－"</f>
        <v>－</v>
      </c>
      <c r="X75" s="36" t="n">
        <f>22</f>
        <v>22.0</v>
      </c>
    </row>
    <row r="76">
      <c r="A76" s="27" t="s">
        <v>42</v>
      </c>
      <c r="B76" s="27" t="s">
        <v>274</v>
      </c>
      <c r="C76" s="27" t="s">
        <v>275</v>
      </c>
      <c r="D76" s="27" t="s">
        <v>276</v>
      </c>
      <c r="E76" s="28" t="s">
        <v>46</v>
      </c>
      <c r="F76" s="29" t="s">
        <v>46</v>
      </c>
      <c r="G76" s="30" t="s">
        <v>46</v>
      </c>
      <c r="H76" s="31"/>
      <c r="I76" s="31" t="s">
        <v>47</v>
      </c>
      <c r="J76" s="32" t="n">
        <v>1.0</v>
      </c>
      <c r="K76" s="33" t="n">
        <f>11460</f>
        <v>11460.0</v>
      </c>
      <c r="L76" s="34" t="s">
        <v>48</v>
      </c>
      <c r="M76" s="33" t="n">
        <f>12965</f>
        <v>12965.0</v>
      </c>
      <c r="N76" s="34" t="s">
        <v>51</v>
      </c>
      <c r="O76" s="33" t="n">
        <f>11460</f>
        <v>11460.0</v>
      </c>
      <c r="P76" s="34" t="s">
        <v>48</v>
      </c>
      <c r="Q76" s="33" t="n">
        <f>12915</f>
        <v>12915.0</v>
      </c>
      <c r="R76" s="34" t="s">
        <v>51</v>
      </c>
      <c r="S76" s="35" t="n">
        <f>12186.14</f>
        <v>12186.14</v>
      </c>
      <c r="T76" s="32" t="n">
        <f>5024361</f>
        <v>5024361.0</v>
      </c>
      <c r="U76" s="32" t="n">
        <f>258272</f>
        <v>258272.0</v>
      </c>
      <c r="V76" s="32" t="n">
        <f>61871989064</f>
        <v>6.1871989064E10</v>
      </c>
      <c r="W76" s="32" t="n">
        <f>3241721154</f>
        <v>3.241721154E9</v>
      </c>
      <c r="X76" s="36" t="n">
        <f>22</f>
        <v>22.0</v>
      </c>
    </row>
    <row r="77">
      <c r="A77" s="27" t="s">
        <v>42</v>
      </c>
      <c r="B77" s="27" t="s">
        <v>277</v>
      </c>
      <c r="C77" s="27" t="s">
        <v>278</v>
      </c>
      <c r="D77" s="27" t="s">
        <v>279</v>
      </c>
      <c r="E77" s="28" t="s">
        <v>46</v>
      </c>
      <c r="F77" s="29" t="s">
        <v>46</v>
      </c>
      <c r="G77" s="30" t="s">
        <v>46</v>
      </c>
      <c r="H77" s="31"/>
      <c r="I77" s="31" t="s">
        <v>47</v>
      </c>
      <c r="J77" s="32" t="n">
        <v>1.0</v>
      </c>
      <c r="K77" s="33" t="n">
        <f>4180</f>
        <v>4180.0</v>
      </c>
      <c r="L77" s="34" t="s">
        <v>48</v>
      </c>
      <c r="M77" s="33" t="n">
        <f>4755</f>
        <v>4755.0</v>
      </c>
      <c r="N77" s="34" t="s">
        <v>49</v>
      </c>
      <c r="O77" s="33" t="n">
        <f>4165</f>
        <v>4165.0</v>
      </c>
      <c r="P77" s="34" t="s">
        <v>181</v>
      </c>
      <c r="Q77" s="33" t="n">
        <f>4565</f>
        <v>4565.0</v>
      </c>
      <c r="R77" s="34" t="s">
        <v>51</v>
      </c>
      <c r="S77" s="35" t="n">
        <f>4421.59</f>
        <v>4421.59</v>
      </c>
      <c r="T77" s="32" t="n">
        <f>635016</f>
        <v>635016.0</v>
      </c>
      <c r="U77" s="32" t="n">
        <f>11</f>
        <v>11.0</v>
      </c>
      <c r="V77" s="32" t="n">
        <f>2837974085</f>
        <v>2.837974085E9</v>
      </c>
      <c r="W77" s="32" t="n">
        <f>46650</f>
        <v>46650.0</v>
      </c>
      <c r="X77" s="36" t="n">
        <f>22</f>
        <v>22.0</v>
      </c>
    </row>
    <row r="78">
      <c r="A78" s="27" t="s">
        <v>42</v>
      </c>
      <c r="B78" s="27" t="s">
        <v>280</v>
      </c>
      <c r="C78" s="27" t="s">
        <v>281</v>
      </c>
      <c r="D78" s="27" t="s">
        <v>282</v>
      </c>
      <c r="E78" s="28" t="s">
        <v>46</v>
      </c>
      <c r="F78" s="29" t="s">
        <v>46</v>
      </c>
      <c r="G78" s="30" t="s">
        <v>46</v>
      </c>
      <c r="H78" s="31"/>
      <c r="I78" s="31" t="s">
        <v>47</v>
      </c>
      <c r="J78" s="32" t="n">
        <v>1.0</v>
      </c>
      <c r="K78" s="33" t="n">
        <f>13295</f>
        <v>13295.0</v>
      </c>
      <c r="L78" s="34" t="s">
        <v>48</v>
      </c>
      <c r="M78" s="33" t="n">
        <f>15735</f>
        <v>15735.0</v>
      </c>
      <c r="N78" s="34" t="s">
        <v>267</v>
      </c>
      <c r="O78" s="33" t="n">
        <f>13250</f>
        <v>13250.0</v>
      </c>
      <c r="P78" s="34" t="s">
        <v>72</v>
      </c>
      <c r="Q78" s="33" t="n">
        <f>15265</f>
        <v>15265.0</v>
      </c>
      <c r="R78" s="34" t="s">
        <v>51</v>
      </c>
      <c r="S78" s="35" t="n">
        <f>14372.73</f>
        <v>14372.73</v>
      </c>
      <c r="T78" s="32" t="n">
        <f>473751</f>
        <v>473751.0</v>
      </c>
      <c r="U78" s="32" t="n">
        <f>56</f>
        <v>56.0</v>
      </c>
      <c r="V78" s="32" t="n">
        <f>6970503220</f>
        <v>6.97050322E9</v>
      </c>
      <c r="W78" s="32" t="n">
        <f>797150</f>
        <v>797150.0</v>
      </c>
      <c r="X78" s="36" t="n">
        <f>22</f>
        <v>22.0</v>
      </c>
    </row>
    <row r="79">
      <c r="A79" s="27" t="s">
        <v>42</v>
      </c>
      <c r="B79" s="27" t="s">
        <v>283</v>
      </c>
      <c r="C79" s="27" t="s">
        <v>284</v>
      </c>
      <c r="D79" s="27" t="s">
        <v>285</v>
      </c>
      <c r="E79" s="28" t="s">
        <v>46</v>
      </c>
      <c r="F79" s="29" t="s">
        <v>46</v>
      </c>
      <c r="G79" s="30" t="s">
        <v>46</v>
      </c>
      <c r="H79" s="31"/>
      <c r="I79" s="31" t="s">
        <v>47</v>
      </c>
      <c r="J79" s="32" t="n">
        <v>1.0</v>
      </c>
      <c r="K79" s="33" t="n">
        <f>42850</f>
        <v>42850.0</v>
      </c>
      <c r="L79" s="34" t="s">
        <v>48</v>
      </c>
      <c r="M79" s="33" t="n">
        <f>54760</f>
        <v>54760.0</v>
      </c>
      <c r="N79" s="34" t="s">
        <v>49</v>
      </c>
      <c r="O79" s="33" t="n">
        <f>42200</f>
        <v>42200.0</v>
      </c>
      <c r="P79" s="34" t="s">
        <v>72</v>
      </c>
      <c r="Q79" s="33" t="n">
        <f>50310</f>
        <v>50310.0</v>
      </c>
      <c r="R79" s="34" t="s">
        <v>51</v>
      </c>
      <c r="S79" s="35" t="n">
        <f>46678.64</f>
        <v>46678.64</v>
      </c>
      <c r="T79" s="32" t="n">
        <f>32256</f>
        <v>32256.0</v>
      </c>
      <c r="U79" s="32" t="n">
        <f>117</f>
        <v>117.0</v>
      </c>
      <c r="V79" s="32" t="n">
        <f>1607463440</f>
        <v>1.60746344E9</v>
      </c>
      <c r="W79" s="32" t="n">
        <f>5719650</f>
        <v>5719650.0</v>
      </c>
      <c r="X79" s="36" t="n">
        <f>22</f>
        <v>22.0</v>
      </c>
    </row>
    <row r="80">
      <c r="A80" s="27" t="s">
        <v>42</v>
      </c>
      <c r="B80" s="27" t="s">
        <v>286</v>
      </c>
      <c r="C80" s="27" t="s">
        <v>287</v>
      </c>
      <c r="D80" s="27" t="s">
        <v>288</v>
      </c>
      <c r="E80" s="28" t="s">
        <v>46</v>
      </c>
      <c r="F80" s="29" t="s">
        <v>46</v>
      </c>
      <c r="G80" s="30" t="s">
        <v>46</v>
      </c>
      <c r="H80" s="31"/>
      <c r="I80" s="31" t="s">
        <v>47</v>
      </c>
      <c r="J80" s="32" t="n">
        <v>1.0</v>
      </c>
      <c r="K80" s="33" t="n">
        <f>29080</f>
        <v>29080.0</v>
      </c>
      <c r="L80" s="34" t="s">
        <v>48</v>
      </c>
      <c r="M80" s="33" t="n">
        <f>31980</f>
        <v>31980.0</v>
      </c>
      <c r="N80" s="34" t="s">
        <v>49</v>
      </c>
      <c r="O80" s="33" t="n">
        <f>28560</f>
        <v>28560.0</v>
      </c>
      <c r="P80" s="34" t="s">
        <v>72</v>
      </c>
      <c r="Q80" s="33" t="n">
        <f>31290</f>
        <v>31290.0</v>
      </c>
      <c r="R80" s="34" t="s">
        <v>51</v>
      </c>
      <c r="S80" s="35" t="n">
        <f>30489.09</f>
        <v>30489.09</v>
      </c>
      <c r="T80" s="32" t="n">
        <f>845944</f>
        <v>845944.0</v>
      </c>
      <c r="U80" s="32" t="n">
        <f>6309</f>
        <v>6309.0</v>
      </c>
      <c r="V80" s="32" t="n">
        <f>25865659265</f>
        <v>2.5865659265E10</v>
      </c>
      <c r="W80" s="32" t="n">
        <f>194253480</f>
        <v>1.9425348E8</v>
      </c>
      <c r="X80" s="36" t="n">
        <f>22</f>
        <v>22.0</v>
      </c>
    </row>
    <row r="81">
      <c r="A81" s="27" t="s">
        <v>42</v>
      </c>
      <c r="B81" s="27" t="s">
        <v>289</v>
      </c>
      <c r="C81" s="27" t="s">
        <v>290</v>
      </c>
      <c r="D81" s="27" t="s">
        <v>291</v>
      </c>
      <c r="E81" s="28" t="s">
        <v>46</v>
      </c>
      <c r="F81" s="29" t="s">
        <v>46</v>
      </c>
      <c r="G81" s="30" t="s">
        <v>46</v>
      </c>
      <c r="H81" s="31"/>
      <c r="I81" s="31" t="s">
        <v>47</v>
      </c>
      <c r="J81" s="32" t="n">
        <v>1.0</v>
      </c>
      <c r="K81" s="33" t="n">
        <f>59060</f>
        <v>59060.0</v>
      </c>
      <c r="L81" s="34" t="s">
        <v>48</v>
      </c>
      <c r="M81" s="33" t="n">
        <f>63390</f>
        <v>63390.0</v>
      </c>
      <c r="N81" s="34" t="s">
        <v>267</v>
      </c>
      <c r="O81" s="33" t="n">
        <f>58650</f>
        <v>58650.0</v>
      </c>
      <c r="P81" s="34" t="s">
        <v>72</v>
      </c>
      <c r="Q81" s="33" t="n">
        <f>62800</f>
        <v>62800.0</v>
      </c>
      <c r="R81" s="34" t="s">
        <v>51</v>
      </c>
      <c r="S81" s="35" t="n">
        <f>61836.36</f>
        <v>61836.36</v>
      </c>
      <c r="T81" s="32" t="n">
        <f>36221</f>
        <v>36221.0</v>
      </c>
      <c r="U81" s="32" t="n">
        <f>515</f>
        <v>515.0</v>
      </c>
      <c r="V81" s="32" t="n">
        <f>2229554960</f>
        <v>2.22955496E9</v>
      </c>
      <c r="W81" s="32" t="n">
        <f>30575400</f>
        <v>3.05754E7</v>
      </c>
      <c r="X81" s="36" t="n">
        <f>22</f>
        <v>22.0</v>
      </c>
    </row>
    <row r="82">
      <c r="A82" s="27" t="s">
        <v>42</v>
      </c>
      <c r="B82" s="27" t="s">
        <v>292</v>
      </c>
      <c r="C82" s="27" t="s">
        <v>293</v>
      </c>
      <c r="D82" s="27" t="s">
        <v>294</v>
      </c>
      <c r="E82" s="28" t="s">
        <v>46</v>
      </c>
      <c r="F82" s="29" t="s">
        <v>46</v>
      </c>
      <c r="G82" s="30" t="s">
        <v>46</v>
      </c>
      <c r="H82" s="31"/>
      <c r="I82" s="31" t="s">
        <v>47</v>
      </c>
      <c r="J82" s="32" t="n">
        <v>10.0</v>
      </c>
      <c r="K82" s="33" t="n">
        <f>9013</f>
        <v>9013.0</v>
      </c>
      <c r="L82" s="34" t="s">
        <v>48</v>
      </c>
      <c r="M82" s="33" t="n">
        <f>9812</f>
        <v>9812.0</v>
      </c>
      <c r="N82" s="34" t="s">
        <v>50</v>
      </c>
      <c r="O82" s="33" t="n">
        <f>8916</f>
        <v>8916.0</v>
      </c>
      <c r="P82" s="34" t="s">
        <v>72</v>
      </c>
      <c r="Q82" s="33" t="n">
        <f>9671</f>
        <v>9671.0</v>
      </c>
      <c r="R82" s="34" t="s">
        <v>51</v>
      </c>
      <c r="S82" s="35" t="n">
        <f>9460.45</f>
        <v>9460.45</v>
      </c>
      <c r="T82" s="32" t="n">
        <f>1208790</f>
        <v>1208790.0</v>
      </c>
      <c r="U82" s="32" t="n">
        <f>541770</f>
        <v>541770.0</v>
      </c>
      <c r="V82" s="32" t="n">
        <f>11550827110</f>
        <v>1.155082711E10</v>
      </c>
      <c r="W82" s="32" t="n">
        <f>5223716470</f>
        <v>5.22371647E9</v>
      </c>
      <c r="X82" s="36" t="n">
        <f>22</f>
        <v>22.0</v>
      </c>
    </row>
    <row r="83">
      <c r="A83" s="27" t="s">
        <v>42</v>
      </c>
      <c r="B83" s="27" t="s">
        <v>295</v>
      </c>
      <c r="C83" s="27" t="s">
        <v>296</v>
      </c>
      <c r="D83" s="27" t="s">
        <v>297</v>
      </c>
      <c r="E83" s="28" t="s">
        <v>46</v>
      </c>
      <c r="F83" s="29" t="s">
        <v>46</v>
      </c>
      <c r="G83" s="30" t="s">
        <v>46</v>
      </c>
      <c r="H83" s="31"/>
      <c r="I83" s="31" t="s">
        <v>47</v>
      </c>
      <c r="J83" s="32" t="n">
        <v>10.0</v>
      </c>
      <c r="K83" s="33" t="n">
        <f>5572</f>
        <v>5572.0</v>
      </c>
      <c r="L83" s="34" t="s">
        <v>48</v>
      </c>
      <c r="M83" s="33" t="n">
        <f>5978</f>
        <v>5978.0</v>
      </c>
      <c r="N83" s="34" t="s">
        <v>50</v>
      </c>
      <c r="O83" s="33" t="n">
        <f>5529</f>
        <v>5529.0</v>
      </c>
      <c r="P83" s="34" t="s">
        <v>72</v>
      </c>
      <c r="Q83" s="33" t="n">
        <f>5911</f>
        <v>5911.0</v>
      </c>
      <c r="R83" s="34" t="s">
        <v>51</v>
      </c>
      <c r="S83" s="35" t="n">
        <f>5798.18</f>
        <v>5798.18</v>
      </c>
      <c r="T83" s="32" t="n">
        <f>163580</f>
        <v>163580.0</v>
      </c>
      <c r="U83" s="32" t="n">
        <f>7500</f>
        <v>7500.0</v>
      </c>
      <c r="V83" s="32" t="n">
        <f>950560580</f>
        <v>9.5056058E8</v>
      </c>
      <c r="W83" s="32" t="n">
        <f>43467210</f>
        <v>4.346721E7</v>
      </c>
      <c r="X83" s="36" t="n">
        <f>22</f>
        <v>22.0</v>
      </c>
    </row>
    <row r="84">
      <c r="A84" s="27" t="s">
        <v>42</v>
      </c>
      <c r="B84" s="27" t="s">
        <v>298</v>
      </c>
      <c r="C84" s="27" t="s">
        <v>299</v>
      </c>
      <c r="D84" s="27" t="s">
        <v>300</v>
      </c>
      <c r="E84" s="28" t="s">
        <v>46</v>
      </c>
      <c r="F84" s="29" t="s">
        <v>46</v>
      </c>
      <c r="G84" s="30" t="s">
        <v>46</v>
      </c>
      <c r="H84" s="31"/>
      <c r="I84" s="31" t="s">
        <v>47</v>
      </c>
      <c r="J84" s="32" t="n">
        <v>10.0</v>
      </c>
      <c r="K84" s="33" t="n">
        <f>5181</f>
        <v>5181.0</v>
      </c>
      <c r="L84" s="34" t="s">
        <v>48</v>
      </c>
      <c r="M84" s="33" t="n">
        <f>5254</f>
        <v>5254.0</v>
      </c>
      <c r="N84" s="34" t="s">
        <v>50</v>
      </c>
      <c r="O84" s="33" t="n">
        <f>4828</f>
        <v>4828.0</v>
      </c>
      <c r="P84" s="34" t="s">
        <v>50</v>
      </c>
      <c r="Q84" s="33" t="n">
        <f>5013</f>
        <v>5013.0</v>
      </c>
      <c r="R84" s="34" t="s">
        <v>51</v>
      </c>
      <c r="S84" s="35" t="n">
        <f>5055.47</f>
        <v>5055.47</v>
      </c>
      <c r="T84" s="32" t="n">
        <f>13270</f>
        <v>13270.0</v>
      </c>
      <c r="U84" s="32" t="n">
        <f>10</f>
        <v>10.0</v>
      </c>
      <c r="V84" s="32" t="n">
        <f>66211720</f>
        <v>6.621172E7</v>
      </c>
      <c r="W84" s="32" t="n">
        <f>47010</f>
        <v>47010.0</v>
      </c>
      <c r="X84" s="36" t="n">
        <f>19</f>
        <v>19.0</v>
      </c>
    </row>
    <row r="85">
      <c r="A85" s="27" t="s">
        <v>42</v>
      </c>
      <c r="B85" s="27" t="s">
        <v>301</v>
      </c>
      <c r="C85" s="27" t="s">
        <v>302</v>
      </c>
      <c r="D85" s="27" t="s">
        <v>303</v>
      </c>
      <c r="E85" s="28" t="s">
        <v>46</v>
      </c>
      <c r="F85" s="29" t="s">
        <v>46</v>
      </c>
      <c r="G85" s="30" t="s">
        <v>46</v>
      </c>
      <c r="H85" s="31"/>
      <c r="I85" s="31" t="s">
        <v>47</v>
      </c>
      <c r="J85" s="32" t="n">
        <v>10.0</v>
      </c>
      <c r="K85" s="33" t="n">
        <f>4637</f>
        <v>4637.0</v>
      </c>
      <c r="L85" s="34" t="s">
        <v>48</v>
      </c>
      <c r="M85" s="33" t="n">
        <f>4950</f>
        <v>4950.0</v>
      </c>
      <c r="N85" s="34" t="s">
        <v>50</v>
      </c>
      <c r="O85" s="33" t="n">
        <f>4585</f>
        <v>4585.0</v>
      </c>
      <c r="P85" s="34" t="s">
        <v>72</v>
      </c>
      <c r="Q85" s="33" t="n">
        <f>4879</f>
        <v>4879.0</v>
      </c>
      <c r="R85" s="34" t="s">
        <v>51</v>
      </c>
      <c r="S85" s="35" t="n">
        <f>4798.18</f>
        <v>4798.18</v>
      </c>
      <c r="T85" s="32" t="n">
        <f>71660</f>
        <v>71660.0</v>
      </c>
      <c r="U85" s="32" t="str">
        <f>"－"</f>
        <v>－</v>
      </c>
      <c r="V85" s="32" t="n">
        <f>343383830</f>
        <v>3.4338383E8</v>
      </c>
      <c r="W85" s="32" t="str">
        <f>"－"</f>
        <v>－</v>
      </c>
      <c r="X85" s="36" t="n">
        <f>22</f>
        <v>22.0</v>
      </c>
    </row>
    <row r="86">
      <c r="A86" s="27" t="s">
        <v>42</v>
      </c>
      <c r="B86" s="27" t="s">
        <v>304</v>
      </c>
      <c r="C86" s="27" t="s">
        <v>305</v>
      </c>
      <c r="D86" s="27" t="s">
        <v>306</v>
      </c>
      <c r="E86" s="28" t="s">
        <v>46</v>
      </c>
      <c r="F86" s="29" t="s">
        <v>46</v>
      </c>
      <c r="G86" s="30" t="s">
        <v>46</v>
      </c>
      <c r="H86" s="31"/>
      <c r="I86" s="31" t="s">
        <v>47</v>
      </c>
      <c r="J86" s="32" t="n">
        <v>10.0</v>
      </c>
      <c r="K86" s="33" t="n">
        <f>2419</f>
        <v>2419.0</v>
      </c>
      <c r="L86" s="34" t="s">
        <v>48</v>
      </c>
      <c r="M86" s="33" t="n">
        <f>2495.5</f>
        <v>2495.5</v>
      </c>
      <c r="N86" s="34" t="s">
        <v>260</v>
      </c>
      <c r="O86" s="33" t="n">
        <f>2390</f>
        <v>2390.0</v>
      </c>
      <c r="P86" s="34" t="s">
        <v>219</v>
      </c>
      <c r="Q86" s="33" t="n">
        <f>2408</f>
        <v>2408.0</v>
      </c>
      <c r="R86" s="34" t="s">
        <v>51</v>
      </c>
      <c r="S86" s="35" t="n">
        <f>2442.3</f>
        <v>2442.3</v>
      </c>
      <c r="T86" s="32" t="n">
        <f>41940</f>
        <v>41940.0</v>
      </c>
      <c r="U86" s="32" t="str">
        <f>"－"</f>
        <v>－</v>
      </c>
      <c r="V86" s="32" t="n">
        <f>102740740</f>
        <v>1.0274074E8</v>
      </c>
      <c r="W86" s="32" t="str">
        <f>"－"</f>
        <v>－</v>
      </c>
      <c r="X86" s="36" t="n">
        <f>22</f>
        <v>22.0</v>
      </c>
    </row>
    <row r="87">
      <c r="A87" s="27" t="s">
        <v>42</v>
      </c>
      <c r="B87" s="27" t="s">
        <v>307</v>
      </c>
      <c r="C87" s="27" t="s">
        <v>308</v>
      </c>
      <c r="D87" s="27" t="s">
        <v>309</v>
      </c>
      <c r="E87" s="28" t="s">
        <v>46</v>
      </c>
      <c r="F87" s="29" t="s">
        <v>46</v>
      </c>
      <c r="G87" s="30" t="s">
        <v>46</v>
      </c>
      <c r="H87" s="31"/>
      <c r="I87" s="31" t="s">
        <v>47</v>
      </c>
      <c r="J87" s="32" t="n">
        <v>1.0</v>
      </c>
      <c r="K87" s="33" t="n">
        <f>82180</f>
        <v>82180.0</v>
      </c>
      <c r="L87" s="34" t="s">
        <v>48</v>
      </c>
      <c r="M87" s="33" t="n">
        <f>89600</f>
        <v>89600.0</v>
      </c>
      <c r="N87" s="34" t="s">
        <v>50</v>
      </c>
      <c r="O87" s="33" t="n">
        <f>81370</f>
        <v>81370.0</v>
      </c>
      <c r="P87" s="34" t="s">
        <v>72</v>
      </c>
      <c r="Q87" s="33" t="n">
        <f>88300</f>
        <v>88300.0</v>
      </c>
      <c r="R87" s="34" t="s">
        <v>51</v>
      </c>
      <c r="S87" s="35" t="n">
        <f>86420</f>
        <v>86420.0</v>
      </c>
      <c r="T87" s="32" t="n">
        <f>70519</f>
        <v>70519.0</v>
      </c>
      <c r="U87" s="32" t="n">
        <f>5</f>
        <v>5.0</v>
      </c>
      <c r="V87" s="32" t="n">
        <f>6104733625</f>
        <v>6.104733625E9</v>
      </c>
      <c r="W87" s="32" t="n">
        <f>434825</f>
        <v>434825.0</v>
      </c>
      <c r="X87" s="36" t="n">
        <f>22</f>
        <v>22.0</v>
      </c>
    </row>
    <row r="88">
      <c r="A88" s="27" t="s">
        <v>42</v>
      </c>
      <c r="B88" s="27" t="s">
        <v>310</v>
      </c>
      <c r="C88" s="27" t="s">
        <v>311</v>
      </c>
      <c r="D88" s="27" t="s">
        <v>312</v>
      </c>
      <c r="E88" s="28" t="s">
        <v>46</v>
      </c>
      <c r="F88" s="29" t="s">
        <v>46</v>
      </c>
      <c r="G88" s="30" t="s">
        <v>46</v>
      </c>
      <c r="H88" s="31"/>
      <c r="I88" s="31" t="s">
        <v>47</v>
      </c>
      <c r="J88" s="32" t="n">
        <v>1.0</v>
      </c>
      <c r="K88" s="33" t="n">
        <f>3600</f>
        <v>3600.0</v>
      </c>
      <c r="L88" s="34" t="s">
        <v>48</v>
      </c>
      <c r="M88" s="33" t="n">
        <f>3845</f>
        <v>3845.0</v>
      </c>
      <c r="N88" s="34" t="s">
        <v>84</v>
      </c>
      <c r="O88" s="33" t="n">
        <f>3550</f>
        <v>3550.0</v>
      </c>
      <c r="P88" s="34" t="s">
        <v>83</v>
      </c>
      <c r="Q88" s="33" t="n">
        <f>3740</f>
        <v>3740.0</v>
      </c>
      <c r="R88" s="34" t="s">
        <v>51</v>
      </c>
      <c r="S88" s="35" t="n">
        <f>3729.32</f>
        <v>3729.32</v>
      </c>
      <c r="T88" s="32" t="n">
        <f>9887</f>
        <v>9887.0</v>
      </c>
      <c r="U88" s="32" t="str">
        <f>"－"</f>
        <v>－</v>
      </c>
      <c r="V88" s="32" t="n">
        <f>36764890</f>
        <v>3.676489E7</v>
      </c>
      <c r="W88" s="32" t="str">
        <f>"－"</f>
        <v>－</v>
      </c>
      <c r="X88" s="36" t="n">
        <f>22</f>
        <v>22.0</v>
      </c>
    </row>
    <row r="89">
      <c r="A89" s="27" t="s">
        <v>42</v>
      </c>
      <c r="B89" s="27" t="s">
        <v>313</v>
      </c>
      <c r="C89" s="27" t="s">
        <v>314</v>
      </c>
      <c r="D89" s="27" t="s">
        <v>315</v>
      </c>
      <c r="E89" s="28" t="s">
        <v>46</v>
      </c>
      <c r="F89" s="29" t="s">
        <v>46</v>
      </c>
      <c r="G89" s="30" t="s">
        <v>46</v>
      </c>
      <c r="H89" s="31"/>
      <c r="I89" s="31" t="s">
        <v>47</v>
      </c>
      <c r="J89" s="32" t="n">
        <v>1.0</v>
      </c>
      <c r="K89" s="33" t="n">
        <f>5500</f>
        <v>5500.0</v>
      </c>
      <c r="L89" s="34" t="s">
        <v>48</v>
      </c>
      <c r="M89" s="33" t="n">
        <f>5590</f>
        <v>5590.0</v>
      </c>
      <c r="N89" s="34" t="s">
        <v>64</v>
      </c>
      <c r="O89" s="33" t="n">
        <f>5310</f>
        <v>5310.0</v>
      </c>
      <c r="P89" s="34" t="s">
        <v>219</v>
      </c>
      <c r="Q89" s="33" t="n">
        <f>5360</f>
        <v>5360.0</v>
      </c>
      <c r="R89" s="34" t="s">
        <v>51</v>
      </c>
      <c r="S89" s="35" t="n">
        <f>5455.91</f>
        <v>5455.91</v>
      </c>
      <c r="T89" s="32" t="n">
        <f>6666</f>
        <v>6666.0</v>
      </c>
      <c r="U89" s="32" t="str">
        <f>"－"</f>
        <v>－</v>
      </c>
      <c r="V89" s="32" t="n">
        <f>36444740</f>
        <v>3.644474E7</v>
      </c>
      <c r="W89" s="32" t="str">
        <f>"－"</f>
        <v>－</v>
      </c>
      <c r="X89" s="36" t="n">
        <f>22</f>
        <v>22.0</v>
      </c>
    </row>
    <row r="90">
      <c r="A90" s="27" t="s">
        <v>42</v>
      </c>
      <c r="B90" s="27" t="s">
        <v>316</v>
      </c>
      <c r="C90" s="27" t="s">
        <v>317</v>
      </c>
      <c r="D90" s="27" t="s">
        <v>318</v>
      </c>
      <c r="E90" s="28" t="s">
        <v>46</v>
      </c>
      <c r="F90" s="29" t="s">
        <v>46</v>
      </c>
      <c r="G90" s="30" t="s">
        <v>46</v>
      </c>
      <c r="H90" s="31"/>
      <c r="I90" s="31" t="s">
        <v>47</v>
      </c>
      <c r="J90" s="32" t="n">
        <v>1.0</v>
      </c>
      <c r="K90" s="33" t="n">
        <f>2259</f>
        <v>2259.0</v>
      </c>
      <c r="L90" s="34" t="s">
        <v>48</v>
      </c>
      <c r="M90" s="33" t="n">
        <f>2348</f>
        <v>2348.0</v>
      </c>
      <c r="N90" s="34" t="s">
        <v>51</v>
      </c>
      <c r="O90" s="33" t="n">
        <f>2134</f>
        <v>2134.0</v>
      </c>
      <c r="P90" s="34" t="s">
        <v>50</v>
      </c>
      <c r="Q90" s="33" t="n">
        <f>2347</f>
        <v>2347.0</v>
      </c>
      <c r="R90" s="34" t="s">
        <v>51</v>
      </c>
      <c r="S90" s="35" t="n">
        <f>2254.95</f>
        <v>2254.95</v>
      </c>
      <c r="T90" s="32" t="n">
        <f>710814</f>
        <v>710814.0</v>
      </c>
      <c r="U90" s="32" t="n">
        <f>50220</f>
        <v>50220.0</v>
      </c>
      <c r="V90" s="32" t="n">
        <f>1603463087</f>
        <v>1.603463087E9</v>
      </c>
      <c r="W90" s="32" t="n">
        <f>116232235</f>
        <v>1.16232235E8</v>
      </c>
      <c r="X90" s="36" t="n">
        <f>22</f>
        <v>22.0</v>
      </c>
    </row>
    <row r="91">
      <c r="A91" s="27" t="s">
        <v>42</v>
      </c>
      <c r="B91" s="27" t="s">
        <v>319</v>
      </c>
      <c r="C91" s="27" t="s">
        <v>320</v>
      </c>
      <c r="D91" s="27" t="s">
        <v>321</v>
      </c>
      <c r="E91" s="28" t="s">
        <v>46</v>
      </c>
      <c r="F91" s="29" t="s">
        <v>46</v>
      </c>
      <c r="G91" s="30" t="s">
        <v>46</v>
      </c>
      <c r="H91" s="31"/>
      <c r="I91" s="31" t="s">
        <v>47</v>
      </c>
      <c r="J91" s="32" t="n">
        <v>1.0</v>
      </c>
      <c r="K91" s="33" t="n">
        <f>48880</f>
        <v>48880.0</v>
      </c>
      <c r="L91" s="34" t="s">
        <v>48</v>
      </c>
      <c r="M91" s="33" t="n">
        <f>50200</f>
        <v>50200.0</v>
      </c>
      <c r="N91" s="34" t="s">
        <v>50</v>
      </c>
      <c r="O91" s="33" t="n">
        <f>48470</f>
        <v>48470.0</v>
      </c>
      <c r="P91" s="34" t="s">
        <v>48</v>
      </c>
      <c r="Q91" s="33" t="n">
        <f>49850</f>
        <v>49850.0</v>
      </c>
      <c r="R91" s="34" t="s">
        <v>51</v>
      </c>
      <c r="S91" s="35" t="n">
        <f>49433.64</f>
        <v>49433.64</v>
      </c>
      <c r="T91" s="32" t="n">
        <f>14491</f>
        <v>14491.0</v>
      </c>
      <c r="U91" s="32" t="n">
        <f>138</f>
        <v>138.0</v>
      </c>
      <c r="V91" s="32" t="n">
        <f>716987810</f>
        <v>7.1698781E8</v>
      </c>
      <c r="W91" s="32" t="n">
        <f>6884600</f>
        <v>6884600.0</v>
      </c>
      <c r="X91" s="36" t="n">
        <f>22</f>
        <v>22.0</v>
      </c>
    </row>
    <row r="92">
      <c r="A92" s="27" t="s">
        <v>42</v>
      </c>
      <c r="B92" s="27" t="s">
        <v>322</v>
      </c>
      <c r="C92" s="27" t="s">
        <v>323</v>
      </c>
      <c r="D92" s="27" t="s">
        <v>324</v>
      </c>
      <c r="E92" s="28" t="s">
        <v>46</v>
      </c>
      <c r="F92" s="29" t="s">
        <v>46</v>
      </c>
      <c r="G92" s="30" t="s">
        <v>46</v>
      </c>
      <c r="H92" s="31"/>
      <c r="I92" s="31" t="s">
        <v>47</v>
      </c>
      <c r="J92" s="32" t="n">
        <v>10.0</v>
      </c>
      <c r="K92" s="33" t="n">
        <f>445.5</f>
        <v>445.5</v>
      </c>
      <c r="L92" s="34" t="s">
        <v>48</v>
      </c>
      <c r="M92" s="33" t="n">
        <f>475.4</f>
        <v>475.4</v>
      </c>
      <c r="N92" s="34" t="s">
        <v>55</v>
      </c>
      <c r="O92" s="33" t="n">
        <f>424.9</f>
        <v>424.9</v>
      </c>
      <c r="P92" s="34" t="s">
        <v>56</v>
      </c>
      <c r="Q92" s="33" t="n">
        <f>455.7</f>
        <v>455.7</v>
      </c>
      <c r="R92" s="34" t="s">
        <v>51</v>
      </c>
      <c r="S92" s="35" t="n">
        <f>451.6</f>
        <v>451.6</v>
      </c>
      <c r="T92" s="32" t="n">
        <f>97654910</f>
        <v>9.765491E7</v>
      </c>
      <c r="U92" s="32" t="n">
        <f>1540</f>
        <v>1540.0</v>
      </c>
      <c r="V92" s="32" t="n">
        <f>44083313044</f>
        <v>4.4083313044E10</v>
      </c>
      <c r="W92" s="32" t="n">
        <f>678239</f>
        <v>678239.0</v>
      </c>
      <c r="X92" s="36" t="n">
        <f>22</f>
        <v>22.0</v>
      </c>
    </row>
    <row r="93">
      <c r="A93" s="27" t="s">
        <v>42</v>
      </c>
      <c r="B93" s="27" t="s">
        <v>325</v>
      </c>
      <c r="C93" s="27" t="s">
        <v>326</v>
      </c>
      <c r="D93" s="27" t="s">
        <v>327</v>
      </c>
      <c r="E93" s="28" t="s">
        <v>46</v>
      </c>
      <c r="F93" s="29" t="s">
        <v>46</v>
      </c>
      <c r="G93" s="30" t="s">
        <v>46</v>
      </c>
      <c r="H93" s="31"/>
      <c r="I93" s="31" t="s">
        <v>47</v>
      </c>
      <c r="J93" s="32" t="n">
        <v>10.0</v>
      </c>
      <c r="K93" s="33" t="n">
        <f>1275.5</f>
        <v>1275.5</v>
      </c>
      <c r="L93" s="34" t="s">
        <v>48</v>
      </c>
      <c r="M93" s="33" t="n">
        <f>1302</f>
        <v>1302.0</v>
      </c>
      <c r="N93" s="34" t="s">
        <v>50</v>
      </c>
      <c r="O93" s="33" t="n">
        <f>1233</f>
        <v>1233.0</v>
      </c>
      <c r="P93" s="34" t="s">
        <v>55</v>
      </c>
      <c r="Q93" s="33" t="n">
        <f>1259.5</f>
        <v>1259.5</v>
      </c>
      <c r="R93" s="34" t="s">
        <v>51</v>
      </c>
      <c r="S93" s="35" t="n">
        <f>1264.5</f>
        <v>1264.5</v>
      </c>
      <c r="T93" s="32" t="n">
        <f>1520000</f>
        <v>1520000.0</v>
      </c>
      <c r="U93" s="32" t="n">
        <f>201420</f>
        <v>201420.0</v>
      </c>
      <c r="V93" s="32" t="n">
        <f>1932350050</f>
        <v>1.93235005E9</v>
      </c>
      <c r="W93" s="32" t="n">
        <f>261874400</f>
        <v>2.618744E8</v>
      </c>
      <c r="X93" s="36" t="n">
        <f>22</f>
        <v>22.0</v>
      </c>
    </row>
    <row r="94">
      <c r="A94" s="27" t="s">
        <v>42</v>
      </c>
      <c r="B94" s="27" t="s">
        <v>328</v>
      </c>
      <c r="C94" s="27" t="s">
        <v>329</v>
      </c>
      <c r="D94" s="27" t="s">
        <v>330</v>
      </c>
      <c r="E94" s="28" t="s">
        <v>46</v>
      </c>
      <c r="F94" s="29" t="s">
        <v>46</v>
      </c>
      <c r="G94" s="30" t="s">
        <v>46</v>
      </c>
      <c r="H94" s="31"/>
      <c r="I94" s="31" t="s">
        <v>47</v>
      </c>
      <c r="J94" s="32" t="n">
        <v>1.0</v>
      </c>
      <c r="K94" s="33" t="n">
        <f>26190</f>
        <v>26190.0</v>
      </c>
      <c r="L94" s="34" t="s">
        <v>48</v>
      </c>
      <c r="M94" s="33" t="n">
        <f>28890</f>
        <v>28890.0</v>
      </c>
      <c r="N94" s="34" t="s">
        <v>76</v>
      </c>
      <c r="O94" s="33" t="n">
        <f>25310</f>
        <v>25310.0</v>
      </c>
      <c r="P94" s="34" t="s">
        <v>72</v>
      </c>
      <c r="Q94" s="33" t="n">
        <f>27165</f>
        <v>27165.0</v>
      </c>
      <c r="R94" s="34" t="s">
        <v>51</v>
      </c>
      <c r="S94" s="35" t="n">
        <f>26898.64</f>
        <v>26898.64</v>
      </c>
      <c r="T94" s="32" t="n">
        <f>130493505</f>
        <v>1.30493505E8</v>
      </c>
      <c r="U94" s="32" t="n">
        <f>552769</f>
        <v>552769.0</v>
      </c>
      <c r="V94" s="32" t="n">
        <f>3515482007192</f>
        <v>3.515482007192E12</v>
      </c>
      <c r="W94" s="32" t="n">
        <f>14920276837</f>
        <v>1.4920276837E10</v>
      </c>
      <c r="X94" s="36" t="n">
        <f>22</f>
        <v>22.0</v>
      </c>
    </row>
    <row r="95">
      <c r="A95" s="27" t="s">
        <v>42</v>
      </c>
      <c r="B95" s="27" t="s">
        <v>331</v>
      </c>
      <c r="C95" s="27" t="s">
        <v>332</v>
      </c>
      <c r="D95" s="27" t="s">
        <v>333</v>
      </c>
      <c r="E95" s="28" t="s">
        <v>46</v>
      </c>
      <c r="F95" s="29" t="s">
        <v>46</v>
      </c>
      <c r="G95" s="30" t="s">
        <v>46</v>
      </c>
      <c r="H95" s="31"/>
      <c r="I95" s="31" t="s">
        <v>47</v>
      </c>
      <c r="J95" s="32" t="n">
        <v>1.0</v>
      </c>
      <c r="K95" s="33" t="n">
        <f>596</f>
        <v>596.0</v>
      </c>
      <c r="L95" s="34" t="s">
        <v>48</v>
      </c>
      <c r="M95" s="33" t="n">
        <f>606</f>
        <v>606.0</v>
      </c>
      <c r="N95" s="34" t="s">
        <v>72</v>
      </c>
      <c r="O95" s="33" t="n">
        <f>566</f>
        <v>566.0</v>
      </c>
      <c r="P95" s="34" t="s">
        <v>76</v>
      </c>
      <c r="Q95" s="33" t="n">
        <f>581</f>
        <v>581.0</v>
      </c>
      <c r="R95" s="34" t="s">
        <v>51</v>
      </c>
      <c r="S95" s="35" t="n">
        <f>586.27</f>
        <v>586.27</v>
      </c>
      <c r="T95" s="32" t="n">
        <f>75131624</f>
        <v>7.5131624E7</v>
      </c>
      <c r="U95" s="32" t="n">
        <f>55371989</f>
        <v>5.5371989E7</v>
      </c>
      <c r="V95" s="32" t="n">
        <f>44117563434</f>
        <v>4.4117563434E10</v>
      </c>
      <c r="W95" s="32" t="n">
        <f>32515411212</f>
        <v>3.2515411212E10</v>
      </c>
      <c r="X95" s="36" t="n">
        <f>22</f>
        <v>22.0</v>
      </c>
    </row>
    <row r="96">
      <c r="A96" s="27" t="s">
        <v>42</v>
      </c>
      <c r="B96" s="27" t="s">
        <v>334</v>
      </c>
      <c r="C96" s="27" t="s">
        <v>335</v>
      </c>
      <c r="D96" s="27" t="s">
        <v>336</v>
      </c>
      <c r="E96" s="28" t="s">
        <v>46</v>
      </c>
      <c r="F96" s="29" t="s">
        <v>46</v>
      </c>
      <c r="G96" s="30" t="s">
        <v>46</v>
      </c>
      <c r="H96" s="31"/>
      <c r="I96" s="31" t="s">
        <v>47</v>
      </c>
      <c r="J96" s="32" t="n">
        <v>10.0</v>
      </c>
      <c r="K96" s="33" t="n">
        <f>5482</f>
        <v>5482.0</v>
      </c>
      <c r="L96" s="34" t="s">
        <v>48</v>
      </c>
      <c r="M96" s="33" t="n">
        <f>7560</f>
        <v>7560.0</v>
      </c>
      <c r="N96" s="34" t="s">
        <v>337</v>
      </c>
      <c r="O96" s="33" t="n">
        <f>5225</f>
        <v>5225.0</v>
      </c>
      <c r="P96" s="34" t="s">
        <v>84</v>
      </c>
      <c r="Q96" s="33" t="n">
        <f>5580</f>
        <v>5580.0</v>
      </c>
      <c r="R96" s="34" t="s">
        <v>51</v>
      </c>
      <c r="S96" s="35" t="n">
        <f>5889.91</f>
        <v>5889.91</v>
      </c>
      <c r="T96" s="32" t="n">
        <f>1905370</f>
        <v>1905370.0</v>
      </c>
      <c r="U96" s="32" t="n">
        <f>160</f>
        <v>160.0</v>
      </c>
      <c r="V96" s="32" t="n">
        <f>11839304660</f>
        <v>1.183930466E10</v>
      </c>
      <c r="W96" s="32" t="n">
        <f>1081140</f>
        <v>1081140.0</v>
      </c>
      <c r="X96" s="36" t="n">
        <f>22</f>
        <v>22.0</v>
      </c>
    </row>
    <row r="97">
      <c r="A97" s="27" t="s">
        <v>42</v>
      </c>
      <c r="B97" s="27" t="s">
        <v>338</v>
      </c>
      <c r="C97" s="27" t="s">
        <v>339</v>
      </c>
      <c r="D97" s="27" t="s">
        <v>340</v>
      </c>
      <c r="E97" s="28" t="s">
        <v>46</v>
      </c>
      <c r="F97" s="29" t="s">
        <v>46</v>
      </c>
      <c r="G97" s="30" t="s">
        <v>46</v>
      </c>
      <c r="H97" s="31"/>
      <c r="I97" s="31" t="s">
        <v>47</v>
      </c>
      <c r="J97" s="32" t="n">
        <v>10.0</v>
      </c>
      <c r="K97" s="33" t="n">
        <f>9692</f>
        <v>9692.0</v>
      </c>
      <c r="L97" s="34" t="s">
        <v>48</v>
      </c>
      <c r="M97" s="33" t="n">
        <f>10125</f>
        <v>10125.0</v>
      </c>
      <c r="N97" s="34" t="s">
        <v>84</v>
      </c>
      <c r="O97" s="33" t="n">
        <f>8551</f>
        <v>8551.0</v>
      </c>
      <c r="P97" s="34" t="s">
        <v>337</v>
      </c>
      <c r="Q97" s="33" t="n">
        <f>9994</f>
        <v>9994.0</v>
      </c>
      <c r="R97" s="34" t="s">
        <v>51</v>
      </c>
      <c r="S97" s="35" t="n">
        <f>9578.14</f>
        <v>9578.14</v>
      </c>
      <c r="T97" s="32" t="n">
        <f>467390</f>
        <v>467390.0</v>
      </c>
      <c r="U97" s="32" t="n">
        <f>80</f>
        <v>80.0</v>
      </c>
      <c r="V97" s="32" t="n">
        <f>4376144840</f>
        <v>4.37614484E9</v>
      </c>
      <c r="W97" s="32" t="n">
        <f>764850</f>
        <v>764850.0</v>
      </c>
      <c r="X97" s="36" t="n">
        <f>22</f>
        <v>22.0</v>
      </c>
    </row>
    <row r="98">
      <c r="A98" s="27" t="s">
        <v>42</v>
      </c>
      <c r="B98" s="27" t="s">
        <v>341</v>
      </c>
      <c r="C98" s="27" t="s">
        <v>342</v>
      </c>
      <c r="D98" s="27" t="s">
        <v>343</v>
      </c>
      <c r="E98" s="28" t="s">
        <v>46</v>
      </c>
      <c r="F98" s="29" t="s">
        <v>46</v>
      </c>
      <c r="G98" s="30" t="s">
        <v>46</v>
      </c>
      <c r="H98" s="31"/>
      <c r="I98" s="31" t="s">
        <v>47</v>
      </c>
      <c r="J98" s="32" t="n">
        <v>1.0</v>
      </c>
      <c r="K98" s="33" t="n">
        <f>37570</f>
        <v>37570.0</v>
      </c>
      <c r="L98" s="34" t="s">
        <v>48</v>
      </c>
      <c r="M98" s="33" t="n">
        <f>38110</f>
        <v>38110.0</v>
      </c>
      <c r="N98" s="34" t="s">
        <v>64</v>
      </c>
      <c r="O98" s="33" t="n">
        <f>35760</f>
        <v>35760.0</v>
      </c>
      <c r="P98" s="34" t="s">
        <v>50</v>
      </c>
      <c r="Q98" s="33" t="n">
        <f>37010</f>
        <v>37010.0</v>
      </c>
      <c r="R98" s="34" t="s">
        <v>51</v>
      </c>
      <c r="S98" s="35" t="n">
        <f>37064.09</f>
        <v>37064.09</v>
      </c>
      <c r="T98" s="32" t="n">
        <f>142148</f>
        <v>142148.0</v>
      </c>
      <c r="U98" s="32" t="n">
        <f>71105</f>
        <v>71105.0</v>
      </c>
      <c r="V98" s="32" t="n">
        <f>5243540523</f>
        <v>5.243540523E9</v>
      </c>
      <c r="W98" s="32" t="n">
        <f>2607503903</f>
        <v>2.607503903E9</v>
      </c>
      <c r="X98" s="36" t="n">
        <f>22</f>
        <v>22.0</v>
      </c>
    </row>
    <row r="99">
      <c r="A99" s="27" t="s">
        <v>42</v>
      </c>
      <c r="B99" s="27" t="s">
        <v>344</v>
      </c>
      <c r="C99" s="27" t="s">
        <v>345</v>
      </c>
      <c r="D99" s="27" t="s">
        <v>346</v>
      </c>
      <c r="E99" s="28" t="s">
        <v>46</v>
      </c>
      <c r="F99" s="29" t="s">
        <v>46</v>
      </c>
      <c r="G99" s="30" t="s">
        <v>46</v>
      </c>
      <c r="H99" s="31"/>
      <c r="I99" s="31" t="s">
        <v>47</v>
      </c>
      <c r="J99" s="32" t="n">
        <v>1.0</v>
      </c>
      <c r="K99" s="33" t="n">
        <f>3070</f>
        <v>3070.0</v>
      </c>
      <c r="L99" s="34" t="s">
        <v>48</v>
      </c>
      <c r="M99" s="33" t="n">
        <f>3230</f>
        <v>3230.0</v>
      </c>
      <c r="N99" s="34" t="s">
        <v>76</v>
      </c>
      <c r="O99" s="33" t="n">
        <f>3020</f>
        <v>3020.0</v>
      </c>
      <c r="P99" s="34" t="s">
        <v>50</v>
      </c>
      <c r="Q99" s="33" t="n">
        <f>3140</f>
        <v>3140.0</v>
      </c>
      <c r="R99" s="34" t="s">
        <v>51</v>
      </c>
      <c r="S99" s="35" t="n">
        <f>3116.59</f>
        <v>3116.59</v>
      </c>
      <c r="T99" s="32" t="n">
        <f>121289</f>
        <v>121289.0</v>
      </c>
      <c r="U99" s="32" t="n">
        <f>142</f>
        <v>142.0</v>
      </c>
      <c r="V99" s="32" t="n">
        <f>377003070</f>
        <v>3.7700307E8</v>
      </c>
      <c r="W99" s="32" t="n">
        <f>442470</f>
        <v>442470.0</v>
      </c>
      <c r="X99" s="36" t="n">
        <f>22</f>
        <v>22.0</v>
      </c>
    </row>
    <row r="100">
      <c r="A100" s="27" t="s">
        <v>42</v>
      </c>
      <c r="B100" s="27" t="s">
        <v>347</v>
      </c>
      <c r="C100" s="27" t="s">
        <v>348</v>
      </c>
      <c r="D100" s="27" t="s">
        <v>349</v>
      </c>
      <c r="E100" s="28" t="s">
        <v>46</v>
      </c>
      <c r="F100" s="29" t="s">
        <v>46</v>
      </c>
      <c r="G100" s="30" t="s">
        <v>46</v>
      </c>
      <c r="H100" s="31"/>
      <c r="I100" s="31" t="s">
        <v>47</v>
      </c>
      <c r="J100" s="32" t="n">
        <v>10.0</v>
      </c>
      <c r="K100" s="33" t="n">
        <f>281</f>
        <v>281.0</v>
      </c>
      <c r="L100" s="34" t="s">
        <v>48</v>
      </c>
      <c r="M100" s="33" t="n">
        <f>310.4</f>
        <v>310.4</v>
      </c>
      <c r="N100" s="34" t="s">
        <v>76</v>
      </c>
      <c r="O100" s="33" t="n">
        <f>272</f>
        <v>272.0</v>
      </c>
      <c r="P100" s="34" t="s">
        <v>72</v>
      </c>
      <c r="Q100" s="33" t="n">
        <f>292.2</f>
        <v>292.2</v>
      </c>
      <c r="R100" s="34" t="s">
        <v>51</v>
      </c>
      <c r="S100" s="35" t="n">
        <f>288.99</f>
        <v>288.99</v>
      </c>
      <c r="T100" s="32" t="n">
        <f>696110080</f>
        <v>6.9611008E8</v>
      </c>
      <c r="U100" s="32" t="n">
        <f>5840590</f>
        <v>5840590.0</v>
      </c>
      <c r="V100" s="32" t="n">
        <f>201530499783</f>
        <v>2.01530499783E11</v>
      </c>
      <c r="W100" s="32" t="n">
        <f>1668848567</f>
        <v>1.668848567E9</v>
      </c>
      <c r="X100" s="36" t="n">
        <f>22</f>
        <v>22.0</v>
      </c>
    </row>
    <row r="101">
      <c r="A101" s="27" t="s">
        <v>42</v>
      </c>
      <c r="B101" s="27" t="s">
        <v>350</v>
      </c>
      <c r="C101" s="27" t="s">
        <v>351</v>
      </c>
      <c r="D101" s="27" t="s">
        <v>352</v>
      </c>
      <c r="E101" s="28" t="s">
        <v>46</v>
      </c>
      <c r="F101" s="29" t="s">
        <v>46</v>
      </c>
      <c r="G101" s="30" t="s">
        <v>46</v>
      </c>
      <c r="H101" s="31"/>
      <c r="I101" s="31" t="s">
        <v>47</v>
      </c>
      <c r="J101" s="32" t="n">
        <v>10.0</v>
      </c>
      <c r="K101" s="33" t="n">
        <f>1586.5</f>
        <v>1586.5</v>
      </c>
      <c r="L101" s="34" t="s">
        <v>48</v>
      </c>
      <c r="M101" s="33" t="n">
        <f>1610</f>
        <v>1610.0</v>
      </c>
      <c r="N101" s="34" t="s">
        <v>72</v>
      </c>
      <c r="O101" s="33" t="n">
        <f>1503</f>
        <v>1503.0</v>
      </c>
      <c r="P101" s="34" t="s">
        <v>76</v>
      </c>
      <c r="Q101" s="33" t="n">
        <f>1547.5</f>
        <v>1547.5</v>
      </c>
      <c r="R101" s="34" t="s">
        <v>51</v>
      </c>
      <c r="S101" s="35" t="n">
        <f>1558.39</f>
        <v>1558.39</v>
      </c>
      <c r="T101" s="32" t="n">
        <f>11627240</f>
        <v>1.162724E7</v>
      </c>
      <c r="U101" s="32" t="n">
        <f>1475760</f>
        <v>1475760.0</v>
      </c>
      <c r="V101" s="32" t="n">
        <f>18111841185</f>
        <v>1.8111841185E10</v>
      </c>
      <c r="W101" s="32" t="n">
        <f>2304277805</f>
        <v>2.304277805E9</v>
      </c>
      <c r="X101" s="36" t="n">
        <f>22</f>
        <v>22.0</v>
      </c>
    </row>
    <row r="102">
      <c r="A102" s="27" t="s">
        <v>42</v>
      </c>
      <c r="B102" s="27" t="s">
        <v>353</v>
      </c>
      <c r="C102" s="27" t="s">
        <v>354</v>
      </c>
      <c r="D102" s="27" t="s">
        <v>355</v>
      </c>
      <c r="E102" s="28" t="s">
        <v>46</v>
      </c>
      <c r="F102" s="29" t="s">
        <v>46</v>
      </c>
      <c r="G102" s="30" t="s">
        <v>46</v>
      </c>
      <c r="H102" s="31"/>
      <c r="I102" s="31" t="s">
        <v>47</v>
      </c>
      <c r="J102" s="32" t="n">
        <v>10.0</v>
      </c>
      <c r="K102" s="33" t="n">
        <f>1852</f>
        <v>1852.0</v>
      </c>
      <c r="L102" s="34" t="s">
        <v>48</v>
      </c>
      <c r="M102" s="33" t="n">
        <f>1902</f>
        <v>1902.0</v>
      </c>
      <c r="N102" s="34" t="s">
        <v>55</v>
      </c>
      <c r="O102" s="33" t="n">
        <f>1812</f>
        <v>1812.0</v>
      </c>
      <c r="P102" s="34" t="s">
        <v>50</v>
      </c>
      <c r="Q102" s="33" t="n">
        <f>1864</f>
        <v>1864.0</v>
      </c>
      <c r="R102" s="34" t="s">
        <v>49</v>
      </c>
      <c r="S102" s="35" t="n">
        <f>1858.21</f>
        <v>1858.21</v>
      </c>
      <c r="T102" s="32" t="n">
        <f>12480</f>
        <v>12480.0</v>
      </c>
      <c r="U102" s="32" t="n">
        <f>70</f>
        <v>70.0</v>
      </c>
      <c r="V102" s="32" t="n">
        <f>23282640</f>
        <v>2.328264E7</v>
      </c>
      <c r="W102" s="32" t="n">
        <f>132490</f>
        <v>132490.0</v>
      </c>
      <c r="X102" s="36" t="n">
        <f>21</f>
        <v>21.0</v>
      </c>
    </row>
    <row r="103">
      <c r="A103" s="27" t="s">
        <v>42</v>
      </c>
      <c r="B103" s="27" t="s">
        <v>356</v>
      </c>
      <c r="C103" s="27" t="s">
        <v>357</v>
      </c>
      <c r="D103" s="27" t="s">
        <v>358</v>
      </c>
      <c r="E103" s="28" t="s">
        <v>46</v>
      </c>
      <c r="F103" s="29" t="s">
        <v>46</v>
      </c>
      <c r="G103" s="30" t="s">
        <v>46</v>
      </c>
      <c r="H103" s="31"/>
      <c r="I103" s="31" t="s">
        <v>47</v>
      </c>
      <c r="J103" s="32" t="n">
        <v>1.0</v>
      </c>
      <c r="K103" s="33" t="n">
        <f>2160</f>
        <v>2160.0</v>
      </c>
      <c r="L103" s="34" t="s">
        <v>48</v>
      </c>
      <c r="M103" s="33" t="n">
        <f>2236</f>
        <v>2236.0</v>
      </c>
      <c r="N103" s="34" t="s">
        <v>76</v>
      </c>
      <c r="O103" s="33" t="n">
        <f>2087</f>
        <v>2087.0</v>
      </c>
      <c r="P103" s="34" t="s">
        <v>50</v>
      </c>
      <c r="Q103" s="33" t="n">
        <f>2160</f>
        <v>2160.0</v>
      </c>
      <c r="R103" s="34" t="s">
        <v>51</v>
      </c>
      <c r="S103" s="35" t="n">
        <f>2164.36</f>
        <v>2164.36</v>
      </c>
      <c r="T103" s="32" t="n">
        <f>20757</f>
        <v>20757.0</v>
      </c>
      <c r="U103" s="32" t="str">
        <f>"－"</f>
        <v>－</v>
      </c>
      <c r="V103" s="32" t="n">
        <f>45328793</f>
        <v>4.5328793E7</v>
      </c>
      <c r="W103" s="32" t="str">
        <f>"－"</f>
        <v>－</v>
      </c>
      <c r="X103" s="36" t="n">
        <f>22</f>
        <v>22.0</v>
      </c>
    </row>
    <row r="104">
      <c r="A104" s="27" t="s">
        <v>42</v>
      </c>
      <c r="B104" s="27" t="s">
        <v>359</v>
      </c>
      <c r="C104" s="27" t="s">
        <v>360</v>
      </c>
      <c r="D104" s="27" t="s">
        <v>361</v>
      </c>
      <c r="E104" s="28" t="s">
        <v>46</v>
      </c>
      <c r="F104" s="29" t="s">
        <v>46</v>
      </c>
      <c r="G104" s="30" t="s">
        <v>46</v>
      </c>
      <c r="H104" s="31"/>
      <c r="I104" s="31" t="s">
        <v>47</v>
      </c>
      <c r="J104" s="32" t="n">
        <v>1.0</v>
      </c>
      <c r="K104" s="33" t="n">
        <f>24800</f>
        <v>24800.0</v>
      </c>
      <c r="L104" s="34" t="s">
        <v>48</v>
      </c>
      <c r="M104" s="33" t="n">
        <f>25265</f>
        <v>25265.0</v>
      </c>
      <c r="N104" s="34" t="s">
        <v>55</v>
      </c>
      <c r="O104" s="33" t="n">
        <f>23880</f>
        <v>23880.0</v>
      </c>
      <c r="P104" s="34" t="s">
        <v>60</v>
      </c>
      <c r="Q104" s="33" t="n">
        <f>24365</f>
        <v>24365.0</v>
      </c>
      <c r="R104" s="34" t="s">
        <v>51</v>
      </c>
      <c r="S104" s="35" t="n">
        <f>24629.55</f>
        <v>24629.55</v>
      </c>
      <c r="T104" s="32" t="n">
        <f>94529</f>
        <v>94529.0</v>
      </c>
      <c r="U104" s="32" t="n">
        <f>18494</f>
        <v>18494.0</v>
      </c>
      <c r="V104" s="32" t="n">
        <f>2341298693</f>
        <v>2.341298693E9</v>
      </c>
      <c r="W104" s="32" t="n">
        <f>457160023</f>
        <v>4.57160023E8</v>
      </c>
      <c r="X104" s="36" t="n">
        <f>22</f>
        <v>22.0</v>
      </c>
    </row>
    <row r="105">
      <c r="A105" s="27" t="s">
        <v>42</v>
      </c>
      <c r="B105" s="27" t="s">
        <v>362</v>
      </c>
      <c r="C105" s="27" t="s">
        <v>363</v>
      </c>
      <c r="D105" s="27" t="s">
        <v>364</v>
      </c>
      <c r="E105" s="28" t="s">
        <v>46</v>
      </c>
      <c r="F105" s="29" t="s">
        <v>46</v>
      </c>
      <c r="G105" s="30" t="s">
        <v>46</v>
      </c>
      <c r="H105" s="31"/>
      <c r="I105" s="31" t="s">
        <v>47</v>
      </c>
      <c r="J105" s="32" t="n">
        <v>1.0</v>
      </c>
      <c r="K105" s="33" t="n">
        <f>2266</f>
        <v>2266.0</v>
      </c>
      <c r="L105" s="34" t="s">
        <v>48</v>
      </c>
      <c r="M105" s="33" t="n">
        <f>2343</f>
        <v>2343.0</v>
      </c>
      <c r="N105" s="34" t="s">
        <v>64</v>
      </c>
      <c r="O105" s="33" t="n">
        <f>2195</f>
        <v>2195.0</v>
      </c>
      <c r="P105" s="34" t="s">
        <v>50</v>
      </c>
      <c r="Q105" s="33" t="n">
        <f>2279</f>
        <v>2279.0</v>
      </c>
      <c r="R105" s="34" t="s">
        <v>51</v>
      </c>
      <c r="S105" s="35" t="n">
        <f>2272.27</f>
        <v>2272.27</v>
      </c>
      <c r="T105" s="32" t="n">
        <f>62264</f>
        <v>62264.0</v>
      </c>
      <c r="U105" s="32" t="n">
        <f>23</f>
        <v>23.0</v>
      </c>
      <c r="V105" s="32" t="n">
        <f>141551418</f>
        <v>1.41551418E8</v>
      </c>
      <c r="W105" s="32" t="n">
        <f>48715</f>
        <v>48715.0</v>
      </c>
      <c r="X105" s="36" t="n">
        <f>22</f>
        <v>22.0</v>
      </c>
    </row>
    <row r="106">
      <c r="A106" s="27" t="s">
        <v>42</v>
      </c>
      <c r="B106" s="27" t="s">
        <v>365</v>
      </c>
      <c r="C106" s="27" t="s">
        <v>366</v>
      </c>
      <c r="D106" s="27" t="s">
        <v>367</v>
      </c>
      <c r="E106" s="28" t="s">
        <v>46</v>
      </c>
      <c r="F106" s="29" t="s">
        <v>46</v>
      </c>
      <c r="G106" s="30" t="s">
        <v>46</v>
      </c>
      <c r="H106" s="31"/>
      <c r="I106" s="31" t="s">
        <v>47</v>
      </c>
      <c r="J106" s="32" t="n">
        <v>1.0</v>
      </c>
      <c r="K106" s="33" t="n">
        <f>25225</f>
        <v>25225.0</v>
      </c>
      <c r="L106" s="34" t="s">
        <v>48</v>
      </c>
      <c r="M106" s="33" t="n">
        <f>26075</f>
        <v>26075.0</v>
      </c>
      <c r="N106" s="34" t="s">
        <v>55</v>
      </c>
      <c r="O106" s="33" t="n">
        <f>24665</f>
        <v>24665.0</v>
      </c>
      <c r="P106" s="34" t="s">
        <v>56</v>
      </c>
      <c r="Q106" s="33" t="n">
        <f>25570</f>
        <v>25570.0</v>
      </c>
      <c r="R106" s="34" t="s">
        <v>51</v>
      </c>
      <c r="S106" s="35" t="n">
        <f>25432.95</f>
        <v>25432.95</v>
      </c>
      <c r="T106" s="32" t="n">
        <f>29895</f>
        <v>29895.0</v>
      </c>
      <c r="U106" s="32" t="n">
        <f>1560</f>
        <v>1560.0</v>
      </c>
      <c r="V106" s="32" t="n">
        <f>764933895</f>
        <v>7.64933895E8</v>
      </c>
      <c r="W106" s="32" t="n">
        <f>39632750</f>
        <v>3.963275E7</v>
      </c>
      <c r="X106" s="36" t="n">
        <f>22</f>
        <v>22.0</v>
      </c>
    </row>
    <row r="107">
      <c r="A107" s="27" t="s">
        <v>42</v>
      </c>
      <c r="B107" s="27" t="s">
        <v>368</v>
      </c>
      <c r="C107" s="27" t="s">
        <v>369</v>
      </c>
      <c r="D107" s="27" t="s">
        <v>370</v>
      </c>
      <c r="E107" s="28" t="s">
        <v>46</v>
      </c>
      <c r="F107" s="29" t="s">
        <v>46</v>
      </c>
      <c r="G107" s="30" t="s">
        <v>46</v>
      </c>
      <c r="H107" s="31"/>
      <c r="I107" s="31" t="s">
        <v>47</v>
      </c>
      <c r="J107" s="32" t="n">
        <v>10.0</v>
      </c>
      <c r="K107" s="33" t="n">
        <f>1790.5</f>
        <v>1790.5</v>
      </c>
      <c r="L107" s="34" t="s">
        <v>48</v>
      </c>
      <c r="M107" s="33" t="n">
        <f>1791.5</f>
        <v>1791.5</v>
      </c>
      <c r="N107" s="34" t="s">
        <v>72</v>
      </c>
      <c r="O107" s="33" t="n">
        <f>1705.5</f>
        <v>1705.5</v>
      </c>
      <c r="P107" s="34" t="s">
        <v>50</v>
      </c>
      <c r="Q107" s="33" t="n">
        <f>1719</f>
        <v>1719.0</v>
      </c>
      <c r="R107" s="34" t="s">
        <v>51</v>
      </c>
      <c r="S107" s="35" t="n">
        <f>1737.82</f>
        <v>1737.82</v>
      </c>
      <c r="T107" s="32" t="n">
        <f>2859750</f>
        <v>2859750.0</v>
      </c>
      <c r="U107" s="32" t="n">
        <f>1714320</f>
        <v>1714320.0</v>
      </c>
      <c r="V107" s="32" t="n">
        <f>4984883441</f>
        <v>4.984883441E9</v>
      </c>
      <c r="W107" s="32" t="n">
        <f>2987148651</f>
        <v>2.987148651E9</v>
      </c>
      <c r="X107" s="36" t="n">
        <f>22</f>
        <v>22.0</v>
      </c>
    </row>
    <row r="108">
      <c r="A108" s="27" t="s">
        <v>42</v>
      </c>
      <c r="B108" s="27" t="s">
        <v>371</v>
      </c>
      <c r="C108" s="27" t="s">
        <v>372</v>
      </c>
      <c r="D108" s="27" t="s">
        <v>373</v>
      </c>
      <c r="E108" s="28" t="s">
        <v>46</v>
      </c>
      <c r="F108" s="29" t="s">
        <v>46</v>
      </c>
      <c r="G108" s="30" t="s">
        <v>46</v>
      </c>
      <c r="H108" s="31"/>
      <c r="I108" s="31" t="s">
        <v>47</v>
      </c>
      <c r="J108" s="32" t="n">
        <v>10.0</v>
      </c>
      <c r="K108" s="33" t="n">
        <f>2247</f>
        <v>2247.0</v>
      </c>
      <c r="L108" s="34" t="s">
        <v>83</v>
      </c>
      <c r="M108" s="33" t="n">
        <f>2347</f>
        <v>2347.0</v>
      </c>
      <c r="N108" s="34" t="s">
        <v>55</v>
      </c>
      <c r="O108" s="33" t="n">
        <f>2237</f>
        <v>2237.0</v>
      </c>
      <c r="P108" s="34" t="s">
        <v>65</v>
      </c>
      <c r="Q108" s="33" t="n">
        <f>2285</f>
        <v>2285.0</v>
      </c>
      <c r="R108" s="34" t="s">
        <v>260</v>
      </c>
      <c r="S108" s="35" t="n">
        <f>2279</f>
        <v>2279.0</v>
      </c>
      <c r="T108" s="32" t="n">
        <f>200</f>
        <v>200.0</v>
      </c>
      <c r="U108" s="32" t="str">
        <f>"－"</f>
        <v>－</v>
      </c>
      <c r="V108" s="32" t="n">
        <f>453340</f>
        <v>453340.0</v>
      </c>
      <c r="W108" s="32" t="str">
        <f>"－"</f>
        <v>－</v>
      </c>
      <c r="X108" s="36" t="n">
        <f>4</f>
        <v>4.0</v>
      </c>
    </row>
    <row r="109">
      <c r="A109" s="27" t="s">
        <v>42</v>
      </c>
      <c r="B109" s="27" t="s">
        <v>374</v>
      </c>
      <c r="C109" s="27" t="s">
        <v>375</v>
      </c>
      <c r="D109" s="27" t="s">
        <v>376</v>
      </c>
      <c r="E109" s="28" t="s">
        <v>46</v>
      </c>
      <c r="F109" s="29" t="s">
        <v>46</v>
      </c>
      <c r="G109" s="30" t="s">
        <v>46</v>
      </c>
      <c r="H109" s="31"/>
      <c r="I109" s="31" t="s">
        <v>47</v>
      </c>
      <c r="J109" s="32" t="n">
        <v>10.0</v>
      </c>
      <c r="K109" s="33" t="n">
        <f>1783</f>
        <v>1783.0</v>
      </c>
      <c r="L109" s="34" t="s">
        <v>48</v>
      </c>
      <c r="M109" s="33" t="n">
        <f>1783</f>
        <v>1783.0</v>
      </c>
      <c r="N109" s="34" t="s">
        <v>48</v>
      </c>
      <c r="O109" s="33" t="n">
        <f>1721</f>
        <v>1721.0</v>
      </c>
      <c r="P109" s="34" t="s">
        <v>50</v>
      </c>
      <c r="Q109" s="33" t="n">
        <f>1734.5</f>
        <v>1734.5</v>
      </c>
      <c r="R109" s="34" t="s">
        <v>51</v>
      </c>
      <c r="S109" s="35" t="n">
        <f>1745.43</f>
        <v>1745.43</v>
      </c>
      <c r="T109" s="32" t="n">
        <f>5674690</f>
        <v>5674690.0</v>
      </c>
      <c r="U109" s="32" t="n">
        <f>3639640</f>
        <v>3639640.0</v>
      </c>
      <c r="V109" s="32" t="n">
        <f>9947342136</f>
        <v>9.947342136E9</v>
      </c>
      <c r="W109" s="32" t="n">
        <f>6396299436</f>
        <v>6.396299436E9</v>
      </c>
      <c r="X109" s="36" t="n">
        <f>22</f>
        <v>22.0</v>
      </c>
    </row>
    <row r="110">
      <c r="A110" s="27" t="s">
        <v>42</v>
      </c>
      <c r="B110" s="27" t="s">
        <v>377</v>
      </c>
      <c r="C110" s="27" t="s">
        <v>378</v>
      </c>
      <c r="D110" s="27" t="s">
        <v>379</v>
      </c>
      <c r="E110" s="28" t="s">
        <v>46</v>
      </c>
      <c r="F110" s="29" t="s">
        <v>46</v>
      </c>
      <c r="G110" s="30" t="s">
        <v>46</v>
      </c>
      <c r="H110" s="31"/>
      <c r="I110" s="31" t="s">
        <v>47</v>
      </c>
      <c r="J110" s="32" t="n">
        <v>1.0</v>
      </c>
      <c r="K110" s="33" t="n">
        <f>25195</f>
        <v>25195.0</v>
      </c>
      <c r="L110" s="34" t="s">
        <v>48</v>
      </c>
      <c r="M110" s="33" t="n">
        <f>25990</f>
        <v>25990.0</v>
      </c>
      <c r="N110" s="34" t="s">
        <v>76</v>
      </c>
      <c r="O110" s="33" t="n">
        <f>24235</f>
        <v>24235.0</v>
      </c>
      <c r="P110" s="34" t="s">
        <v>50</v>
      </c>
      <c r="Q110" s="33" t="n">
        <f>25240</f>
        <v>25240.0</v>
      </c>
      <c r="R110" s="34" t="s">
        <v>51</v>
      </c>
      <c r="S110" s="35" t="n">
        <f>25184.05</f>
        <v>25184.05</v>
      </c>
      <c r="T110" s="32" t="n">
        <f>8705</f>
        <v>8705.0</v>
      </c>
      <c r="U110" s="32" t="n">
        <f>5000</f>
        <v>5000.0</v>
      </c>
      <c r="V110" s="32" t="n">
        <f>218819180</f>
        <v>2.1881918E8</v>
      </c>
      <c r="W110" s="32" t="n">
        <f>125525000</f>
        <v>1.25525E8</v>
      </c>
      <c r="X110" s="36" t="n">
        <f>21</f>
        <v>21.0</v>
      </c>
    </row>
    <row r="111">
      <c r="A111" s="27" t="s">
        <v>42</v>
      </c>
      <c r="B111" s="27" t="s">
        <v>380</v>
      </c>
      <c r="C111" s="27" t="s">
        <v>381</v>
      </c>
      <c r="D111" s="27" t="s">
        <v>382</v>
      </c>
      <c r="E111" s="28" t="s">
        <v>46</v>
      </c>
      <c r="F111" s="29" t="s">
        <v>46</v>
      </c>
      <c r="G111" s="30" t="s">
        <v>46</v>
      </c>
      <c r="H111" s="31"/>
      <c r="I111" s="31" t="s">
        <v>47</v>
      </c>
      <c r="J111" s="32" t="n">
        <v>10.0</v>
      </c>
      <c r="K111" s="33" t="n">
        <f>528.8</f>
        <v>528.8</v>
      </c>
      <c r="L111" s="34" t="s">
        <v>48</v>
      </c>
      <c r="M111" s="33" t="n">
        <f>540</f>
        <v>540.0</v>
      </c>
      <c r="N111" s="34" t="s">
        <v>48</v>
      </c>
      <c r="O111" s="33" t="n">
        <f>503.8</f>
        <v>503.8</v>
      </c>
      <c r="P111" s="34" t="s">
        <v>60</v>
      </c>
      <c r="Q111" s="33" t="n">
        <f>521.3</f>
        <v>521.3</v>
      </c>
      <c r="R111" s="34" t="s">
        <v>51</v>
      </c>
      <c r="S111" s="35" t="n">
        <f>521.52</f>
        <v>521.52</v>
      </c>
      <c r="T111" s="32" t="n">
        <f>2370070</f>
        <v>2370070.0</v>
      </c>
      <c r="U111" s="32" t="str">
        <f>"－"</f>
        <v>－</v>
      </c>
      <c r="V111" s="32" t="n">
        <f>1230512558</f>
        <v>1.230512558E9</v>
      </c>
      <c r="W111" s="32" t="str">
        <f>"－"</f>
        <v>－</v>
      </c>
      <c r="X111" s="36" t="n">
        <f>22</f>
        <v>22.0</v>
      </c>
    </row>
    <row r="112">
      <c r="A112" s="27" t="s">
        <v>42</v>
      </c>
      <c r="B112" s="27" t="s">
        <v>383</v>
      </c>
      <c r="C112" s="27" t="s">
        <v>384</v>
      </c>
      <c r="D112" s="27" t="s">
        <v>385</v>
      </c>
      <c r="E112" s="28" t="s">
        <v>46</v>
      </c>
      <c r="F112" s="29" t="s">
        <v>46</v>
      </c>
      <c r="G112" s="30" t="s">
        <v>46</v>
      </c>
      <c r="H112" s="31"/>
      <c r="I112" s="31" t="s">
        <v>47</v>
      </c>
      <c r="J112" s="32" t="n">
        <v>100.0</v>
      </c>
      <c r="K112" s="33" t="n">
        <f>311.1</f>
        <v>311.1</v>
      </c>
      <c r="L112" s="34" t="s">
        <v>48</v>
      </c>
      <c r="M112" s="33" t="n">
        <f>342.2</f>
        <v>342.2</v>
      </c>
      <c r="N112" s="34" t="s">
        <v>84</v>
      </c>
      <c r="O112" s="33" t="n">
        <f>309.7</f>
        <v>309.7</v>
      </c>
      <c r="P112" s="34" t="s">
        <v>64</v>
      </c>
      <c r="Q112" s="33" t="n">
        <f>335</f>
        <v>335.0</v>
      </c>
      <c r="R112" s="34" t="s">
        <v>51</v>
      </c>
      <c r="S112" s="35" t="n">
        <f>326.57</f>
        <v>326.57</v>
      </c>
      <c r="T112" s="32" t="n">
        <f>65024000</f>
        <v>6.5024E7</v>
      </c>
      <c r="U112" s="32" t="n">
        <f>8421100</f>
        <v>8421100.0</v>
      </c>
      <c r="V112" s="32" t="n">
        <f>21212717490</f>
        <v>2.121271749E10</v>
      </c>
      <c r="W112" s="32" t="n">
        <f>2772736700</f>
        <v>2.7727367E9</v>
      </c>
      <c r="X112" s="36" t="n">
        <f>22</f>
        <v>22.0</v>
      </c>
    </row>
    <row r="113">
      <c r="A113" s="27" t="s">
        <v>42</v>
      </c>
      <c r="B113" s="27" t="s">
        <v>386</v>
      </c>
      <c r="C113" s="27" t="s">
        <v>387</v>
      </c>
      <c r="D113" s="27" t="s">
        <v>388</v>
      </c>
      <c r="E113" s="28" t="s">
        <v>46</v>
      </c>
      <c r="F113" s="29" t="s">
        <v>46</v>
      </c>
      <c r="G113" s="30" t="s">
        <v>46</v>
      </c>
      <c r="H113" s="31"/>
      <c r="I113" s="31" t="s">
        <v>47</v>
      </c>
      <c r="J113" s="32" t="n">
        <v>1.0</v>
      </c>
      <c r="K113" s="33" t="n">
        <f>38340</f>
        <v>38340.0</v>
      </c>
      <c r="L113" s="34" t="s">
        <v>48</v>
      </c>
      <c r="M113" s="33" t="n">
        <f>39340</f>
        <v>39340.0</v>
      </c>
      <c r="N113" s="34" t="s">
        <v>48</v>
      </c>
      <c r="O113" s="33" t="n">
        <f>37070</f>
        <v>37070.0</v>
      </c>
      <c r="P113" s="34" t="s">
        <v>92</v>
      </c>
      <c r="Q113" s="33" t="n">
        <f>38520</f>
        <v>38520.0</v>
      </c>
      <c r="R113" s="34" t="s">
        <v>51</v>
      </c>
      <c r="S113" s="35" t="n">
        <f>38107.27</f>
        <v>38107.27</v>
      </c>
      <c r="T113" s="32" t="n">
        <f>3075</f>
        <v>3075.0</v>
      </c>
      <c r="U113" s="32" t="n">
        <f>21</f>
        <v>21.0</v>
      </c>
      <c r="V113" s="32" t="n">
        <f>117828410</f>
        <v>1.1782841E8</v>
      </c>
      <c r="W113" s="32" t="n">
        <f>789370</f>
        <v>789370.0</v>
      </c>
      <c r="X113" s="36" t="n">
        <f>22</f>
        <v>22.0</v>
      </c>
    </row>
    <row r="114">
      <c r="A114" s="27" t="s">
        <v>42</v>
      </c>
      <c r="B114" s="27" t="s">
        <v>389</v>
      </c>
      <c r="C114" s="27" t="s">
        <v>390</v>
      </c>
      <c r="D114" s="27" t="s">
        <v>391</v>
      </c>
      <c r="E114" s="28" t="s">
        <v>46</v>
      </c>
      <c r="F114" s="29" t="s">
        <v>46</v>
      </c>
      <c r="G114" s="30" t="s">
        <v>46</v>
      </c>
      <c r="H114" s="31"/>
      <c r="I114" s="31" t="s">
        <v>47</v>
      </c>
      <c r="J114" s="32" t="n">
        <v>1.0</v>
      </c>
      <c r="K114" s="33" t="n">
        <f>20905</f>
        <v>20905.0</v>
      </c>
      <c r="L114" s="34" t="s">
        <v>48</v>
      </c>
      <c r="M114" s="33" t="n">
        <f>23300</f>
        <v>23300.0</v>
      </c>
      <c r="N114" s="34" t="s">
        <v>337</v>
      </c>
      <c r="O114" s="33" t="n">
        <f>20075</f>
        <v>20075.0</v>
      </c>
      <c r="P114" s="34" t="s">
        <v>60</v>
      </c>
      <c r="Q114" s="33" t="n">
        <f>21200</f>
        <v>21200.0</v>
      </c>
      <c r="R114" s="34" t="s">
        <v>51</v>
      </c>
      <c r="S114" s="35" t="n">
        <f>21606.82</f>
        <v>21606.82</v>
      </c>
      <c r="T114" s="32" t="n">
        <f>15070</f>
        <v>15070.0</v>
      </c>
      <c r="U114" s="32" t="n">
        <f>42</f>
        <v>42.0</v>
      </c>
      <c r="V114" s="32" t="n">
        <f>330706204</f>
        <v>3.30706204E8</v>
      </c>
      <c r="W114" s="32" t="n">
        <f>911874</f>
        <v>911874.0</v>
      </c>
      <c r="X114" s="36" t="n">
        <f>22</f>
        <v>22.0</v>
      </c>
    </row>
    <row r="115">
      <c r="A115" s="27" t="s">
        <v>42</v>
      </c>
      <c r="B115" s="27" t="s">
        <v>392</v>
      </c>
      <c r="C115" s="27" t="s">
        <v>393</v>
      </c>
      <c r="D115" s="27" t="s">
        <v>394</v>
      </c>
      <c r="E115" s="28" t="s">
        <v>46</v>
      </c>
      <c r="F115" s="29" t="s">
        <v>46</v>
      </c>
      <c r="G115" s="30" t="s">
        <v>46</v>
      </c>
      <c r="H115" s="31"/>
      <c r="I115" s="31" t="s">
        <v>47</v>
      </c>
      <c r="J115" s="32" t="n">
        <v>1.0</v>
      </c>
      <c r="K115" s="33" t="n">
        <f>31340</f>
        <v>31340.0</v>
      </c>
      <c r="L115" s="34" t="s">
        <v>48</v>
      </c>
      <c r="M115" s="33" t="n">
        <f>31350</f>
        <v>31350.0</v>
      </c>
      <c r="N115" s="34" t="s">
        <v>48</v>
      </c>
      <c r="O115" s="33" t="n">
        <f>29500</f>
        <v>29500.0</v>
      </c>
      <c r="P115" s="34" t="s">
        <v>60</v>
      </c>
      <c r="Q115" s="33" t="n">
        <f>30300</f>
        <v>30300.0</v>
      </c>
      <c r="R115" s="34" t="s">
        <v>51</v>
      </c>
      <c r="S115" s="35" t="n">
        <f>30385.68</f>
        <v>30385.68</v>
      </c>
      <c r="T115" s="32" t="n">
        <f>3409</f>
        <v>3409.0</v>
      </c>
      <c r="U115" s="32" t="str">
        <f>"－"</f>
        <v>－</v>
      </c>
      <c r="V115" s="32" t="n">
        <f>103286460</f>
        <v>1.0328646E8</v>
      </c>
      <c r="W115" s="32" t="str">
        <f>"－"</f>
        <v>－</v>
      </c>
      <c r="X115" s="36" t="n">
        <f>22</f>
        <v>22.0</v>
      </c>
    </row>
    <row r="116">
      <c r="A116" s="27" t="s">
        <v>42</v>
      </c>
      <c r="B116" s="27" t="s">
        <v>395</v>
      </c>
      <c r="C116" s="27" t="s">
        <v>396</v>
      </c>
      <c r="D116" s="27" t="s">
        <v>397</v>
      </c>
      <c r="E116" s="28" t="s">
        <v>46</v>
      </c>
      <c r="F116" s="29" t="s">
        <v>46</v>
      </c>
      <c r="G116" s="30" t="s">
        <v>46</v>
      </c>
      <c r="H116" s="31"/>
      <c r="I116" s="31" t="s">
        <v>47</v>
      </c>
      <c r="J116" s="32" t="n">
        <v>1.0</v>
      </c>
      <c r="K116" s="33" t="n">
        <f>32000</f>
        <v>32000.0</v>
      </c>
      <c r="L116" s="34" t="s">
        <v>48</v>
      </c>
      <c r="M116" s="33" t="n">
        <f>32500</f>
        <v>32500.0</v>
      </c>
      <c r="N116" s="34" t="s">
        <v>48</v>
      </c>
      <c r="O116" s="33" t="n">
        <f>29770</f>
        <v>29770.0</v>
      </c>
      <c r="P116" s="34" t="s">
        <v>50</v>
      </c>
      <c r="Q116" s="33" t="n">
        <f>30630</f>
        <v>30630.0</v>
      </c>
      <c r="R116" s="34" t="s">
        <v>51</v>
      </c>
      <c r="S116" s="35" t="n">
        <f>30980.45</f>
        <v>30980.45</v>
      </c>
      <c r="T116" s="32" t="n">
        <f>36378</f>
        <v>36378.0</v>
      </c>
      <c r="U116" s="32" t="n">
        <f>33003</f>
        <v>33003.0</v>
      </c>
      <c r="V116" s="32" t="n">
        <f>1142977985</f>
        <v>1.142977985E9</v>
      </c>
      <c r="W116" s="32" t="n">
        <f>1037787070</f>
        <v>1.03778707E9</v>
      </c>
      <c r="X116" s="36" t="n">
        <f>22</f>
        <v>22.0</v>
      </c>
    </row>
    <row r="117">
      <c r="A117" s="27" t="s">
        <v>42</v>
      </c>
      <c r="B117" s="27" t="s">
        <v>398</v>
      </c>
      <c r="C117" s="27" t="s">
        <v>399</v>
      </c>
      <c r="D117" s="27" t="s">
        <v>400</v>
      </c>
      <c r="E117" s="28" t="s">
        <v>46</v>
      </c>
      <c r="F117" s="29" t="s">
        <v>46</v>
      </c>
      <c r="G117" s="30" t="s">
        <v>46</v>
      </c>
      <c r="H117" s="31"/>
      <c r="I117" s="31" t="s">
        <v>47</v>
      </c>
      <c r="J117" s="32" t="n">
        <v>1.0</v>
      </c>
      <c r="K117" s="33" t="n">
        <f>28750</f>
        <v>28750.0</v>
      </c>
      <c r="L117" s="34" t="s">
        <v>48</v>
      </c>
      <c r="M117" s="33" t="n">
        <f>30120</f>
        <v>30120.0</v>
      </c>
      <c r="N117" s="34" t="s">
        <v>49</v>
      </c>
      <c r="O117" s="33" t="n">
        <f>28290</f>
        <v>28290.0</v>
      </c>
      <c r="P117" s="34" t="s">
        <v>72</v>
      </c>
      <c r="Q117" s="33" t="n">
        <f>29915</f>
        <v>29915.0</v>
      </c>
      <c r="R117" s="34" t="s">
        <v>51</v>
      </c>
      <c r="S117" s="35" t="n">
        <f>29355.91</f>
        <v>29355.91</v>
      </c>
      <c r="T117" s="32" t="n">
        <f>7705</f>
        <v>7705.0</v>
      </c>
      <c r="U117" s="32" t="n">
        <f>37</f>
        <v>37.0</v>
      </c>
      <c r="V117" s="32" t="n">
        <f>225598245</f>
        <v>2.25598245E8</v>
      </c>
      <c r="W117" s="32" t="n">
        <f>1082625</f>
        <v>1082625.0</v>
      </c>
      <c r="X117" s="36" t="n">
        <f>22</f>
        <v>22.0</v>
      </c>
    </row>
    <row r="118">
      <c r="A118" s="27" t="s">
        <v>42</v>
      </c>
      <c r="B118" s="27" t="s">
        <v>401</v>
      </c>
      <c r="C118" s="27" t="s">
        <v>402</v>
      </c>
      <c r="D118" s="27" t="s">
        <v>403</v>
      </c>
      <c r="E118" s="28" t="s">
        <v>46</v>
      </c>
      <c r="F118" s="29" t="s">
        <v>46</v>
      </c>
      <c r="G118" s="30" t="s">
        <v>46</v>
      </c>
      <c r="H118" s="31"/>
      <c r="I118" s="31" t="s">
        <v>47</v>
      </c>
      <c r="J118" s="32" t="n">
        <v>1.0</v>
      </c>
      <c r="K118" s="33" t="n">
        <f>29240</f>
        <v>29240.0</v>
      </c>
      <c r="L118" s="34" t="s">
        <v>48</v>
      </c>
      <c r="M118" s="33" t="n">
        <f>30120</f>
        <v>30120.0</v>
      </c>
      <c r="N118" s="34" t="s">
        <v>49</v>
      </c>
      <c r="O118" s="33" t="n">
        <f>28450</f>
        <v>28450.0</v>
      </c>
      <c r="P118" s="34" t="s">
        <v>92</v>
      </c>
      <c r="Q118" s="33" t="n">
        <f>29705</f>
        <v>29705.0</v>
      </c>
      <c r="R118" s="34" t="s">
        <v>51</v>
      </c>
      <c r="S118" s="35" t="n">
        <f>29168.41</f>
        <v>29168.41</v>
      </c>
      <c r="T118" s="32" t="n">
        <f>14304</f>
        <v>14304.0</v>
      </c>
      <c r="U118" s="32" t="n">
        <f>71</f>
        <v>71.0</v>
      </c>
      <c r="V118" s="32" t="n">
        <f>418112061</f>
        <v>4.18112061E8</v>
      </c>
      <c r="W118" s="32" t="n">
        <f>2095841</f>
        <v>2095841.0</v>
      </c>
      <c r="X118" s="36" t="n">
        <f>22</f>
        <v>22.0</v>
      </c>
    </row>
    <row r="119">
      <c r="A119" s="27" t="s">
        <v>42</v>
      </c>
      <c r="B119" s="27" t="s">
        <v>404</v>
      </c>
      <c r="C119" s="27" t="s">
        <v>405</v>
      </c>
      <c r="D119" s="27" t="s">
        <v>406</v>
      </c>
      <c r="E119" s="28" t="s">
        <v>46</v>
      </c>
      <c r="F119" s="29" t="s">
        <v>46</v>
      </c>
      <c r="G119" s="30" t="s">
        <v>46</v>
      </c>
      <c r="H119" s="31"/>
      <c r="I119" s="31" t="s">
        <v>47</v>
      </c>
      <c r="J119" s="32" t="n">
        <v>1.0</v>
      </c>
      <c r="K119" s="33" t="n">
        <f>26395</f>
        <v>26395.0</v>
      </c>
      <c r="L119" s="34" t="s">
        <v>48</v>
      </c>
      <c r="M119" s="33" t="n">
        <f>27020</f>
        <v>27020.0</v>
      </c>
      <c r="N119" s="34" t="s">
        <v>55</v>
      </c>
      <c r="O119" s="33" t="n">
        <f>25065</f>
        <v>25065.0</v>
      </c>
      <c r="P119" s="34" t="s">
        <v>50</v>
      </c>
      <c r="Q119" s="33" t="n">
        <f>26380</f>
        <v>26380.0</v>
      </c>
      <c r="R119" s="34" t="s">
        <v>51</v>
      </c>
      <c r="S119" s="35" t="n">
        <f>26163.64</f>
        <v>26163.64</v>
      </c>
      <c r="T119" s="32" t="n">
        <f>4579</f>
        <v>4579.0</v>
      </c>
      <c r="U119" s="32" t="str">
        <f>"－"</f>
        <v>－</v>
      </c>
      <c r="V119" s="32" t="n">
        <f>118847235</f>
        <v>1.18847235E8</v>
      </c>
      <c r="W119" s="32" t="str">
        <f>"－"</f>
        <v>－</v>
      </c>
      <c r="X119" s="36" t="n">
        <f>22</f>
        <v>22.0</v>
      </c>
    </row>
    <row r="120">
      <c r="A120" s="27" t="s">
        <v>42</v>
      </c>
      <c r="B120" s="27" t="s">
        <v>407</v>
      </c>
      <c r="C120" s="27" t="s">
        <v>408</v>
      </c>
      <c r="D120" s="27" t="s">
        <v>409</v>
      </c>
      <c r="E120" s="28" t="s">
        <v>46</v>
      </c>
      <c r="F120" s="29" t="s">
        <v>46</v>
      </c>
      <c r="G120" s="30" t="s">
        <v>46</v>
      </c>
      <c r="H120" s="31"/>
      <c r="I120" s="31" t="s">
        <v>47</v>
      </c>
      <c r="J120" s="32" t="n">
        <v>1.0</v>
      </c>
      <c r="K120" s="33" t="n">
        <f>57040</f>
        <v>57040.0</v>
      </c>
      <c r="L120" s="34" t="s">
        <v>48</v>
      </c>
      <c r="M120" s="33" t="n">
        <f>58770</f>
        <v>58770.0</v>
      </c>
      <c r="N120" s="34" t="s">
        <v>55</v>
      </c>
      <c r="O120" s="33" t="n">
        <f>53930</f>
        <v>53930.0</v>
      </c>
      <c r="P120" s="34" t="s">
        <v>60</v>
      </c>
      <c r="Q120" s="33" t="n">
        <f>57320</f>
        <v>57320.0</v>
      </c>
      <c r="R120" s="34" t="s">
        <v>51</v>
      </c>
      <c r="S120" s="35" t="n">
        <f>56544.09</f>
        <v>56544.09</v>
      </c>
      <c r="T120" s="32" t="n">
        <f>7845</f>
        <v>7845.0</v>
      </c>
      <c r="U120" s="32" t="n">
        <f>22</f>
        <v>22.0</v>
      </c>
      <c r="V120" s="32" t="n">
        <f>440073580</f>
        <v>4.4007358E8</v>
      </c>
      <c r="W120" s="32" t="n">
        <f>1254350</f>
        <v>1254350.0</v>
      </c>
      <c r="X120" s="36" t="n">
        <f>22</f>
        <v>22.0</v>
      </c>
    </row>
    <row r="121">
      <c r="A121" s="27" t="s">
        <v>42</v>
      </c>
      <c r="B121" s="27" t="s">
        <v>410</v>
      </c>
      <c r="C121" s="27" t="s">
        <v>411</v>
      </c>
      <c r="D121" s="27" t="s">
        <v>412</v>
      </c>
      <c r="E121" s="28" t="s">
        <v>46</v>
      </c>
      <c r="F121" s="29" t="s">
        <v>46</v>
      </c>
      <c r="G121" s="30" t="s">
        <v>46</v>
      </c>
      <c r="H121" s="31"/>
      <c r="I121" s="31" t="s">
        <v>47</v>
      </c>
      <c r="J121" s="32" t="n">
        <v>1.0</v>
      </c>
      <c r="K121" s="33" t="n">
        <f>38000</f>
        <v>38000.0</v>
      </c>
      <c r="L121" s="34" t="s">
        <v>48</v>
      </c>
      <c r="M121" s="33" t="n">
        <f>39100</f>
        <v>39100.0</v>
      </c>
      <c r="N121" s="34" t="s">
        <v>76</v>
      </c>
      <c r="O121" s="33" t="n">
        <f>36690</f>
        <v>36690.0</v>
      </c>
      <c r="P121" s="34" t="s">
        <v>60</v>
      </c>
      <c r="Q121" s="33" t="n">
        <f>38450</f>
        <v>38450.0</v>
      </c>
      <c r="R121" s="34" t="s">
        <v>51</v>
      </c>
      <c r="S121" s="35" t="n">
        <f>37879.09</f>
        <v>37879.09</v>
      </c>
      <c r="T121" s="32" t="n">
        <f>13009</f>
        <v>13009.0</v>
      </c>
      <c r="U121" s="32" t="n">
        <f>25</f>
        <v>25.0</v>
      </c>
      <c r="V121" s="32" t="n">
        <f>493551780</f>
        <v>4.9355178E8</v>
      </c>
      <c r="W121" s="32" t="n">
        <f>956540</f>
        <v>956540.0</v>
      </c>
      <c r="X121" s="36" t="n">
        <f>22</f>
        <v>22.0</v>
      </c>
    </row>
    <row r="122">
      <c r="A122" s="27" t="s">
        <v>42</v>
      </c>
      <c r="B122" s="27" t="s">
        <v>413</v>
      </c>
      <c r="C122" s="27" t="s">
        <v>414</v>
      </c>
      <c r="D122" s="27" t="s">
        <v>415</v>
      </c>
      <c r="E122" s="28" t="s">
        <v>46</v>
      </c>
      <c r="F122" s="29" t="s">
        <v>46</v>
      </c>
      <c r="G122" s="30" t="s">
        <v>46</v>
      </c>
      <c r="H122" s="31"/>
      <c r="I122" s="31" t="s">
        <v>47</v>
      </c>
      <c r="J122" s="32" t="n">
        <v>1.0</v>
      </c>
      <c r="K122" s="33" t="n">
        <f>35500</f>
        <v>35500.0</v>
      </c>
      <c r="L122" s="34" t="s">
        <v>48</v>
      </c>
      <c r="M122" s="33" t="n">
        <f>36360</f>
        <v>36360.0</v>
      </c>
      <c r="N122" s="34" t="s">
        <v>76</v>
      </c>
      <c r="O122" s="33" t="n">
        <f>34560</f>
        <v>34560.0</v>
      </c>
      <c r="P122" s="34" t="s">
        <v>56</v>
      </c>
      <c r="Q122" s="33" t="n">
        <f>35840</f>
        <v>35840.0</v>
      </c>
      <c r="R122" s="34" t="s">
        <v>51</v>
      </c>
      <c r="S122" s="35" t="n">
        <f>35523.18</f>
        <v>35523.18</v>
      </c>
      <c r="T122" s="32" t="n">
        <f>5869</f>
        <v>5869.0</v>
      </c>
      <c r="U122" s="32" t="n">
        <f>20</f>
        <v>20.0</v>
      </c>
      <c r="V122" s="32" t="n">
        <f>210428410</f>
        <v>2.1042841E8</v>
      </c>
      <c r="W122" s="32" t="n">
        <f>711380</f>
        <v>711380.0</v>
      </c>
      <c r="X122" s="36" t="n">
        <f>22</f>
        <v>22.0</v>
      </c>
    </row>
    <row r="123">
      <c r="A123" s="27" t="s">
        <v>42</v>
      </c>
      <c r="B123" s="27" t="s">
        <v>416</v>
      </c>
      <c r="C123" s="27" t="s">
        <v>417</v>
      </c>
      <c r="D123" s="27" t="s">
        <v>418</v>
      </c>
      <c r="E123" s="28" t="s">
        <v>46</v>
      </c>
      <c r="F123" s="29" t="s">
        <v>46</v>
      </c>
      <c r="G123" s="30" t="s">
        <v>46</v>
      </c>
      <c r="H123" s="31"/>
      <c r="I123" s="31" t="s">
        <v>47</v>
      </c>
      <c r="J123" s="32" t="n">
        <v>1.0</v>
      </c>
      <c r="K123" s="33" t="n">
        <f>9065</f>
        <v>9065.0</v>
      </c>
      <c r="L123" s="34" t="s">
        <v>48</v>
      </c>
      <c r="M123" s="33" t="n">
        <f>9460</f>
        <v>9460.0</v>
      </c>
      <c r="N123" s="34" t="s">
        <v>51</v>
      </c>
      <c r="O123" s="33" t="n">
        <f>8709</f>
        <v>8709.0</v>
      </c>
      <c r="P123" s="34" t="s">
        <v>50</v>
      </c>
      <c r="Q123" s="33" t="n">
        <f>9391</f>
        <v>9391.0</v>
      </c>
      <c r="R123" s="34" t="s">
        <v>51</v>
      </c>
      <c r="S123" s="35" t="n">
        <f>9106.55</f>
        <v>9106.55</v>
      </c>
      <c r="T123" s="32" t="n">
        <f>54466</f>
        <v>54466.0</v>
      </c>
      <c r="U123" s="32" t="str">
        <f>"－"</f>
        <v>－</v>
      </c>
      <c r="V123" s="32" t="n">
        <f>496134884</f>
        <v>4.96134884E8</v>
      </c>
      <c r="W123" s="32" t="str">
        <f>"－"</f>
        <v>－</v>
      </c>
      <c r="X123" s="36" t="n">
        <f>22</f>
        <v>22.0</v>
      </c>
    </row>
    <row r="124">
      <c r="A124" s="27" t="s">
        <v>42</v>
      </c>
      <c r="B124" s="27" t="s">
        <v>419</v>
      </c>
      <c r="C124" s="27" t="s">
        <v>420</v>
      </c>
      <c r="D124" s="27" t="s">
        <v>421</v>
      </c>
      <c r="E124" s="28" t="s">
        <v>46</v>
      </c>
      <c r="F124" s="29" t="s">
        <v>46</v>
      </c>
      <c r="G124" s="30" t="s">
        <v>46</v>
      </c>
      <c r="H124" s="31"/>
      <c r="I124" s="31" t="s">
        <v>47</v>
      </c>
      <c r="J124" s="32" t="n">
        <v>1.0</v>
      </c>
      <c r="K124" s="33" t="n">
        <f>18640</f>
        <v>18640.0</v>
      </c>
      <c r="L124" s="34" t="s">
        <v>48</v>
      </c>
      <c r="M124" s="33" t="n">
        <f>18725</f>
        <v>18725.0</v>
      </c>
      <c r="N124" s="34" t="s">
        <v>64</v>
      </c>
      <c r="O124" s="33" t="n">
        <f>17820</f>
        <v>17820.0</v>
      </c>
      <c r="P124" s="34" t="s">
        <v>56</v>
      </c>
      <c r="Q124" s="33" t="n">
        <f>18505</f>
        <v>18505.0</v>
      </c>
      <c r="R124" s="34" t="s">
        <v>51</v>
      </c>
      <c r="S124" s="35" t="n">
        <f>18334.77</f>
        <v>18334.77</v>
      </c>
      <c r="T124" s="32" t="n">
        <f>7068</f>
        <v>7068.0</v>
      </c>
      <c r="U124" s="32" t="str">
        <f>"－"</f>
        <v>－</v>
      </c>
      <c r="V124" s="32" t="n">
        <f>130049575</f>
        <v>1.30049575E8</v>
      </c>
      <c r="W124" s="32" t="str">
        <f>"－"</f>
        <v>－</v>
      </c>
      <c r="X124" s="36" t="n">
        <f>22</f>
        <v>22.0</v>
      </c>
    </row>
    <row r="125">
      <c r="A125" s="27" t="s">
        <v>42</v>
      </c>
      <c r="B125" s="27" t="s">
        <v>422</v>
      </c>
      <c r="C125" s="27" t="s">
        <v>423</v>
      </c>
      <c r="D125" s="27" t="s">
        <v>424</v>
      </c>
      <c r="E125" s="28" t="s">
        <v>46</v>
      </c>
      <c r="F125" s="29" t="s">
        <v>46</v>
      </c>
      <c r="G125" s="30" t="s">
        <v>46</v>
      </c>
      <c r="H125" s="31"/>
      <c r="I125" s="31" t="s">
        <v>47</v>
      </c>
      <c r="J125" s="32" t="n">
        <v>1.0</v>
      </c>
      <c r="K125" s="33" t="n">
        <f>85500</f>
        <v>85500.0</v>
      </c>
      <c r="L125" s="34" t="s">
        <v>48</v>
      </c>
      <c r="M125" s="33" t="n">
        <f>89100</f>
        <v>89100.0</v>
      </c>
      <c r="N125" s="34" t="s">
        <v>55</v>
      </c>
      <c r="O125" s="33" t="n">
        <f>80730</f>
        <v>80730.0</v>
      </c>
      <c r="P125" s="34" t="s">
        <v>50</v>
      </c>
      <c r="Q125" s="33" t="n">
        <f>83000</f>
        <v>83000.0</v>
      </c>
      <c r="R125" s="34" t="s">
        <v>51</v>
      </c>
      <c r="S125" s="35" t="n">
        <f>84553.18</f>
        <v>84553.18</v>
      </c>
      <c r="T125" s="32" t="n">
        <f>22230</f>
        <v>22230.0</v>
      </c>
      <c r="U125" s="32" t="n">
        <f>8</f>
        <v>8.0</v>
      </c>
      <c r="V125" s="32" t="n">
        <f>1903048535</f>
        <v>1.903048535E9</v>
      </c>
      <c r="W125" s="32" t="n">
        <f>678855</f>
        <v>678855.0</v>
      </c>
      <c r="X125" s="36" t="n">
        <f>22</f>
        <v>22.0</v>
      </c>
    </row>
    <row r="126">
      <c r="A126" s="27" t="s">
        <v>42</v>
      </c>
      <c r="B126" s="27" t="s">
        <v>425</v>
      </c>
      <c r="C126" s="27" t="s">
        <v>426</v>
      </c>
      <c r="D126" s="27" t="s">
        <v>427</v>
      </c>
      <c r="E126" s="28" t="s">
        <v>46</v>
      </c>
      <c r="F126" s="29" t="s">
        <v>46</v>
      </c>
      <c r="G126" s="30" t="s">
        <v>46</v>
      </c>
      <c r="H126" s="31"/>
      <c r="I126" s="31" t="s">
        <v>428</v>
      </c>
      <c r="J126" s="32" t="n">
        <v>1.0</v>
      </c>
      <c r="K126" s="33" t="n">
        <f>9993</f>
        <v>9993.0</v>
      </c>
      <c r="L126" s="34" t="s">
        <v>64</v>
      </c>
      <c r="M126" s="33" t="n">
        <f>10200</f>
        <v>10200.0</v>
      </c>
      <c r="N126" s="34" t="s">
        <v>76</v>
      </c>
      <c r="O126" s="33" t="n">
        <f>9739</f>
        <v>9739.0</v>
      </c>
      <c r="P126" s="34" t="s">
        <v>60</v>
      </c>
      <c r="Q126" s="33" t="n">
        <f>10105</f>
        <v>10105.0</v>
      </c>
      <c r="R126" s="34" t="s">
        <v>51</v>
      </c>
      <c r="S126" s="35" t="n">
        <f>10025.08</f>
        <v>10025.08</v>
      </c>
      <c r="T126" s="32" t="n">
        <f>6742</f>
        <v>6742.0</v>
      </c>
      <c r="U126" s="32" t="str">
        <f>"－"</f>
        <v>－</v>
      </c>
      <c r="V126" s="32" t="n">
        <f>67526006</f>
        <v>6.7526006E7</v>
      </c>
      <c r="W126" s="32" t="str">
        <f>"－"</f>
        <v>－</v>
      </c>
      <c r="X126" s="36" t="n">
        <f>12</f>
        <v>12.0</v>
      </c>
    </row>
    <row r="127">
      <c r="A127" s="27" t="s">
        <v>42</v>
      </c>
      <c r="B127" s="27" t="s">
        <v>429</v>
      </c>
      <c r="C127" s="27" t="s">
        <v>430</v>
      </c>
      <c r="D127" s="27" t="s">
        <v>431</v>
      </c>
      <c r="E127" s="28" t="s">
        <v>46</v>
      </c>
      <c r="F127" s="29" t="s">
        <v>46</v>
      </c>
      <c r="G127" s="30" t="s">
        <v>46</v>
      </c>
      <c r="H127" s="31"/>
      <c r="I127" s="31" t="s">
        <v>47</v>
      </c>
      <c r="J127" s="32" t="n">
        <v>1.0</v>
      </c>
      <c r="K127" s="33" t="n">
        <f>30970</f>
        <v>30970.0</v>
      </c>
      <c r="L127" s="34" t="s">
        <v>48</v>
      </c>
      <c r="M127" s="33" t="n">
        <f>32290</f>
        <v>32290.0</v>
      </c>
      <c r="N127" s="34" t="s">
        <v>76</v>
      </c>
      <c r="O127" s="33" t="n">
        <f>30000</f>
        <v>30000.0</v>
      </c>
      <c r="P127" s="34" t="s">
        <v>50</v>
      </c>
      <c r="Q127" s="33" t="n">
        <f>30500</f>
        <v>30500.0</v>
      </c>
      <c r="R127" s="34" t="s">
        <v>51</v>
      </c>
      <c r="S127" s="35" t="n">
        <f>30984.09</f>
        <v>30984.09</v>
      </c>
      <c r="T127" s="32" t="n">
        <f>17336</f>
        <v>17336.0</v>
      </c>
      <c r="U127" s="32" t="n">
        <f>203</f>
        <v>203.0</v>
      </c>
      <c r="V127" s="32" t="n">
        <f>542222675</f>
        <v>5.42222675E8</v>
      </c>
      <c r="W127" s="32" t="n">
        <f>6193915</f>
        <v>6193915.0</v>
      </c>
      <c r="X127" s="36" t="n">
        <f>22</f>
        <v>22.0</v>
      </c>
    </row>
    <row r="128">
      <c r="A128" s="27" t="s">
        <v>42</v>
      </c>
      <c r="B128" s="27" t="s">
        <v>432</v>
      </c>
      <c r="C128" s="27" t="s">
        <v>433</v>
      </c>
      <c r="D128" s="27" t="s">
        <v>434</v>
      </c>
      <c r="E128" s="28" t="s">
        <v>46</v>
      </c>
      <c r="F128" s="29" t="s">
        <v>46</v>
      </c>
      <c r="G128" s="30" t="s">
        <v>46</v>
      </c>
      <c r="H128" s="31"/>
      <c r="I128" s="31" t="s">
        <v>47</v>
      </c>
      <c r="J128" s="32" t="n">
        <v>1.0</v>
      </c>
      <c r="K128" s="33" t="n">
        <f>16750</f>
        <v>16750.0</v>
      </c>
      <c r="L128" s="34" t="s">
        <v>48</v>
      </c>
      <c r="M128" s="33" t="n">
        <f>18210</f>
        <v>18210.0</v>
      </c>
      <c r="N128" s="34" t="s">
        <v>84</v>
      </c>
      <c r="O128" s="33" t="n">
        <f>16440</f>
        <v>16440.0</v>
      </c>
      <c r="P128" s="34" t="s">
        <v>64</v>
      </c>
      <c r="Q128" s="33" t="n">
        <f>17870</f>
        <v>17870.0</v>
      </c>
      <c r="R128" s="34" t="s">
        <v>51</v>
      </c>
      <c r="S128" s="35" t="n">
        <f>17368.18</f>
        <v>17368.18</v>
      </c>
      <c r="T128" s="32" t="n">
        <f>321983</f>
        <v>321983.0</v>
      </c>
      <c r="U128" s="32" t="n">
        <f>275869</f>
        <v>275869.0</v>
      </c>
      <c r="V128" s="32" t="n">
        <f>5509639105</f>
        <v>5.509639105E9</v>
      </c>
      <c r="W128" s="32" t="n">
        <f>4707439365</f>
        <v>4.707439365E9</v>
      </c>
      <c r="X128" s="36" t="n">
        <f>22</f>
        <v>22.0</v>
      </c>
    </row>
    <row r="129">
      <c r="A129" s="27" t="s">
        <v>42</v>
      </c>
      <c r="B129" s="27" t="s">
        <v>435</v>
      </c>
      <c r="C129" s="27" t="s">
        <v>436</v>
      </c>
      <c r="D129" s="27" t="s">
        <v>437</v>
      </c>
      <c r="E129" s="28" t="s">
        <v>46</v>
      </c>
      <c r="F129" s="29" t="s">
        <v>46</v>
      </c>
      <c r="G129" s="30" t="s">
        <v>46</v>
      </c>
      <c r="H129" s="31"/>
      <c r="I129" s="31" t="s">
        <v>47</v>
      </c>
      <c r="J129" s="32" t="n">
        <v>1.0</v>
      </c>
      <c r="K129" s="33" t="n">
        <f>26205</f>
        <v>26205.0</v>
      </c>
      <c r="L129" s="34" t="s">
        <v>48</v>
      </c>
      <c r="M129" s="33" t="n">
        <f>27655</f>
        <v>27655.0</v>
      </c>
      <c r="N129" s="34" t="s">
        <v>55</v>
      </c>
      <c r="O129" s="33" t="n">
        <f>25680</f>
        <v>25680.0</v>
      </c>
      <c r="P129" s="34" t="s">
        <v>92</v>
      </c>
      <c r="Q129" s="33" t="n">
        <f>26640</f>
        <v>26640.0</v>
      </c>
      <c r="R129" s="34" t="s">
        <v>51</v>
      </c>
      <c r="S129" s="35" t="n">
        <f>26632.05</f>
        <v>26632.05</v>
      </c>
      <c r="T129" s="32" t="n">
        <f>34142</f>
        <v>34142.0</v>
      </c>
      <c r="U129" s="32" t="n">
        <f>7655</f>
        <v>7655.0</v>
      </c>
      <c r="V129" s="32" t="n">
        <f>914806936</f>
        <v>9.14806936E8</v>
      </c>
      <c r="W129" s="32" t="n">
        <f>207919326</f>
        <v>2.07919326E8</v>
      </c>
      <c r="X129" s="36" t="n">
        <f>22</f>
        <v>22.0</v>
      </c>
    </row>
    <row r="130">
      <c r="A130" s="27" t="s">
        <v>42</v>
      </c>
      <c r="B130" s="27" t="s">
        <v>438</v>
      </c>
      <c r="C130" s="27" t="s">
        <v>439</v>
      </c>
      <c r="D130" s="27" t="s">
        <v>440</v>
      </c>
      <c r="E130" s="28" t="s">
        <v>46</v>
      </c>
      <c r="F130" s="29" t="s">
        <v>46</v>
      </c>
      <c r="G130" s="30" t="s">
        <v>46</v>
      </c>
      <c r="H130" s="31"/>
      <c r="I130" s="31" t="s">
        <v>47</v>
      </c>
      <c r="J130" s="32" t="n">
        <v>1.0</v>
      </c>
      <c r="K130" s="33" t="n">
        <f>38970</f>
        <v>38970.0</v>
      </c>
      <c r="L130" s="34" t="s">
        <v>48</v>
      </c>
      <c r="M130" s="33" t="n">
        <f>40990</f>
        <v>40990.0</v>
      </c>
      <c r="N130" s="34" t="s">
        <v>55</v>
      </c>
      <c r="O130" s="33" t="n">
        <f>37710</f>
        <v>37710.0</v>
      </c>
      <c r="P130" s="34" t="s">
        <v>60</v>
      </c>
      <c r="Q130" s="33" t="n">
        <f>38550</f>
        <v>38550.0</v>
      </c>
      <c r="R130" s="34" t="s">
        <v>51</v>
      </c>
      <c r="S130" s="35" t="n">
        <f>38914.09</f>
        <v>38914.09</v>
      </c>
      <c r="T130" s="32" t="n">
        <f>3711</f>
        <v>3711.0</v>
      </c>
      <c r="U130" s="32" t="n">
        <f>27</f>
        <v>27.0</v>
      </c>
      <c r="V130" s="32" t="n">
        <f>143733010</f>
        <v>1.4373301E8</v>
      </c>
      <c r="W130" s="32" t="n">
        <f>1069190</f>
        <v>1069190.0</v>
      </c>
      <c r="X130" s="36" t="n">
        <f>22</f>
        <v>22.0</v>
      </c>
    </row>
    <row r="131">
      <c r="A131" s="27" t="s">
        <v>42</v>
      </c>
      <c r="B131" s="27" t="s">
        <v>441</v>
      </c>
      <c r="C131" s="27" t="s">
        <v>442</v>
      </c>
      <c r="D131" s="27" t="s">
        <v>443</v>
      </c>
      <c r="E131" s="28" t="s">
        <v>46</v>
      </c>
      <c r="F131" s="29" t="s">
        <v>46</v>
      </c>
      <c r="G131" s="30" t="s">
        <v>46</v>
      </c>
      <c r="H131" s="31"/>
      <c r="I131" s="31" t="s">
        <v>428</v>
      </c>
      <c r="J131" s="32" t="n">
        <v>1.0</v>
      </c>
      <c r="K131" s="33" t="n">
        <f>8506</f>
        <v>8506.0</v>
      </c>
      <c r="L131" s="34" t="s">
        <v>48</v>
      </c>
      <c r="M131" s="33" t="n">
        <f>8957</f>
        <v>8957.0</v>
      </c>
      <c r="N131" s="34" t="s">
        <v>76</v>
      </c>
      <c r="O131" s="33" t="n">
        <f>8131</f>
        <v>8131.0</v>
      </c>
      <c r="P131" s="34" t="s">
        <v>60</v>
      </c>
      <c r="Q131" s="33" t="n">
        <f>8749</f>
        <v>8749.0</v>
      </c>
      <c r="R131" s="34" t="s">
        <v>51</v>
      </c>
      <c r="S131" s="35" t="n">
        <f>8543.91</f>
        <v>8543.91</v>
      </c>
      <c r="T131" s="32" t="n">
        <f>47179</f>
        <v>47179.0</v>
      </c>
      <c r="U131" s="32" t="str">
        <f>"－"</f>
        <v>－</v>
      </c>
      <c r="V131" s="32" t="n">
        <f>403217168</f>
        <v>4.03217168E8</v>
      </c>
      <c r="W131" s="32" t="str">
        <f>"－"</f>
        <v>－</v>
      </c>
      <c r="X131" s="36" t="n">
        <f>22</f>
        <v>22.0</v>
      </c>
    </row>
    <row r="132">
      <c r="A132" s="27" t="s">
        <v>42</v>
      </c>
      <c r="B132" s="27" t="s">
        <v>444</v>
      </c>
      <c r="C132" s="27" t="s">
        <v>445</v>
      </c>
      <c r="D132" s="27" t="s">
        <v>446</v>
      </c>
      <c r="E132" s="28" t="s">
        <v>46</v>
      </c>
      <c r="F132" s="29" t="s">
        <v>46</v>
      </c>
      <c r="G132" s="30" t="s">
        <v>46</v>
      </c>
      <c r="H132" s="31"/>
      <c r="I132" s="31" t="s">
        <v>47</v>
      </c>
      <c r="J132" s="32" t="n">
        <v>1.0</v>
      </c>
      <c r="K132" s="33" t="n">
        <f>1966</f>
        <v>1966.0</v>
      </c>
      <c r="L132" s="34" t="s">
        <v>48</v>
      </c>
      <c r="M132" s="33" t="n">
        <f>2036</f>
        <v>2036.0</v>
      </c>
      <c r="N132" s="34" t="s">
        <v>55</v>
      </c>
      <c r="O132" s="33" t="n">
        <f>1928</f>
        <v>1928.0</v>
      </c>
      <c r="P132" s="34" t="s">
        <v>50</v>
      </c>
      <c r="Q132" s="33" t="n">
        <f>2000</f>
        <v>2000.0</v>
      </c>
      <c r="R132" s="34" t="s">
        <v>51</v>
      </c>
      <c r="S132" s="35" t="n">
        <f>1983.27</f>
        <v>1983.27</v>
      </c>
      <c r="T132" s="32" t="n">
        <f>1412653</f>
        <v>1412653.0</v>
      </c>
      <c r="U132" s="32" t="n">
        <f>775890</f>
        <v>775890.0</v>
      </c>
      <c r="V132" s="32" t="n">
        <f>2791460157</f>
        <v>2.791460157E9</v>
      </c>
      <c r="W132" s="32" t="n">
        <f>1533099534</f>
        <v>1.533099534E9</v>
      </c>
      <c r="X132" s="36" t="n">
        <f>22</f>
        <v>22.0</v>
      </c>
    </row>
    <row r="133">
      <c r="A133" s="27" t="s">
        <v>42</v>
      </c>
      <c r="B133" s="27" t="s">
        <v>447</v>
      </c>
      <c r="C133" s="27" t="s">
        <v>448</v>
      </c>
      <c r="D133" s="27" t="s">
        <v>449</v>
      </c>
      <c r="E133" s="28" t="s">
        <v>46</v>
      </c>
      <c r="F133" s="29" t="s">
        <v>46</v>
      </c>
      <c r="G133" s="30" t="s">
        <v>46</v>
      </c>
      <c r="H133" s="31"/>
      <c r="I133" s="31" t="s">
        <v>47</v>
      </c>
      <c r="J133" s="32" t="n">
        <v>10.0</v>
      </c>
      <c r="K133" s="33" t="n">
        <f>3155</f>
        <v>3155.0</v>
      </c>
      <c r="L133" s="34" t="s">
        <v>48</v>
      </c>
      <c r="M133" s="33" t="n">
        <f>3309</f>
        <v>3309.0</v>
      </c>
      <c r="N133" s="34" t="s">
        <v>76</v>
      </c>
      <c r="O133" s="33" t="n">
        <f>3136</f>
        <v>3136.0</v>
      </c>
      <c r="P133" s="34" t="s">
        <v>56</v>
      </c>
      <c r="Q133" s="33" t="n">
        <f>3255</f>
        <v>3255.0</v>
      </c>
      <c r="R133" s="34" t="s">
        <v>51</v>
      </c>
      <c r="S133" s="35" t="n">
        <f>3226.45</f>
        <v>3226.45</v>
      </c>
      <c r="T133" s="32" t="n">
        <f>232250</f>
        <v>232250.0</v>
      </c>
      <c r="U133" s="32" t="str">
        <f>"－"</f>
        <v>－</v>
      </c>
      <c r="V133" s="32" t="n">
        <f>750136900</f>
        <v>7.501369E8</v>
      </c>
      <c r="W133" s="32" t="str">
        <f>"－"</f>
        <v>－</v>
      </c>
      <c r="X133" s="36" t="n">
        <f>20</f>
        <v>20.0</v>
      </c>
    </row>
    <row r="134">
      <c r="A134" s="27" t="s">
        <v>42</v>
      </c>
      <c r="B134" s="27" t="s">
        <v>450</v>
      </c>
      <c r="C134" s="27" t="s">
        <v>451</v>
      </c>
      <c r="D134" s="27" t="s">
        <v>452</v>
      </c>
      <c r="E134" s="28" t="s">
        <v>46</v>
      </c>
      <c r="F134" s="29" t="s">
        <v>46</v>
      </c>
      <c r="G134" s="30" t="s">
        <v>46</v>
      </c>
      <c r="H134" s="31"/>
      <c r="I134" s="31" t="s">
        <v>47</v>
      </c>
      <c r="J134" s="32" t="n">
        <v>10.0</v>
      </c>
      <c r="K134" s="33" t="n">
        <f>3493</f>
        <v>3493.0</v>
      </c>
      <c r="L134" s="34" t="s">
        <v>48</v>
      </c>
      <c r="M134" s="33" t="n">
        <f>3570</f>
        <v>3570.0</v>
      </c>
      <c r="N134" s="34" t="s">
        <v>55</v>
      </c>
      <c r="O134" s="33" t="n">
        <f>3388</f>
        <v>3388.0</v>
      </c>
      <c r="P134" s="34" t="s">
        <v>56</v>
      </c>
      <c r="Q134" s="33" t="n">
        <f>3486</f>
        <v>3486.0</v>
      </c>
      <c r="R134" s="34" t="s">
        <v>51</v>
      </c>
      <c r="S134" s="35" t="n">
        <f>3484.33</f>
        <v>3484.33</v>
      </c>
      <c r="T134" s="32" t="n">
        <f>38690</f>
        <v>38690.0</v>
      </c>
      <c r="U134" s="32" t="str">
        <f>"－"</f>
        <v>－</v>
      </c>
      <c r="V134" s="32" t="n">
        <f>135410800</f>
        <v>1.354108E8</v>
      </c>
      <c r="W134" s="32" t="str">
        <f>"－"</f>
        <v>－</v>
      </c>
      <c r="X134" s="36" t="n">
        <f>18</f>
        <v>18.0</v>
      </c>
    </row>
    <row r="135">
      <c r="A135" s="27" t="s">
        <v>42</v>
      </c>
      <c r="B135" s="27" t="s">
        <v>453</v>
      </c>
      <c r="C135" s="27" t="s">
        <v>454</v>
      </c>
      <c r="D135" s="27" t="s">
        <v>455</v>
      </c>
      <c r="E135" s="28" t="s">
        <v>46</v>
      </c>
      <c r="F135" s="29" t="s">
        <v>46</v>
      </c>
      <c r="G135" s="30" t="s">
        <v>46</v>
      </c>
      <c r="H135" s="31"/>
      <c r="I135" s="31" t="s">
        <v>47</v>
      </c>
      <c r="J135" s="32" t="n">
        <v>10.0</v>
      </c>
      <c r="K135" s="33" t="n">
        <f>2177</f>
        <v>2177.0</v>
      </c>
      <c r="L135" s="34" t="s">
        <v>48</v>
      </c>
      <c r="M135" s="33" t="n">
        <f>2349</f>
        <v>2349.0</v>
      </c>
      <c r="N135" s="34" t="s">
        <v>51</v>
      </c>
      <c r="O135" s="33" t="n">
        <f>2124</f>
        <v>2124.0</v>
      </c>
      <c r="P135" s="34" t="s">
        <v>56</v>
      </c>
      <c r="Q135" s="33" t="n">
        <f>2181</f>
        <v>2181.0</v>
      </c>
      <c r="R135" s="34" t="s">
        <v>51</v>
      </c>
      <c r="S135" s="35" t="n">
        <f>2177.25</f>
        <v>2177.25</v>
      </c>
      <c r="T135" s="32" t="n">
        <f>6760</f>
        <v>6760.0</v>
      </c>
      <c r="U135" s="32" t="str">
        <f>"－"</f>
        <v>－</v>
      </c>
      <c r="V135" s="32" t="n">
        <f>14638115</f>
        <v>1.4638115E7</v>
      </c>
      <c r="W135" s="32" t="str">
        <f>"－"</f>
        <v>－</v>
      </c>
      <c r="X135" s="36" t="n">
        <f>18</f>
        <v>18.0</v>
      </c>
    </row>
    <row r="136">
      <c r="A136" s="27" t="s">
        <v>42</v>
      </c>
      <c r="B136" s="27" t="s">
        <v>456</v>
      </c>
      <c r="C136" s="27" t="s">
        <v>457</v>
      </c>
      <c r="D136" s="27" t="s">
        <v>458</v>
      </c>
      <c r="E136" s="28" t="s">
        <v>46</v>
      </c>
      <c r="F136" s="29" t="s">
        <v>46</v>
      </c>
      <c r="G136" s="30" t="s">
        <v>46</v>
      </c>
      <c r="H136" s="31"/>
      <c r="I136" s="31" t="s">
        <v>47</v>
      </c>
      <c r="J136" s="32" t="n">
        <v>10.0</v>
      </c>
      <c r="K136" s="33" t="n">
        <f>595.4</f>
        <v>595.4</v>
      </c>
      <c r="L136" s="34" t="s">
        <v>48</v>
      </c>
      <c r="M136" s="33" t="n">
        <f>647.8</f>
        <v>647.8</v>
      </c>
      <c r="N136" s="34" t="s">
        <v>50</v>
      </c>
      <c r="O136" s="33" t="n">
        <f>588.6</f>
        <v>588.6</v>
      </c>
      <c r="P136" s="34" t="s">
        <v>72</v>
      </c>
      <c r="Q136" s="33" t="n">
        <f>638.2</f>
        <v>638.2</v>
      </c>
      <c r="R136" s="34" t="s">
        <v>51</v>
      </c>
      <c r="S136" s="35" t="n">
        <f>624.63</f>
        <v>624.63</v>
      </c>
      <c r="T136" s="32" t="n">
        <f>44511050</f>
        <v>4.451105E7</v>
      </c>
      <c r="U136" s="32" t="n">
        <f>3298610</f>
        <v>3298610.0</v>
      </c>
      <c r="V136" s="32" t="n">
        <f>27797068299</f>
        <v>2.7797068299E10</v>
      </c>
      <c r="W136" s="32" t="n">
        <f>2021844210</f>
        <v>2.02184421E9</v>
      </c>
      <c r="X136" s="36" t="n">
        <f>22</f>
        <v>22.0</v>
      </c>
    </row>
    <row r="137">
      <c r="A137" s="27" t="s">
        <v>42</v>
      </c>
      <c r="B137" s="27" t="s">
        <v>459</v>
      </c>
      <c r="C137" s="27" t="s">
        <v>460</v>
      </c>
      <c r="D137" s="27" t="s">
        <v>461</v>
      </c>
      <c r="E137" s="28" t="s">
        <v>46</v>
      </c>
      <c r="F137" s="29" t="s">
        <v>46</v>
      </c>
      <c r="G137" s="30" t="s">
        <v>46</v>
      </c>
      <c r="H137" s="31"/>
      <c r="I137" s="31" t="s">
        <v>47</v>
      </c>
      <c r="J137" s="32" t="n">
        <v>10.0</v>
      </c>
      <c r="K137" s="33" t="n">
        <f>295.7</f>
        <v>295.7</v>
      </c>
      <c r="L137" s="34" t="s">
        <v>48</v>
      </c>
      <c r="M137" s="33" t="n">
        <f>303.7</f>
        <v>303.7</v>
      </c>
      <c r="N137" s="34" t="s">
        <v>50</v>
      </c>
      <c r="O137" s="33" t="n">
        <f>294.6</f>
        <v>294.6</v>
      </c>
      <c r="P137" s="34" t="s">
        <v>72</v>
      </c>
      <c r="Q137" s="33" t="n">
        <f>301.7</f>
        <v>301.7</v>
      </c>
      <c r="R137" s="34" t="s">
        <v>51</v>
      </c>
      <c r="S137" s="35" t="n">
        <f>299.92</f>
        <v>299.92</v>
      </c>
      <c r="T137" s="32" t="n">
        <f>64270250</f>
        <v>6.427025E7</v>
      </c>
      <c r="U137" s="32" t="n">
        <f>59011920</f>
        <v>5.901192E7</v>
      </c>
      <c r="V137" s="32" t="n">
        <f>19265342828</f>
        <v>1.9265342828E10</v>
      </c>
      <c r="W137" s="32" t="n">
        <f>17692887109</f>
        <v>1.7692887109E10</v>
      </c>
      <c r="X137" s="36" t="n">
        <f>22</f>
        <v>22.0</v>
      </c>
    </row>
    <row r="138">
      <c r="A138" s="27" t="s">
        <v>42</v>
      </c>
      <c r="B138" s="27" t="s">
        <v>462</v>
      </c>
      <c r="C138" s="27" t="s">
        <v>463</v>
      </c>
      <c r="D138" s="27" t="s">
        <v>464</v>
      </c>
      <c r="E138" s="28" t="s">
        <v>46</v>
      </c>
      <c r="F138" s="29" t="s">
        <v>46</v>
      </c>
      <c r="G138" s="30" t="s">
        <v>46</v>
      </c>
      <c r="H138" s="31"/>
      <c r="I138" s="31" t="s">
        <v>47</v>
      </c>
      <c r="J138" s="32" t="n">
        <v>1.0</v>
      </c>
      <c r="K138" s="33" t="n">
        <f>4990</f>
        <v>4990.0</v>
      </c>
      <c r="L138" s="34" t="s">
        <v>48</v>
      </c>
      <c r="M138" s="33" t="n">
        <f>5360</f>
        <v>5360.0</v>
      </c>
      <c r="N138" s="34" t="s">
        <v>50</v>
      </c>
      <c r="O138" s="33" t="n">
        <f>4935</f>
        <v>4935.0</v>
      </c>
      <c r="P138" s="34" t="s">
        <v>72</v>
      </c>
      <c r="Q138" s="33" t="n">
        <f>5270</f>
        <v>5270.0</v>
      </c>
      <c r="R138" s="34" t="s">
        <v>51</v>
      </c>
      <c r="S138" s="35" t="n">
        <f>5186.59</f>
        <v>5186.59</v>
      </c>
      <c r="T138" s="32" t="n">
        <f>84959</f>
        <v>84959.0</v>
      </c>
      <c r="U138" s="32" t="n">
        <f>5040</f>
        <v>5040.0</v>
      </c>
      <c r="V138" s="32" t="n">
        <f>440705818</f>
        <v>4.40705818E8</v>
      </c>
      <c r="W138" s="32" t="n">
        <f>26096518</f>
        <v>2.6096518E7</v>
      </c>
      <c r="X138" s="36" t="n">
        <f>22</f>
        <v>22.0</v>
      </c>
    </row>
    <row r="139">
      <c r="A139" s="27" t="s">
        <v>42</v>
      </c>
      <c r="B139" s="27" t="s">
        <v>465</v>
      </c>
      <c r="C139" s="27" t="s">
        <v>466</v>
      </c>
      <c r="D139" s="27" t="s">
        <v>467</v>
      </c>
      <c r="E139" s="28" t="s">
        <v>46</v>
      </c>
      <c r="F139" s="29" t="s">
        <v>46</v>
      </c>
      <c r="G139" s="30" t="s">
        <v>46</v>
      </c>
      <c r="H139" s="31"/>
      <c r="I139" s="31" t="s">
        <v>47</v>
      </c>
      <c r="J139" s="32" t="n">
        <v>1.0</v>
      </c>
      <c r="K139" s="33" t="n">
        <f>2820</f>
        <v>2820.0</v>
      </c>
      <c r="L139" s="34" t="s">
        <v>48</v>
      </c>
      <c r="M139" s="33" t="n">
        <f>3035</f>
        <v>3035.0</v>
      </c>
      <c r="N139" s="34" t="s">
        <v>55</v>
      </c>
      <c r="O139" s="33" t="n">
        <f>2766</f>
        <v>2766.0</v>
      </c>
      <c r="P139" s="34" t="s">
        <v>72</v>
      </c>
      <c r="Q139" s="33" t="n">
        <f>2889</f>
        <v>2889.0</v>
      </c>
      <c r="R139" s="34" t="s">
        <v>51</v>
      </c>
      <c r="S139" s="35" t="n">
        <f>2875.91</f>
        <v>2875.91</v>
      </c>
      <c r="T139" s="32" t="n">
        <f>170082</f>
        <v>170082.0</v>
      </c>
      <c r="U139" s="32" t="n">
        <f>38364</f>
        <v>38364.0</v>
      </c>
      <c r="V139" s="32" t="n">
        <f>488516303</f>
        <v>4.88516303E8</v>
      </c>
      <c r="W139" s="32" t="n">
        <f>109866262</f>
        <v>1.09866262E8</v>
      </c>
      <c r="X139" s="36" t="n">
        <f>22</f>
        <v>22.0</v>
      </c>
    </row>
    <row r="140">
      <c r="A140" s="27" t="s">
        <v>42</v>
      </c>
      <c r="B140" s="27" t="s">
        <v>468</v>
      </c>
      <c r="C140" s="27" t="s">
        <v>469</v>
      </c>
      <c r="D140" s="27" t="s">
        <v>470</v>
      </c>
      <c r="E140" s="28" t="s">
        <v>46</v>
      </c>
      <c r="F140" s="29" t="s">
        <v>46</v>
      </c>
      <c r="G140" s="30" t="s">
        <v>46</v>
      </c>
      <c r="H140" s="31"/>
      <c r="I140" s="31" t="s">
        <v>47</v>
      </c>
      <c r="J140" s="32" t="n">
        <v>1.0</v>
      </c>
      <c r="K140" s="33" t="n">
        <f>3275</f>
        <v>3275.0</v>
      </c>
      <c r="L140" s="34" t="s">
        <v>48</v>
      </c>
      <c r="M140" s="33" t="n">
        <f>3505</f>
        <v>3505.0</v>
      </c>
      <c r="N140" s="34" t="s">
        <v>50</v>
      </c>
      <c r="O140" s="33" t="n">
        <f>3260</f>
        <v>3260.0</v>
      </c>
      <c r="P140" s="34" t="s">
        <v>72</v>
      </c>
      <c r="Q140" s="33" t="n">
        <f>3480</f>
        <v>3480.0</v>
      </c>
      <c r="R140" s="34" t="s">
        <v>51</v>
      </c>
      <c r="S140" s="35" t="n">
        <f>3392.05</f>
        <v>3392.05</v>
      </c>
      <c r="T140" s="32" t="n">
        <f>179219</f>
        <v>179219.0</v>
      </c>
      <c r="U140" s="32" t="str">
        <f>"－"</f>
        <v>－</v>
      </c>
      <c r="V140" s="32" t="n">
        <f>607804735</f>
        <v>6.07804735E8</v>
      </c>
      <c r="W140" s="32" t="str">
        <f>"－"</f>
        <v>－</v>
      </c>
      <c r="X140" s="36" t="n">
        <f>22</f>
        <v>22.0</v>
      </c>
    </row>
    <row r="141">
      <c r="A141" s="27" t="s">
        <v>42</v>
      </c>
      <c r="B141" s="27" t="s">
        <v>471</v>
      </c>
      <c r="C141" s="27" t="s">
        <v>472</v>
      </c>
      <c r="D141" s="27" t="s">
        <v>473</v>
      </c>
      <c r="E141" s="28" t="s">
        <v>46</v>
      </c>
      <c r="F141" s="29" t="s">
        <v>46</v>
      </c>
      <c r="G141" s="30" t="s">
        <v>46</v>
      </c>
      <c r="H141" s="31"/>
      <c r="I141" s="31" t="s">
        <v>47</v>
      </c>
      <c r="J141" s="32" t="n">
        <v>1.0</v>
      </c>
      <c r="K141" s="33" t="n">
        <f>9995</f>
        <v>9995.0</v>
      </c>
      <c r="L141" s="34" t="s">
        <v>48</v>
      </c>
      <c r="M141" s="33" t="n">
        <f>9999</f>
        <v>9999.0</v>
      </c>
      <c r="N141" s="34" t="s">
        <v>337</v>
      </c>
      <c r="O141" s="33" t="n">
        <f>9433</f>
        <v>9433.0</v>
      </c>
      <c r="P141" s="34" t="s">
        <v>50</v>
      </c>
      <c r="Q141" s="33" t="n">
        <f>9508</f>
        <v>9508.0</v>
      </c>
      <c r="R141" s="34" t="s">
        <v>51</v>
      </c>
      <c r="S141" s="35" t="n">
        <f>9642.5</f>
        <v>9642.5</v>
      </c>
      <c r="T141" s="32" t="n">
        <f>313904</f>
        <v>313904.0</v>
      </c>
      <c r="U141" s="32" t="n">
        <f>62100</f>
        <v>62100.0</v>
      </c>
      <c r="V141" s="32" t="n">
        <f>3023557207</f>
        <v>3.023557207E9</v>
      </c>
      <c r="W141" s="32" t="n">
        <f>594477141</f>
        <v>5.94477141E8</v>
      </c>
      <c r="X141" s="36" t="n">
        <f>22</f>
        <v>22.0</v>
      </c>
    </row>
    <row r="142">
      <c r="A142" s="27" t="s">
        <v>42</v>
      </c>
      <c r="B142" s="27" t="s">
        <v>474</v>
      </c>
      <c r="C142" s="27" t="s">
        <v>475</v>
      </c>
      <c r="D142" s="27" t="s">
        <v>476</v>
      </c>
      <c r="E142" s="28" t="s">
        <v>46</v>
      </c>
      <c r="F142" s="29" t="s">
        <v>46</v>
      </c>
      <c r="G142" s="30" t="s">
        <v>46</v>
      </c>
      <c r="H142" s="31"/>
      <c r="I142" s="31" t="s">
        <v>47</v>
      </c>
      <c r="J142" s="32" t="n">
        <v>1.0</v>
      </c>
      <c r="K142" s="33" t="n">
        <f>2778</f>
        <v>2778.0</v>
      </c>
      <c r="L142" s="34" t="s">
        <v>48</v>
      </c>
      <c r="M142" s="33" t="n">
        <f>3230</f>
        <v>3230.0</v>
      </c>
      <c r="N142" s="34" t="s">
        <v>337</v>
      </c>
      <c r="O142" s="33" t="n">
        <f>2772</f>
        <v>2772.0</v>
      </c>
      <c r="P142" s="34" t="s">
        <v>48</v>
      </c>
      <c r="Q142" s="33" t="n">
        <f>3010</f>
        <v>3010.0</v>
      </c>
      <c r="R142" s="34" t="s">
        <v>51</v>
      </c>
      <c r="S142" s="35" t="n">
        <f>3019.18</f>
        <v>3019.18</v>
      </c>
      <c r="T142" s="32" t="n">
        <f>5902655</f>
        <v>5902655.0</v>
      </c>
      <c r="U142" s="32" t="n">
        <f>13333</f>
        <v>13333.0</v>
      </c>
      <c r="V142" s="32" t="n">
        <f>17820083404</f>
        <v>1.7820083404E10</v>
      </c>
      <c r="W142" s="32" t="n">
        <f>40738427</f>
        <v>4.0738427E7</v>
      </c>
      <c r="X142" s="36" t="n">
        <f>22</f>
        <v>22.0</v>
      </c>
    </row>
    <row r="143">
      <c r="A143" s="27" t="s">
        <v>42</v>
      </c>
      <c r="B143" s="27" t="s">
        <v>477</v>
      </c>
      <c r="C143" s="27" t="s">
        <v>478</v>
      </c>
      <c r="D143" s="27" t="s">
        <v>479</v>
      </c>
      <c r="E143" s="28" t="s">
        <v>46</v>
      </c>
      <c r="F143" s="29" t="s">
        <v>46</v>
      </c>
      <c r="G143" s="30" t="s">
        <v>46</v>
      </c>
      <c r="H143" s="31"/>
      <c r="I143" s="31" t="s">
        <v>47</v>
      </c>
      <c r="J143" s="32" t="n">
        <v>1.0</v>
      </c>
      <c r="K143" s="33" t="n">
        <f>35360</f>
        <v>35360.0</v>
      </c>
      <c r="L143" s="34" t="s">
        <v>48</v>
      </c>
      <c r="M143" s="33" t="n">
        <f>40300</f>
        <v>40300.0</v>
      </c>
      <c r="N143" s="34" t="s">
        <v>49</v>
      </c>
      <c r="O143" s="33" t="n">
        <f>35220</f>
        <v>35220.0</v>
      </c>
      <c r="P143" s="34" t="s">
        <v>48</v>
      </c>
      <c r="Q143" s="33" t="n">
        <f>39800</f>
        <v>39800.0</v>
      </c>
      <c r="R143" s="34" t="s">
        <v>51</v>
      </c>
      <c r="S143" s="35" t="n">
        <f>37609.55</f>
        <v>37609.55</v>
      </c>
      <c r="T143" s="32" t="n">
        <f>12411</f>
        <v>12411.0</v>
      </c>
      <c r="U143" s="32" t="n">
        <f>1</f>
        <v>1.0</v>
      </c>
      <c r="V143" s="32" t="n">
        <f>475429430</f>
        <v>4.7542943E8</v>
      </c>
      <c r="W143" s="32" t="n">
        <f>35720</f>
        <v>35720.0</v>
      </c>
      <c r="X143" s="36" t="n">
        <f>22</f>
        <v>22.0</v>
      </c>
    </row>
    <row r="144">
      <c r="A144" s="27" t="s">
        <v>42</v>
      </c>
      <c r="B144" s="27" t="s">
        <v>480</v>
      </c>
      <c r="C144" s="27" t="s">
        <v>481</v>
      </c>
      <c r="D144" s="27" t="s">
        <v>482</v>
      </c>
      <c r="E144" s="28" t="s">
        <v>46</v>
      </c>
      <c r="F144" s="29" t="s">
        <v>46</v>
      </c>
      <c r="G144" s="30" t="s">
        <v>46</v>
      </c>
      <c r="H144" s="31"/>
      <c r="I144" s="31" t="s">
        <v>47</v>
      </c>
      <c r="J144" s="32" t="n">
        <v>10.0</v>
      </c>
      <c r="K144" s="33" t="n">
        <f>4195</f>
        <v>4195.0</v>
      </c>
      <c r="L144" s="34" t="s">
        <v>48</v>
      </c>
      <c r="M144" s="33" t="n">
        <f>4868</f>
        <v>4868.0</v>
      </c>
      <c r="N144" s="34" t="s">
        <v>267</v>
      </c>
      <c r="O144" s="33" t="n">
        <f>4100</f>
        <v>4100.0</v>
      </c>
      <c r="P144" s="34" t="s">
        <v>72</v>
      </c>
      <c r="Q144" s="33" t="n">
        <f>4731</f>
        <v>4731.0</v>
      </c>
      <c r="R144" s="34" t="s">
        <v>51</v>
      </c>
      <c r="S144" s="35" t="n">
        <f>4461.59</f>
        <v>4461.59</v>
      </c>
      <c r="T144" s="32" t="n">
        <f>101770</f>
        <v>101770.0</v>
      </c>
      <c r="U144" s="32" t="n">
        <f>30</f>
        <v>30.0</v>
      </c>
      <c r="V144" s="32" t="n">
        <f>473369680</f>
        <v>4.7336968E8</v>
      </c>
      <c r="W144" s="32" t="n">
        <f>141600</f>
        <v>141600.0</v>
      </c>
      <c r="X144" s="36" t="n">
        <f>22</f>
        <v>22.0</v>
      </c>
    </row>
    <row r="145">
      <c r="A145" s="27" t="s">
        <v>42</v>
      </c>
      <c r="B145" s="27" t="s">
        <v>483</v>
      </c>
      <c r="C145" s="27" t="s">
        <v>484</v>
      </c>
      <c r="D145" s="27" t="s">
        <v>485</v>
      </c>
      <c r="E145" s="28" t="s">
        <v>46</v>
      </c>
      <c r="F145" s="29" t="s">
        <v>46</v>
      </c>
      <c r="G145" s="30" t="s">
        <v>46</v>
      </c>
      <c r="H145" s="31"/>
      <c r="I145" s="31" t="s">
        <v>47</v>
      </c>
      <c r="J145" s="32" t="n">
        <v>1.0</v>
      </c>
      <c r="K145" s="33" t="n">
        <f>12970</f>
        <v>12970.0</v>
      </c>
      <c r="L145" s="34" t="s">
        <v>48</v>
      </c>
      <c r="M145" s="33" t="n">
        <f>14845</f>
        <v>14845.0</v>
      </c>
      <c r="N145" s="34" t="s">
        <v>49</v>
      </c>
      <c r="O145" s="33" t="n">
        <f>12825</f>
        <v>12825.0</v>
      </c>
      <c r="P145" s="34" t="s">
        <v>48</v>
      </c>
      <c r="Q145" s="33" t="n">
        <f>14120</f>
        <v>14120.0</v>
      </c>
      <c r="R145" s="34" t="s">
        <v>51</v>
      </c>
      <c r="S145" s="35" t="n">
        <f>13783.86</f>
        <v>13783.86</v>
      </c>
      <c r="T145" s="32" t="n">
        <f>14726</f>
        <v>14726.0</v>
      </c>
      <c r="U145" s="32" t="str">
        <f>"－"</f>
        <v>－</v>
      </c>
      <c r="V145" s="32" t="n">
        <f>206441115</f>
        <v>2.06441115E8</v>
      </c>
      <c r="W145" s="32" t="str">
        <f>"－"</f>
        <v>－</v>
      </c>
      <c r="X145" s="36" t="n">
        <f>22</f>
        <v>22.0</v>
      </c>
    </row>
    <row r="146">
      <c r="A146" s="27" t="s">
        <v>42</v>
      </c>
      <c r="B146" s="27" t="s">
        <v>486</v>
      </c>
      <c r="C146" s="27" t="s">
        <v>487</v>
      </c>
      <c r="D146" s="27" t="s">
        <v>488</v>
      </c>
      <c r="E146" s="28" t="s">
        <v>46</v>
      </c>
      <c r="F146" s="29" t="s">
        <v>46</v>
      </c>
      <c r="G146" s="30" t="s">
        <v>46</v>
      </c>
      <c r="H146" s="31"/>
      <c r="I146" s="31" t="s">
        <v>47</v>
      </c>
      <c r="J146" s="32" t="n">
        <v>1.0</v>
      </c>
      <c r="K146" s="33" t="n">
        <f>13150</f>
        <v>13150.0</v>
      </c>
      <c r="L146" s="34" t="s">
        <v>48</v>
      </c>
      <c r="M146" s="33" t="n">
        <f>17390</f>
        <v>17390.0</v>
      </c>
      <c r="N146" s="34" t="s">
        <v>219</v>
      </c>
      <c r="O146" s="33" t="n">
        <f>13150</f>
        <v>13150.0</v>
      </c>
      <c r="P146" s="34" t="s">
        <v>48</v>
      </c>
      <c r="Q146" s="33" t="n">
        <f>16010</f>
        <v>16010.0</v>
      </c>
      <c r="R146" s="34" t="s">
        <v>51</v>
      </c>
      <c r="S146" s="35" t="n">
        <f>14746.59</f>
        <v>14746.59</v>
      </c>
      <c r="T146" s="32" t="n">
        <f>22459</f>
        <v>22459.0</v>
      </c>
      <c r="U146" s="32" t="str">
        <f>"－"</f>
        <v>－</v>
      </c>
      <c r="V146" s="32" t="n">
        <f>346586635</f>
        <v>3.46586635E8</v>
      </c>
      <c r="W146" s="32" t="str">
        <f>"－"</f>
        <v>－</v>
      </c>
      <c r="X146" s="36" t="n">
        <f>22</f>
        <v>22.0</v>
      </c>
    </row>
    <row r="147">
      <c r="A147" s="27" t="s">
        <v>42</v>
      </c>
      <c r="B147" s="27" t="s">
        <v>489</v>
      </c>
      <c r="C147" s="27" t="s">
        <v>490</v>
      </c>
      <c r="D147" s="27" t="s">
        <v>491</v>
      </c>
      <c r="E147" s="28" t="s">
        <v>46</v>
      </c>
      <c r="F147" s="29" t="s">
        <v>46</v>
      </c>
      <c r="G147" s="30" t="s">
        <v>46</v>
      </c>
      <c r="H147" s="31"/>
      <c r="I147" s="31" t="s">
        <v>47</v>
      </c>
      <c r="J147" s="32" t="n">
        <v>1.0</v>
      </c>
      <c r="K147" s="33" t="n">
        <f>23305</f>
        <v>23305.0</v>
      </c>
      <c r="L147" s="34" t="s">
        <v>48</v>
      </c>
      <c r="M147" s="33" t="n">
        <f>26905</f>
        <v>26905.0</v>
      </c>
      <c r="N147" s="34" t="s">
        <v>49</v>
      </c>
      <c r="O147" s="33" t="n">
        <f>23120</f>
        <v>23120.0</v>
      </c>
      <c r="P147" s="34" t="s">
        <v>181</v>
      </c>
      <c r="Q147" s="33" t="n">
        <f>26365</f>
        <v>26365.0</v>
      </c>
      <c r="R147" s="34" t="s">
        <v>51</v>
      </c>
      <c r="S147" s="35" t="n">
        <f>24809.25</f>
        <v>24809.25</v>
      </c>
      <c r="T147" s="32" t="n">
        <f>721</f>
        <v>721.0</v>
      </c>
      <c r="U147" s="32" t="n">
        <f>30</f>
        <v>30.0</v>
      </c>
      <c r="V147" s="32" t="n">
        <f>18389780</f>
        <v>1.838978E7</v>
      </c>
      <c r="W147" s="32" t="n">
        <f>705150</f>
        <v>705150.0</v>
      </c>
      <c r="X147" s="36" t="n">
        <f>20</f>
        <v>20.0</v>
      </c>
    </row>
    <row r="148">
      <c r="A148" s="27" t="s">
        <v>42</v>
      </c>
      <c r="B148" s="27" t="s">
        <v>492</v>
      </c>
      <c r="C148" s="27" t="s">
        <v>493</v>
      </c>
      <c r="D148" s="27" t="s">
        <v>494</v>
      </c>
      <c r="E148" s="28" t="s">
        <v>46</v>
      </c>
      <c r="F148" s="29" t="s">
        <v>46</v>
      </c>
      <c r="G148" s="30" t="s">
        <v>46</v>
      </c>
      <c r="H148" s="31"/>
      <c r="I148" s="31" t="s">
        <v>47</v>
      </c>
      <c r="J148" s="32" t="n">
        <v>10.0</v>
      </c>
      <c r="K148" s="33" t="n">
        <f>54980</f>
        <v>54980.0</v>
      </c>
      <c r="L148" s="34" t="s">
        <v>48</v>
      </c>
      <c r="M148" s="33" t="n">
        <f>56960</f>
        <v>56960.0</v>
      </c>
      <c r="N148" s="34" t="s">
        <v>50</v>
      </c>
      <c r="O148" s="33" t="n">
        <f>54980</f>
        <v>54980.0</v>
      </c>
      <c r="P148" s="34" t="s">
        <v>48</v>
      </c>
      <c r="Q148" s="33" t="n">
        <f>56960</f>
        <v>56960.0</v>
      </c>
      <c r="R148" s="34" t="s">
        <v>50</v>
      </c>
      <c r="S148" s="35" t="n">
        <f>55980</f>
        <v>55980.0</v>
      </c>
      <c r="T148" s="32" t="n">
        <f>2310</f>
        <v>2310.0</v>
      </c>
      <c r="U148" s="32" t="str">
        <f>"－"</f>
        <v>－</v>
      </c>
      <c r="V148" s="32" t="n">
        <f>129225600</f>
        <v>1.292256E8</v>
      </c>
      <c r="W148" s="32" t="str">
        <f>"－"</f>
        <v>－</v>
      </c>
      <c r="X148" s="36" t="n">
        <f>18</f>
        <v>18.0</v>
      </c>
    </row>
    <row r="149">
      <c r="A149" s="27" t="s">
        <v>42</v>
      </c>
      <c r="B149" s="27" t="s">
        <v>495</v>
      </c>
      <c r="C149" s="27" t="s">
        <v>496</v>
      </c>
      <c r="D149" s="27" t="s">
        <v>497</v>
      </c>
      <c r="E149" s="28" t="s">
        <v>46</v>
      </c>
      <c r="F149" s="29" t="s">
        <v>46</v>
      </c>
      <c r="G149" s="30" t="s">
        <v>46</v>
      </c>
      <c r="H149" s="31"/>
      <c r="I149" s="31" t="s">
        <v>47</v>
      </c>
      <c r="J149" s="32" t="n">
        <v>10.0</v>
      </c>
      <c r="K149" s="33" t="n">
        <f>373.1</f>
        <v>373.1</v>
      </c>
      <c r="L149" s="34" t="s">
        <v>48</v>
      </c>
      <c r="M149" s="33" t="n">
        <f>377.6</f>
        <v>377.6</v>
      </c>
      <c r="N149" s="34" t="s">
        <v>64</v>
      </c>
      <c r="O149" s="33" t="n">
        <f>363.9</f>
        <v>363.9</v>
      </c>
      <c r="P149" s="34" t="s">
        <v>56</v>
      </c>
      <c r="Q149" s="33" t="n">
        <f>370</f>
        <v>370.0</v>
      </c>
      <c r="R149" s="34" t="s">
        <v>51</v>
      </c>
      <c r="S149" s="35" t="n">
        <f>371.5</f>
        <v>371.5</v>
      </c>
      <c r="T149" s="32" t="n">
        <f>33538790</f>
        <v>3.353879E7</v>
      </c>
      <c r="U149" s="32" t="n">
        <f>1072880</f>
        <v>1072880.0</v>
      </c>
      <c r="V149" s="32" t="n">
        <f>12463796264</f>
        <v>1.2463796264E10</v>
      </c>
      <c r="W149" s="32" t="n">
        <f>398801415</f>
        <v>3.98801415E8</v>
      </c>
      <c r="X149" s="36" t="n">
        <f>22</f>
        <v>22.0</v>
      </c>
    </row>
    <row r="150">
      <c r="A150" s="27" t="s">
        <v>42</v>
      </c>
      <c r="B150" s="27" t="s">
        <v>498</v>
      </c>
      <c r="C150" s="27" t="s">
        <v>499</v>
      </c>
      <c r="D150" s="27" t="s">
        <v>500</v>
      </c>
      <c r="E150" s="28" t="s">
        <v>46</v>
      </c>
      <c r="F150" s="29" t="s">
        <v>46</v>
      </c>
      <c r="G150" s="30" t="s">
        <v>46</v>
      </c>
      <c r="H150" s="31"/>
      <c r="I150" s="31" t="s">
        <v>47</v>
      </c>
      <c r="J150" s="32" t="n">
        <v>10.0</v>
      </c>
      <c r="K150" s="33" t="n">
        <f>51110</f>
        <v>51110.0</v>
      </c>
      <c r="L150" s="34" t="s">
        <v>48</v>
      </c>
      <c r="M150" s="33" t="n">
        <f>54480</f>
        <v>54480.0</v>
      </c>
      <c r="N150" s="34" t="s">
        <v>267</v>
      </c>
      <c r="O150" s="33" t="n">
        <f>50910</f>
        <v>50910.0</v>
      </c>
      <c r="P150" s="34" t="s">
        <v>48</v>
      </c>
      <c r="Q150" s="33" t="n">
        <f>53810</f>
        <v>53810.0</v>
      </c>
      <c r="R150" s="34" t="s">
        <v>51</v>
      </c>
      <c r="S150" s="35" t="n">
        <f>53152.11</f>
        <v>53152.11</v>
      </c>
      <c r="T150" s="32" t="n">
        <f>2080</f>
        <v>2080.0</v>
      </c>
      <c r="U150" s="32" t="str">
        <f>"－"</f>
        <v>－</v>
      </c>
      <c r="V150" s="32" t="n">
        <f>111219200</f>
        <v>1.112192E8</v>
      </c>
      <c r="W150" s="32" t="str">
        <f>"－"</f>
        <v>－</v>
      </c>
      <c r="X150" s="36" t="n">
        <f>19</f>
        <v>19.0</v>
      </c>
    </row>
    <row r="151">
      <c r="A151" s="27" t="s">
        <v>42</v>
      </c>
      <c r="B151" s="27" t="s">
        <v>501</v>
      </c>
      <c r="C151" s="27" t="s">
        <v>502</v>
      </c>
      <c r="D151" s="27" t="s">
        <v>503</v>
      </c>
      <c r="E151" s="28" t="s">
        <v>46</v>
      </c>
      <c r="F151" s="29" t="s">
        <v>46</v>
      </c>
      <c r="G151" s="30" t="s">
        <v>46</v>
      </c>
      <c r="H151" s="31"/>
      <c r="I151" s="31" t="s">
        <v>47</v>
      </c>
      <c r="J151" s="32" t="n">
        <v>10.0</v>
      </c>
      <c r="K151" s="33" t="n">
        <f>5720</f>
        <v>5720.0</v>
      </c>
      <c r="L151" s="34" t="s">
        <v>48</v>
      </c>
      <c r="M151" s="33" t="n">
        <f>6150</f>
        <v>6150.0</v>
      </c>
      <c r="N151" s="34" t="s">
        <v>50</v>
      </c>
      <c r="O151" s="33" t="n">
        <f>5672</f>
        <v>5672.0</v>
      </c>
      <c r="P151" s="34" t="s">
        <v>72</v>
      </c>
      <c r="Q151" s="33" t="n">
        <f>6066</f>
        <v>6066.0</v>
      </c>
      <c r="R151" s="34" t="s">
        <v>51</v>
      </c>
      <c r="S151" s="35" t="n">
        <f>5957.73</f>
        <v>5957.73</v>
      </c>
      <c r="T151" s="32" t="n">
        <f>149130</f>
        <v>149130.0</v>
      </c>
      <c r="U151" s="32" t="str">
        <f>"－"</f>
        <v>－</v>
      </c>
      <c r="V151" s="32" t="n">
        <f>882027690</f>
        <v>8.8202769E8</v>
      </c>
      <c r="W151" s="32" t="str">
        <f>"－"</f>
        <v>－</v>
      </c>
      <c r="X151" s="36" t="n">
        <f>22</f>
        <v>22.0</v>
      </c>
    </row>
    <row r="152">
      <c r="A152" s="27" t="s">
        <v>42</v>
      </c>
      <c r="B152" s="27" t="s">
        <v>504</v>
      </c>
      <c r="C152" s="27" t="s">
        <v>505</v>
      </c>
      <c r="D152" s="27" t="s">
        <v>506</v>
      </c>
      <c r="E152" s="28" t="s">
        <v>46</v>
      </c>
      <c r="F152" s="29" t="s">
        <v>46</v>
      </c>
      <c r="G152" s="30" t="s">
        <v>46</v>
      </c>
      <c r="H152" s="31"/>
      <c r="I152" s="31" t="s">
        <v>47</v>
      </c>
      <c r="J152" s="32" t="n">
        <v>10.0</v>
      </c>
      <c r="K152" s="33" t="n">
        <f>2139</f>
        <v>2139.0</v>
      </c>
      <c r="L152" s="34" t="s">
        <v>48</v>
      </c>
      <c r="M152" s="33" t="n">
        <f>2252</f>
        <v>2252.0</v>
      </c>
      <c r="N152" s="34" t="s">
        <v>55</v>
      </c>
      <c r="O152" s="33" t="n">
        <f>2105</f>
        <v>2105.0</v>
      </c>
      <c r="P152" s="34" t="s">
        <v>72</v>
      </c>
      <c r="Q152" s="33" t="n">
        <f>2180</f>
        <v>2180.0</v>
      </c>
      <c r="R152" s="34" t="s">
        <v>51</v>
      </c>
      <c r="S152" s="35" t="n">
        <f>2187.68</f>
        <v>2187.68</v>
      </c>
      <c r="T152" s="32" t="n">
        <f>151800</f>
        <v>151800.0</v>
      </c>
      <c r="U152" s="32" t="n">
        <f>41300</f>
        <v>41300.0</v>
      </c>
      <c r="V152" s="32" t="n">
        <f>331840750</f>
        <v>3.3184075E8</v>
      </c>
      <c r="W152" s="32" t="n">
        <f>91215570</f>
        <v>9.121557E7</v>
      </c>
      <c r="X152" s="36" t="n">
        <f>22</f>
        <v>22.0</v>
      </c>
    </row>
    <row r="153">
      <c r="A153" s="27" t="s">
        <v>42</v>
      </c>
      <c r="B153" s="27" t="s">
        <v>507</v>
      </c>
      <c r="C153" s="27" t="s">
        <v>508</v>
      </c>
      <c r="D153" s="27" t="s">
        <v>509</v>
      </c>
      <c r="E153" s="28" t="s">
        <v>46</v>
      </c>
      <c r="F153" s="29" t="s">
        <v>46</v>
      </c>
      <c r="G153" s="30" t="s">
        <v>46</v>
      </c>
      <c r="H153" s="31"/>
      <c r="I153" s="31" t="s">
        <v>47</v>
      </c>
      <c r="J153" s="32" t="n">
        <v>10.0</v>
      </c>
      <c r="K153" s="33" t="n">
        <f>1639</f>
        <v>1639.0</v>
      </c>
      <c r="L153" s="34" t="s">
        <v>48</v>
      </c>
      <c r="M153" s="33" t="n">
        <f>1731</f>
        <v>1731.0</v>
      </c>
      <c r="N153" s="34" t="s">
        <v>337</v>
      </c>
      <c r="O153" s="33" t="n">
        <f>1608.5</f>
        <v>1608.5</v>
      </c>
      <c r="P153" s="34" t="s">
        <v>48</v>
      </c>
      <c r="Q153" s="33" t="n">
        <f>1720</f>
        <v>1720.0</v>
      </c>
      <c r="R153" s="34" t="s">
        <v>50</v>
      </c>
      <c r="S153" s="35" t="n">
        <f>1673.47</f>
        <v>1673.47</v>
      </c>
      <c r="T153" s="32" t="n">
        <f>2080</f>
        <v>2080.0</v>
      </c>
      <c r="U153" s="32" t="str">
        <f>"－"</f>
        <v>－</v>
      </c>
      <c r="V153" s="32" t="n">
        <f>3497370</f>
        <v>3497370.0</v>
      </c>
      <c r="W153" s="32" t="str">
        <f>"－"</f>
        <v>－</v>
      </c>
      <c r="X153" s="36" t="n">
        <f>18</f>
        <v>18.0</v>
      </c>
    </row>
    <row r="154">
      <c r="A154" s="27" t="s">
        <v>42</v>
      </c>
      <c r="B154" s="27" t="s">
        <v>510</v>
      </c>
      <c r="C154" s="27" t="s">
        <v>511</v>
      </c>
      <c r="D154" s="27" t="s">
        <v>512</v>
      </c>
      <c r="E154" s="28" t="s">
        <v>46</v>
      </c>
      <c r="F154" s="29" t="s">
        <v>46</v>
      </c>
      <c r="G154" s="30" t="s">
        <v>46</v>
      </c>
      <c r="H154" s="31"/>
      <c r="I154" s="31" t="s">
        <v>47</v>
      </c>
      <c r="J154" s="32" t="n">
        <v>10.0</v>
      </c>
      <c r="K154" s="33" t="n">
        <f>491.5</f>
        <v>491.5</v>
      </c>
      <c r="L154" s="34" t="s">
        <v>48</v>
      </c>
      <c r="M154" s="33" t="n">
        <f>539.9</f>
        <v>539.9</v>
      </c>
      <c r="N154" s="34" t="s">
        <v>337</v>
      </c>
      <c r="O154" s="33" t="n">
        <f>477.6</f>
        <v>477.6</v>
      </c>
      <c r="P154" s="34" t="s">
        <v>48</v>
      </c>
      <c r="Q154" s="33" t="n">
        <f>505</f>
        <v>505.0</v>
      </c>
      <c r="R154" s="34" t="s">
        <v>51</v>
      </c>
      <c r="S154" s="35" t="n">
        <f>509.1</f>
        <v>509.1</v>
      </c>
      <c r="T154" s="32" t="n">
        <f>63480</f>
        <v>63480.0</v>
      </c>
      <c r="U154" s="32" t="str">
        <f>"－"</f>
        <v>－</v>
      </c>
      <c r="V154" s="32" t="n">
        <f>32317111</f>
        <v>3.2317111E7</v>
      </c>
      <c r="W154" s="32" t="str">
        <f>"－"</f>
        <v>－</v>
      </c>
      <c r="X154" s="36" t="n">
        <f>22</f>
        <v>22.0</v>
      </c>
    </row>
    <row r="155">
      <c r="A155" s="27" t="s">
        <v>42</v>
      </c>
      <c r="B155" s="27" t="s">
        <v>513</v>
      </c>
      <c r="C155" s="27" t="s">
        <v>514</v>
      </c>
      <c r="D155" s="27" t="s">
        <v>515</v>
      </c>
      <c r="E155" s="28" t="s">
        <v>46</v>
      </c>
      <c r="F155" s="29" t="s">
        <v>46</v>
      </c>
      <c r="G155" s="30" t="s">
        <v>46</v>
      </c>
      <c r="H155" s="31"/>
      <c r="I155" s="31" t="s">
        <v>47</v>
      </c>
      <c r="J155" s="32" t="n">
        <v>10.0</v>
      </c>
      <c r="K155" s="33" t="n">
        <f>2353</f>
        <v>2353.0</v>
      </c>
      <c r="L155" s="34" t="s">
        <v>48</v>
      </c>
      <c r="M155" s="33" t="n">
        <f>2450</f>
        <v>2450.0</v>
      </c>
      <c r="N155" s="34" t="s">
        <v>49</v>
      </c>
      <c r="O155" s="33" t="n">
        <f>2319.5</f>
        <v>2319.5</v>
      </c>
      <c r="P155" s="34" t="s">
        <v>72</v>
      </c>
      <c r="Q155" s="33" t="n">
        <f>2428.5</f>
        <v>2428.5</v>
      </c>
      <c r="R155" s="34" t="s">
        <v>51</v>
      </c>
      <c r="S155" s="35" t="n">
        <f>2383.19</f>
        <v>2383.19</v>
      </c>
      <c r="T155" s="32" t="n">
        <f>2630</f>
        <v>2630.0</v>
      </c>
      <c r="U155" s="32" t="str">
        <f>"－"</f>
        <v>－</v>
      </c>
      <c r="V155" s="32" t="n">
        <f>6272185</f>
        <v>6272185.0</v>
      </c>
      <c r="W155" s="32" t="str">
        <f>"－"</f>
        <v>－</v>
      </c>
      <c r="X155" s="36" t="n">
        <f>16</f>
        <v>16.0</v>
      </c>
    </row>
    <row r="156">
      <c r="A156" s="27" t="s">
        <v>42</v>
      </c>
      <c r="B156" s="27" t="s">
        <v>516</v>
      </c>
      <c r="C156" s="27" t="s">
        <v>517</v>
      </c>
      <c r="D156" s="27" t="s">
        <v>518</v>
      </c>
      <c r="E156" s="28" t="s">
        <v>46</v>
      </c>
      <c r="F156" s="29" t="s">
        <v>46</v>
      </c>
      <c r="G156" s="30" t="s">
        <v>46</v>
      </c>
      <c r="H156" s="31"/>
      <c r="I156" s="31" t="s">
        <v>47</v>
      </c>
      <c r="J156" s="32" t="n">
        <v>10.0</v>
      </c>
      <c r="K156" s="33" t="n">
        <f>888</f>
        <v>888.0</v>
      </c>
      <c r="L156" s="34" t="s">
        <v>48</v>
      </c>
      <c r="M156" s="33" t="n">
        <f>916</f>
        <v>916.0</v>
      </c>
      <c r="N156" s="34" t="s">
        <v>64</v>
      </c>
      <c r="O156" s="33" t="n">
        <f>865.4</f>
        <v>865.4</v>
      </c>
      <c r="P156" s="34" t="s">
        <v>235</v>
      </c>
      <c r="Q156" s="33" t="n">
        <f>890</f>
        <v>890.0</v>
      </c>
      <c r="R156" s="34" t="s">
        <v>51</v>
      </c>
      <c r="S156" s="35" t="n">
        <f>892.08</f>
        <v>892.08</v>
      </c>
      <c r="T156" s="32" t="n">
        <f>46290</f>
        <v>46290.0</v>
      </c>
      <c r="U156" s="32" t="str">
        <f>"－"</f>
        <v>－</v>
      </c>
      <c r="V156" s="32" t="n">
        <f>41349985</f>
        <v>4.1349985E7</v>
      </c>
      <c r="W156" s="32" t="str">
        <f>"－"</f>
        <v>－</v>
      </c>
      <c r="X156" s="36" t="n">
        <f>22</f>
        <v>22.0</v>
      </c>
    </row>
    <row r="157">
      <c r="A157" s="27" t="s">
        <v>42</v>
      </c>
      <c r="B157" s="27" t="s">
        <v>519</v>
      </c>
      <c r="C157" s="27" t="s">
        <v>520</v>
      </c>
      <c r="D157" s="27" t="s">
        <v>521</v>
      </c>
      <c r="E157" s="28" t="s">
        <v>46</v>
      </c>
      <c r="F157" s="29" t="s">
        <v>46</v>
      </c>
      <c r="G157" s="30" t="s">
        <v>46</v>
      </c>
      <c r="H157" s="31"/>
      <c r="I157" s="31" t="s">
        <v>47</v>
      </c>
      <c r="J157" s="32" t="n">
        <v>10.0</v>
      </c>
      <c r="K157" s="33" t="n">
        <f>512.1</f>
        <v>512.1</v>
      </c>
      <c r="L157" s="34" t="s">
        <v>48</v>
      </c>
      <c r="M157" s="33" t="n">
        <f>540.4</f>
        <v>540.4</v>
      </c>
      <c r="N157" s="34" t="s">
        <v>64</v>
      </c>
      <c r="O157" s="33" t="n">
        <f>509.3</f>
        <v>509.3</v>
      </c>
      <c r="P157" s="34" t="s">
        <v>235</v>
      </c>
      <c r="Q157" s="33" t="n">
        <f>524.8</f>
        <v>524.8</v>
      </c>
      <c r="R157" s="34" t="s">
        <v>51</v>
      </c>
      <c r="S157" s="35" t="n">
        <f>525.25</f>
        <v>525.25</v>
      </c>
      <c r="T157" s="32" t="n">
        <f>251460</f>
        <v>251460.0</v>
      </c>
      <c r="U157" s="32" t="str">
        <f>"－"</f>
        <v>－</v>
      </c>
      <c r="V157" s="32" t="n">
        <f>131512291</f>
        <v>1.31512291E8</v>
      </c>
      <c r="W157" s="32" t="str">
        <f>"－"</f>
        <v>－</v>
      </c>
      <c r="X157" s="36" t="n">
        <f>22</f>
        <v>22.0</v>
      </c>
    </row>
    <row r="158">
      <c r="A158" s="27" t="s">
        <v>42</v>
      </c>
      <c r="B158" s="27" t="s">
        <v>522</v>
      </c>
      <c r="C158" s="27" t="s">
        <v>523</v>
      </c>
      <c r="D158" s="27" t="s">
        <v>524</v>
      </c>
      <c r="E158" s="28" t="s">
        <v>46</v>
      </c>
      <c r="F158" s="29" t="s">
        <v>46</v>
      </c>
      <c r="G158" s="30" t="s">
        <v>46</v>
      </c>
      <c r="H158" s="31"/>
      <c r="I158" s="31" t="s">
        <v>47</v>
      </c>
      <c r="J158" s="32" t="n">
        <v>1.0</v>
      </c>
      <c r="K158" s="33" t="n">
        <f>1107</f>
        <v>1107.0</v>
      </c>
      <c r="L158" s="34" t="s">
        <v>48</v>
      </c>
      <c r="M158" s="33" t="n">
        <f>1166</f>
        <v>1166.0</v>
      </c>
      <c r="N158" s="34" t="s">
        <v>83</v>
      </c>
      <c r="O158" s="33" t="n">
        <f>962</f>
        <v>962.0</v>
      </c>
      <c r="P158" s="34" t="s">
        <v>235</v>
      </c>
      <c r="Q158" s="33" t="n">
        <f>997</f>
        <v>997.0</v>
      </c>
      <c r="R158" s="34" t="s">
        <v>51</v>
      </c>
      <c r="S158" s="35" t="n">
        <f>1047.41</f>
        <v>1047.41</v>
      </c>
      <c r="T158" s="32" t="n">
        <f>918328</f>
        <v>918328.0</v>
      </c>
      <c r="U158" s="32" t="str">
        <f>"－"</f>
        <v>－</v>
      </c>
      <c r="V158" s="32" t="n">
        <f>963965792</f>
        <v>9.63965792E8</v>
      </c>
      <c r="W158" s="32" t="str">
        <f>"－"</f>
        <v>－</v>
      </c>
      <c r="X158" s="36" t="n">
        <f>22</f>
        <v>22.0</v>
      </c>
    </row>
    <row r="159">
      <c r="A159" s="27" t="s">
        <v>42</v>
      </c>
      <c r="B159" s="27" t="s">
        <v>525</v>
      </c>
      <c r="C159" s="27" t="s">
        <v>526</v>
      </c>
      <c r="D159" s="27" t="s">
        <v>527</v>
      </c>
      <c r="E159" s="28" t="s">
        <v>46</v>
      </c>
      <c r="F159" s="29" t="s">
        <v>46</v>
      </c>
      <c r="G159" s="30" t="s">
        <v>46</v>
      </c>
      <c r="H159" s="31"/>
      <c r="I159" s="31" t="s">
        <v>47</v>
      </c>
      <c r="J159" s="32" t="n">
        <v>10.0</v>
      </c>
      <c r="K159" s="33" t="n">
        <f>1345</f>
        <v>1345.0</v>
      </c>
      <c r="L159" s="34" t="s">
        <v>48</v>
      </c>
      <c r="M159" s="33" t="n">
        <f>1549.5</f>
        <v>1549.5</v>
      </c>
      <c r="N159" s="34" t="s">
        <v>337</v>
      </c>
      <c r="O159" s="33" t="n">
        <f>1332</f>
        <v>1332.0</v>
      </c>
      <c r="P159" s="34" t="s">
        <v>48</v>
      </c>
      <c r="Q159" s="33" t="n">
        <f>1443</f>
        <v>1443.0</v>
      </c>
      <c r="R159" s="34" t="s">
        <v>51</v>
      </c>
      <c r="S159" s="35" t="n">
        <f>1445.93</f>
        <v>1445.93</v>
      </c>
      <c r="T159" s="32" t="n">
        <f>104870</f>
        <v>104870.0</v>
      </c>
      <c r="U159" s="32" t="str">
        <f>"－"</f>
        <v>－</v>
      </c>
      <c r="V159" s="32" t="n">
        <f>152469300</f>
        <v>1.524693E8</v>
      </c>
      <c r="W159" s="32" t="str">
        <f>"－"</f>
        <v>－</v>
      </c>
      <c r="X159" s="36" t="n">
        <f>22</f>
        <v>22.0</v>
      </c>
    </row>
    <row r="160">
      <c r="A160" s="27" t="s">
        <v>42</v>
      </c>
      <c r="B160" s="27" t="s">
        <v>528</v>
      </c>
      <c r="C160" s="27" t="s">
        <v>529</v>
      </c>
      <c r="D160" s="27" t="s">
        <v>530</v>
      </c>
      <c r="E160" s="28" t="s">
        <v>46</v>
      </c>
      <c r="F160" s="29" t="s">
        <v>46</v>
      </c>
      <c r="G160" s="30" t="s">
        <v>46</v>
      </c>
      <c r="H160" s="31"/>
      <c r="I160" s="31" t="s">
        <v>47</v>
      </c>
      <c r="J160" s="32" t="n">
        <v>1.0</v>
      </c>
      <c r="K160" s="33" t="n">
        <f>7490</f>
        <v>7490.0</v>
      </c>
      <c r="L160" s="34" t="s">
        <v>48</v>
      </c>
      <c r="M160" s="33" t="n">
        <f>8489</f>
        <v>8489.0</v>
      </c>
      <c r="N160" s="34" t="s">
        <v>267</v>
      </c>
      <c r="O160" s="33" t="n">
        <f>7305</f>
        <v>7305.0</v>
      </c>
      <c r="P160" s="34" t="s">
        <v>48</v>
      </c>
      <c r="Q160" s="33" t="n">
        <f>7745</f>
        <v>7745.0</v>
      </c>
      <c r="R160" s="34" t="s">
        <v>51</v>
      </c>
      <c r="S160" s="35" t="n">
        <f>7762.68</f>
        <v>7762.68</v>
      </c>
      <c r="T160" s="32" t="n">
        <f>12258</f>
        <v>12258.0</v>
      </c>
      <c r="U160" s="32" t="str">
        <f>"－"</f>
        <v>－</v>
      </c>
      <c r="V160" s="32" t="n">
        <f>97366136</f>
        <v>9.7366136E7</v>
      </c>
      <c r="W160" s="32" t="str">
        <f>"－"</f>
        <v>－</v>
      </c>
      <c r="X160" s="36" t="n">
        <f>22</f>
        <v>22.0</v>
      </c>
    </row>
    <row r="161">
      <c r="A161" s="27" t="s">
        <v>42</v>
      </c>
      <c r="B161" s="27" t="s">
        <v>531</v>
      </c>
      <c r="C161" s="27" t="s">
        <v>532</v>
      </c>
      <c r="D161" s="27" t="s">
        <v>533</v>
      </c>
      <c r="E161" s="28" t="s">
        <v>46</v>
      </c>
      <c r="F161" s="29" t="s">
        <v>46</v>
      </c>
      <c r="G161" s="30" t="s">
        <v>46</v>
      </c>
      <c r="H161" s="31"/>
      <c r="I161" s="31" t="s">
        <v>47</v>
      </c>
      <c r="J161" s="32" t="n">
        <v>100.0</v>
      </c>
      <c r="K161" s="33" t="n">
        <f>485.2</f>
        <v>485.2</v>
      </c>
      <c r="L161" s="34" t="s">
        <v>48</v>
      </c>
      <c r="M161" s="33" t="n">
        <f>539.5</f>
        <v>539.5</v>
      </c>
      <c r="N161" s="34" t="s">
        <v>534</v>
      </c>
      <c r="O161" s="33" t="n">
        <f>485.2</f>
        <v>485.2</v>
      </c>
      <c r="P161" s="34" t="s">
        <v>48</v>
      </c>
      <c r="Q161" s="33" t="n">
        <f>516.1</f>
        <v>516.1</v>
      </c>
      <c r="R161" s="34" t="s">
        <v>51</v>
      </c>
      <c r="S161" s="35" t="n">
        <f>508.54</f>
        <v>508.54</v>
      </c>
      <c r="T161" s="32" t="n">
        <f>163800</f>
        <v>163800.0</v>
      </c>
      <c r="U161" s="32" t="str">
        <f>"－"</f>
        <v>－</v>
      </c>
      <c r="V161" s="32" t="n">
        <f>83213310</f>
        <v>8.321331E7</v>
      </c>
      <c r="W161" s="32" t="str">
        <f>"－"</f>
        <v>－</v>
      </c>
      <c r="X161" s="36" t="n">
        <f>22</f>
        <v>22.0</v>
      </c>
    </row>
    <row r="162">
      <c r="A162" s="27" t="s">
        <v>42</v>
      </c>
      <c r="B162" s="27" t="s">
        <v>535</v>
      </c>
      <c r="C162" s="27" t="s">
        <v>536</v>
      </c>
      <c r="D162" s="27" t="s">
        <v>537</v>
      </c>
      <c r="E162" s="28" t="s">
        <v>46</v>
      </c>
      <c r="F162" s="29" t="s">
        <v>46</v>
      </c>
      <c r="G162" s="30" t="s">
        <v>46</v>
      </c>
      <c r="H162" s="31"/>
      <c r="I162" s="31" t="s">
        <v>47</v>
      </c>
      <c r="J162" s="32" t="n">
        <v>10.0</v>
      </c>
      <c r="K162" s="33" t="n">
        <f>5887</f>
        <v>5887.0</v>
      </c>
      <c r="L162" s="34" t="s">
        <v>48</v>
      </c>
      <c r="M162" s="33" t="n">
        <f>6179</f>
        <v>6179.0</v>
      </c>
      <c r="N162" s="34" t="s">
        <v>64</v>
      </c>
      <c r="O162" s="33" t="n">
        <f>5817</f>
        <v>5817.0</v>
      </c>
      <c r="P162" s="34" t="s">
        <v>65</v>
      </c>
      <c r="Q162" s="33" t="n">
        <f>6010</f>
        <v>6010.0</v>
      </c>
      <c r="R162" s="34" t="s">
        <v>51</v>
      </c>
      <c r="S162" s="35" t="n">
        <f>5972.23</f>
        <v>5972.23</v>
      </c>
      <c r="T162" s="32" t="n">
        <f>68240</f>
        <v>68240.0</v>
      </c>
      <c r="U162" s="32" t="str">
        <f>"－"</f>
        <v>－</v>
      </c>
      <c r="V162" s="32" t="n">
        <f>408951470</f>
        <v>4.0895147E8</v>
      </c>
      <c r="W162" s="32" t="str">
        <f>"－"</f>
        <v>－</v>
      </c>
      <c r="X162" s="36" t="n">
        <f>22</f>
        <v>22.0</v>
      </c>
    </row>
    <row r="163">
      <c r="A163" s="27" t="s">
        <v>42</v>
      </c>
      <c r="B163" s="27" t="s">
        <v>538</v>
      </c>
      <c r="C163" s="27" t="s">
        <v>539</v>
      </c>
      <c r="D163" s="27" t="s">
        <v>540</v>
      </c>
      <c r="E163" s="28" t="s">
        <v>46</v>
      </c>
      <c r="F163" s="29" t="s">
        <v>46</v>
      </c>
      <c r="G163" s="30" t="s">
        <v>46</v>
      </c>
      <c r="H163" s="31"/>
      <c r="I163" s="31" t="s">
        <v>47</v>
      </c>
      <c r="J163" s="32" t="n">
        <v>10.0</v>
      </c>
      <c r="K163" s="33" t="n">
        <f>2265</f>
        <v>2265.0</v>
      </c>
      <c r="L163" s="34" t="s">
        <v>48</v>
      </c>
      <c r="M163" s="33" t="n">
        <f>2438.5</f>
        <v>2438.5</v>
      </c>
      <c r="N163" s="34" t="s">
        <v>64</v>
      </c>
      <c r="O163" s="33" t="n">
        <f>2192</f>
        <v>2192.0</v>
      </c>
      <c r="P163" s="34" t="s">
        <v>51</v>
      </c>
      <c r="Q163" s="33" t="n">
        <f>2192</f>
        <v>2192.0</v>
      </c>
      <c r="R163" s="34" t="s">
        <v>51</v>
      </c>
      <c r="S163" s="35" t="n">
        <f>2307.66</f>
        <v>2307.66</v>
      </c>
      <c r="T163" s="32" t="n">
        <f>14450</f>
        <v>14450.0</v>
      </c>
      <c r="U163" s="32" t="str">
        <f>"－"</f>
        <v>－</v>
      </c>
      <c r="V163" s="32" t="n">
        <f>33723325</f>
        <v>3.3723325E7</v>
      </c>
      <c r="W163" s="32" t="str">
        <f>"－"</f>
        <v>－</v>
      </c>
      <c r="X163" s="36" t="n">
        <f>22</f>
        <v>22.0</v>
      </c>
    </row>
    <row r="164">
      <c r="A164" s="27" t="s">
        <v>42</v>
      </c>
      <c r="B164" s="27" t="s">
        <v>541</v>
      </c>
      <c r="C164" s="27" t="s">
        <v>542</v>
      </c>
      <c r="D164" s="27" t="s">
        <v>543</v>
      </c>
      <c r="E164" s="28" t="s">
        <v>46</v>
      </c>
      <c r="F164" s="29" t="s">
        <v>46</v>
      </c>
      <c r="G164" s="30" t="s">
        <v>46</v>
      </c>
      <c r="H164" s="31"/>
      <c r="I164" s="31" t="s">
        <v>47</v>
      </c>
      <c r="J164" s="32" t="n">
        <v>1.0</v>
      </c>
      <c r="K164" s="33" t="n">
        <f>3200</f>
        <v>3200.0</v>
      </c>
      <c r="L164" s="34" t="s">
        <v>48</v>
      </c>
      <c r="M164" s="33" t="n">
        <f>3495</f>
        <v>3495.0</v>
      </c>
      <c r="N164" s="34" t="s">
        <v>534</v>
      </c>
      <c r="O164" s="33" t="n">
        <f>3185</f>
        <v>3185.0</v>
      </c>
      <c r="P164" s="34" t="s">
        <v>48</v>
      </c>
      <c r="Q164" s="33" t="n">
        <f>3340</f>
        <v>3340.0</v>
      </c>
      <c r="R164" s="34" t="s">
        <v>51</v>
      </c>
      <c r="S164" s="35" t="n">
        <f>3357.95</f>
        <v>3357.95</v>
      </c>
      <c r="T164" s="32" t="n">
        <f>294656</f>
        <v>294656.0</v>
      </c>
      <c r="U164" s="32" t="str">
        <f>"－"</f>
        <v>－</v>
      </c>
      <c r="V164" s="32" t="n">
        <f>992588720</f>
        <v>9.9258872E8</v>
      </c>
      <c r="W164" s="32" t="str">
        <f>"－"</f>
        <v>－</v>
      </c>
      <c r="X164" s="36" t="n">
        <f>22</f>
        <v>22.0</v>
      </c>
    </row>
    <row r="165">
      <c r="A165" s="27" t="s">
        <v>42</v>
      </c>
      <c r="B165" s="27" t="s">
        <v>544</v>
      </c>
      <c r="C165" s="27" t="s">
        <v>545</v>
      </c>
      <c r="D165" s="27" t="s">
        <v>546</v>
      </c>
      <c r="E165" s="28" t="s">
        <v>46</v>
      </c>
      <c r="F165" s="29" t="s">
        <v>46</v>
      </c>
      <c r="G165" s="30" t="s">
        <v>46</v>
      </c>
      <c r="H165" s="31"/>
      <c r="I165" s="31" t="s">
        <v>47</v>
      </c>
      <c r="J165" s="32" t="n">
        <v>1.0</v>
      </c>
      <c r="K165" s="33" t="n">
        <f>2840</f>
        <v>2840.0</v>
      </c>
      <c r="L165" s="34" t="s">
        <v>48</v>
      </c>
      <c r="M165" s="33" t="n">
        <f>3015</f>
        <v>3015.0</v>
      </c>
      <c r="N165" s="34" t="s">
        <v>60</v>
      </c>
      <c r="O165" s="33" t="n">
        <f>2761</f>
        <v>2761.0</v>
      </c>
      <c r="P165" s="34" t="s">
        <v>65</v>
      </c>
      <c r="Q165" s="33" t="n">
        <f>2949</f>
        <v>2949.0</v>
      </c>
      <c r="R165" s="34" t="s">
        <v>51</v>
      </c>
      <c r="S165" s="35" t="n">
        <f>2930.77</f>
        <v>2930.77</v>
      </c>
      <c r="T165" s="32" t="n">
        <f>46401</f>
        <v>46401.0</v>
      </c>
      <c r="U165" s="32" t="str">
        <f>"－"</f>
        <v>－</v>
      </c>
      <c r="V165" s="32" t="n">
        <f>136031091</f>
        <v>1.36031091E8</v>
      </c>
      <c r="W165" s="32" t="str">
        <f>"－"</f>
        <v>－</v>
      </c>
      <c r="X165" s="36" t="n">
        <f>22</f>
        <v>22.0</v>
      </c>
    </row>
    <row r="166">
      <c r="A166" s="27" t="s">
        <v>42</v>
      </c>
      <c r="B166" s="27" t="s">
        <v>547</v>
      </c>
      <c r="C166" s="27" t="s">
        <v>548</v>
      </c>
      <c r="D166" s="27" t="s">
        <v>549</v>
      </c>
      <c r="E166" s="28" t="s">
        <v>46</v>
      </c>
      <c r="F166" s="29" t="s">
        <v>46</v>
      </c>
      <c r="G166" s="30" t="s">
        <v>46</v>
      </c>
      <c r="H166" s="31"/>
      <c r="I166" s="31" t="s">
        <v>47</v>
      </c>
      <c r="J166" s="32" t="n">
        <v>10.0</v>
      </c>
      <c r="K166" s="33" t="n">
        <f>3727</f>
        <v>3727.0</v>
      </c>
      <c r="L166" s="34" t="s">
        <v>48</v>
      </c>
      <c r="M166" s="33" t="n">
        <f>3884</f>
        <v>3884.0</v>
      </c>
      <c r="N166" s="34" t="s">
        <v>64</v>
      </c>
      <c r="O166" s="33" t="n">
        <f>3600</f>
        <v>3600.0</v>
      </c>
      <c r="P166" s="34" t="s">
        <v>235</v>
      </c>
      <c r="Q166" s="33" t="n">
        <f>3705</f>
        <v>3705.0</v>
      </c>
      <c r="R166" s="34" t="s">
        <v>51</v>
      </c>
      <c r="S166" s="35" t="n">
        <f>3744.82</f>
        <v>3744.82</v>
      </c>
      <c r="T166" s="32" t="n">
        <f>29770</f>
        <v>29770.0</v>
      </c>
      <c r="U166" s="32" t="str">
        <f>"－"</f>
        <v>－</v>
      </c>
      <c r="V166" s="32" t="n">
        <f>111978970</f>
        <v>1.1197897E8</v>
      </c>
      <c r="W166" s="32" t="str">
        <f>"－"</f>
        <v>－</v>
      </c>
      <c r="X166" s="36" t="n">
        <f>22</f>
        <v>22.0</v>
      </c>
    </row>
    <row r="167">
      <c r="A167" s="27" t="s">
        <v>42</v>
      </c>
      <c r="B167" s="27" t="s">
        <v>550</v>
      </c>
      <c r="C167" s="27" t="s">
        <v>551</v>
      </c>
      <c r="D167" s="27" t="s">
        <v>552</v>
      </c>
      <c r="E167" s="28" t="s">
        <v>46</v>
      </c>
      <c r="F167" s="29" t="s">
        <v>46</v>
      </c>
      <c r="G167" s="30" t="s">
        <v>46</v>
      </c>
      <c r="H167" s="31"/>
      <c r="I167" s="31" t="s">
        <v>47</v>
      </c>
      <c r="J167" s="32" t="n">
        <v>10.0</v>
      </c>
      <c r="K167" s="33" t="n">
        <f>2969.5</f>
        <v>2969.5</v>
      </c>
      <c r="L167" s="34" t="s">
        <v>48</v>
      </c>
      <c r="M167" s="33" t="n">
        <f>3009</f>
        <v>3009.0</v>
      </c>
      <c r="N167" s="34" t="s">
        <v>55</v>
      </c>
      <c r="O167" s="33" t="n">
        <f>2872</f>
        <v>2872.0</v>
      </c>
      <c r="P167" s="34" t="s">
        <v>56</v>
      </c>
      <c r="Q167" s="33" t="n">
        <f>2951.5</f>
        <v>2951.5</v>
      </c>
      <c r="R167" s="34" t="s">
        <v>51</v>
      </c>
      <c r="S167" s="35" t="n">
        <f>2944.82</f>
        <v>2944.82</v>
      </c>
      <c r="T167" s="32" t="n">
        <f>462880</f>
        <v>462880.0</v>
      </c>
      <c r="U167" s="32" t="n">
        <f>323210</f>
        <v>323210.0</v>
      </c>
      <c r="V167" s="32" t="n">
        <f>1366554511</f>
        <v>1.366554511E9</v>
      </c>
      <c r="W167" s="32" t="n">
        <f>954404761</f>
        <v>9.54404761E8</v>
      </c>
      <c r="X167" s="36" t="n">
        <f>22</f>
        <v>22.0</v>
      </c>
    </row>
    <row r="168">
      <c r="A168" s="27" t="s">
        <v>42</v>
      </c>
      <c r="B168" s="27" t="s">
        <v>553</v>
      </c>
      <c r="C168" s="27" t="s">
        <v>554</v>
      </c>
      <c r="D168" s="27" t="s">
        <v>555</v>
      </c>
      <c r="E168" s="28" t="s">
        <v>46</v>
      </c>
      <c r="F168" s="29" t="s">
        <v>46</v>
      </c>
      <c r="G168" s="30" t="s">
        <v>46</v>
      </c>
      <c r="H168" s="31"/>
      <c r="I168" s="31" t="s">
        <v>47</v>
      </c>
      <c r="J168" s="32" t="n">
        <v>10.0</v>
      </c>
      <c r="K168" s="33" t="n">
        <f>368.5</f>
        <v>368.5</v>
      </c>
      <c r="L168" s="34" t="s">
        <v>48</v>
      </c>
      <c r="M168" s="33" t="n">
        <f>425.5</f>
        <v>425.5</v>
      </c>
      <c r="N168" s="34" t="s">
        <v>337</v>
      </c>
      <c r="O168" s="33" t="n">
        <f>368.1</f>
        <v>368.1</v>
      </c>
      <c r="P168" s="34" t="s">
        <v>48</v>
      </c>
      <c r="Q168" s="33" t="n">
        <f>399.5</f>
        <v>399.5</v>
      </c>
      <c r="R168" s="34" t="s">
        <v>51</v>
      </c>
      <c r="S168" s="35" t="n">
        <f>399.33</f>
        <v>399.33</v>
      </c>
      <c r="T168" s="32" t="n">
        <f>36373650</f>
        <v>3.637365E7</v>
      </c>
      <c r="U168" s="32" t="n">
        <f>16381150</f>
        <v>1.638115E7</v>
      </c>
      <c r="V168" s="32" t="n">
        <f>14531382723</f>
        <v>1.4531382723E10</v>
      </c>
      <c r="W168" s="32" t="n">
        <f>6553924760</f>
        <v>6.55392476E9</v>
      </c>
      <c r="X168" s="36" t="n">
        <f>22</f>
        <v>22.0</v>
      </c>
    </row>
    <row r="169">
      <c r="A169" s="27" t="s">
        <v>42</v>
      </c>
      <c r="B169" s="27" t="s">
        <v>556</v>
      </c>
      <c r="C169" s="27" t="s">
        <v>557</v>
      </c>
      <c r="D169" s="27" t="s">
        <v>558</v>
      </c>
      <c r="E169" s="28" t="s">
        <v>46</v>
      </c>
      <c r="F169" s="29" t="s">
        <v>46</v>
      </c>
      <c r="G169" s="30" t="s">
        <v>46</v>
      </c>
      <c r="H169" s="31"/>
      <c r="I169" s="31" t="s">
        <v>47</v>
      </c>
      <c r="J169" s="32" t="n">
        <v>1.0</v>
      </c>
      <c r="K169" s="33" t="n">
        <f>1974</f>
        <v>1974.0</v>
      </c>
      <c r="L169" s="34" t="s">
        <v>48</v>
      </c>
      <c r="M169" s="33" t="n">
        <f>2016</f>
        <v>2016.0</v>
      </c>
      <c r="N169" s="34" t="s">
        <v>55</v>
      </c>
      <c r="O169" s="33" t="n">
        <f>1885</f>
        <v>1885.0</v>
      </c>
      <c r="P169" s="34" t="s">
        <v>50</v>
      </c>
      <c r="Q169" s="33" t="n">
        <f>1946</f>
        <v>1946.0</v>
      </c>
      <c r="R169" s="34" t="s">
        <v>51</v>
      </c>
      <c r="S169" s="35" t="n">
        <f>1947.14</f>
        <v>1947.14</v>
      </c>
      <c r="T169" s="32" t="n">
        <f>35633</f>
        <v>35633.0</v>
      </c>
      <c r="U169" s="32" t="str">
        <f>"－"</f>
        <v>－</v>
      </c>
      <c r="V169" s="32" t="n">
        <f>69257161</f>
        <v>6.9257161E7</v>
      </c>
      <c r="W169" s="32" t="str">
        <f>"－"</f>
        <v>－</v>
      </c>
      <c r="X169" s="36" t="n">
        <f>22</f>
        <v>22.0</v>
      </c>
    </row>
    <row r="170">
      <c r="A170" s="27" t="s">
        <v>42</v>
      </c>
      <c r="B170" s="27" t="s">
        <v>559</v>
      </c>
      <c r="C170" s="27" t="s">
        <v>560</v>
      </c>
      <c r="D170" s="27" t="s">
        <v>561</v>
      </c>
      <c r="E170" s="28" t="s">
        <v>46</v>
      </c>
      <c r="F170" s="29" t="s">
        <v>46</v>
      </c>
      <c r="G170" s="30" t="s">
        <v>46</v>
      </c>
      <c r="H170" s="31"/>
      <c r="I170" s="31" t="s">
        <v>47</v>
      </c>
      <c r="J170" s="32" t="n">
        <v>1.0</v>
      </c>
      <c r="K170" s="33" t="n">
        <f>1089</f>
        <v>1089.0</v>
      </c>
      <c r="L170" s="34" t="s">
        <v>48</v>
      </c>
      <c r="M170" s="33" t="n">
        <f>1193</f>
        <v>1193.0</v>
      </c>
      <c r="N170" s="34" t="s">
        <v>49</v>
      </c>
      <c r="O170" s="33" t="n">
        <f>1072</f>
        <v>1072.0</v>
      </c>
      <c r="P170" s="34" t="s">
        <v>72</v>
      </c>
      <c r="Q170" s="33" t="n">
        <f>1157</f>
        <v>1157.0</v>
      </c>
      <c r="R170" s="34" t="s">
        <v>51</v>
      </c>
      <c r="S170" s="35" t="n">
        <f>1142.64</f>
        <v>1142.64</v>
      </c>
      <c r="T170" s="32" t="n">
        <f>2829476</f>
        <v>2829476.0</v>
      </c>
      <c r="U170" s="32" t="n">
        <f>1251</f>
        <v>1251.0</v>
      </c>
      <c r="V170" s="32" t="n">
        <f>3234010921</f>
        <v>3.234010921E9</v>
      </c>
      <c r="W170" s="32" t="n">
        <f>1441832</f>
        <v>1441832.0</v>
      </c>
      <c r="X170" s="36" t="n">
        <f>22</f>
        <v>22.0</v>
      </c>
    </row>
    <row r="171">
      <c r="A171" s="27" t="s">
        <v>42</v>
      </c>
      <c r="B171" s="27" t="s">
        <v>562</v>
      </c>
      <c r="C171" s="27" t="s">
        <v>563</v>
      </c>
      <c r="D171" s="27" t="s">
        <v>564</v>
      </c>
      <c r="E171" s="28" t="s">
        <v>46</v>
      </c>
      <c r="F171" s="29" t="s">
        <v>46</v>
      </c>
      <c r="G171" s="30" t="s">
        <v>46</v>
      </c>
      <c r="H171" s="31"/>
      <c r="I171" s="31" t="s">
        <v>47</v>
      </c>
      <c r="J171" s="32" t="n">
        <v>10.0</v>
      </c>
      <c r="K171" s="33" t="n">
        <f>313.9</f>
        <v>313.9</v>
      </c>
      <c r="L171" s="34" t="s">
        <v>48</v>
      </c>
      <c r="M171" s="33" t="n">
        <f>316</f>
        <v>316.0</v>
      </c>
      <c r="N171" s="34" t="s">
        <v>72</v>
      </c>
      <c r="O171" s="33" t="n">
        <f>290.7</f>
        <v>290.7</v>
      </c>
      <c r="P171" s="34" t="s">
        <v>50</v>
      </c>
      <c r="Q171" s="33" t="n">
        <f>294.5</f>
        <v>294.5</v>
      </c>
      <c r="R171" s="34" t="s">
        <v>51</v>
      </c>
      <c r="S171" s="35" t="n">
        <f>300.46</f>
        <v>300.46</v>
      </c>
      <c r="T171" s="32" t="n">
        <f>10723720</f>
        <v>1.072372E7</v>
      </c>
      <c r="U171" s="32" t="n">
        <f>6500000</f>
        <v>6500000.0</v>
      </c>
      <c r="V171" s="32" t="n">
        <f>3277777476</f>
        <v>3.277777476E9</v>
      </c>
      <c r="W171" s="32" t="n">
        <f>2007437910</f>
        <v>2.00743791E9</v>
      </c>
      <c r="X171" s="36" t="n">
        <f>22</f>
        <v>22.0</v>
      </c>
    </row>
    <row r="172">
      <c r="A172" s="27" t="s">
        <v>42</v>
      </c>
      <c r="B172" s="27" t="s">
        <v>565</v>
      </c>
      <c r="C172" s="27" t="s">
        <v>566</v>
      </c>
      <c r="D172" s="27" t="s">
        <v>567</v>
      </c>
      <c r="E172" s="28" t="s">
        <v>46</v>
      </c>
      <c r="F172" s="29" t="s">
        <v>46</v>
      </c>
      <c r="G172" s="30" t="s">
        <v>46</v>
      </c>
      <c r="H172" s="31"/>
      <c r="I172" s="31" t="s">
        <v>47</v>
      </c>
      <c r="J172" s="32" t="n">
        <v>10.0</v>
      </c>
      <c r="K172" s="33" t="n">
        <f>303.7</f>
        <v>303.7</v>
      </c>
      <c r="L172" s="34" t="s">
        <v>48</v>
      </c>
      <c r="M172" s="33" t="n">
        <f>311.1</f>
        <v>311.1</v>
      </c>
      <c r="N172" s="34" t="s">
        <v>64</v>
      </c>
      <c r="O172" s="33" t="n">
        <f>300</f>
        <v>300.0</v>
      </c>
      <c r="P172" s="34" t="s">
        <v>92</v>
      </c>
      <c r="Q172" s="33" t="n">
        <f>306.9</f>
        <v>306.9</v>
      </c>
      <c r="R172" s="34" t="s">
        <v>51</v>
      </c>
      <c r="S172" s="35" t="n">
        <f>305.55</f>
        <v>305.55</v>
      </c>
      <c r="T172" s="32" t="n">
        <f>957640</f>
        <v>957640.0</v>
      </c>
      <c r="U172" s="32" t="str">
        <f>"－"</f>
        <v>－</v>
      </c>
      <c r="V172" s="32" t="n">
        <f>291480172</f>
        <v>2.91480172E8</v>
      </c>
      <c r="W172" s="32" t="str">
        <f>"－"</f>
        <v>－</v>
      </c>
      <c r="X172" s="36" t="n">
        <f>22</f>
        <v>22.0</v>
      </c>
    </row>
    <row r="173">
      <c r="A173" s="27" t="s">
        <v>42</v>
      </c>
      <c r="B173" s="27" t="s">
        <v>568</v>
      </c>
      <c r="C173" s="27" t="s">
        <v>569</v>
      </c>
      <c r="D173" s="27" t="s">
        <v>570</v>
      </c>
      <c r="E173" s="28" t="s">
        <v>46</v>
      </c>
      <c r="F173" s="29" t="s">
        <v>46</v>
      </c>
      <c r="G173" s="30" t="s">
        <v>46</v>
      </c>
      <c r="H173" s="31"/>
      <c r="I173" s="31" t="s">
        <v>47</v>
      </c>
      <c r="J173" s="32" t="n">
        <v>10.0</v>
      </c>
      <c r="K173" s="33" t="n">
        <f>500</f>
        <v>500.0</v>
      </c>
      <c r="L173" s="34" t="s">
        <v>48</v>
      </c>
      <c r="M173" s="33" t="n">
        <f>510.4</f>
        <v>510.4</v>
      </c>
      <c r="N173" s="34" t="s">
        <v>76</v>
      </c>
      <c r="O173" s="33" t="n">
        <f>478.6</f>
        <v>478.6</v>
      </c>
      <c r="P173" s="34" t="s">
        <v>48</v>
      </c>
      <c r="Q173" s="33" t="n">
        <f>506</f>
        <v>506.0</v>
      </c>
      <c r="R173" s="34" t="s">
        <v>51</v>
      </c>
      <c r="S173" s="35" t="n">
        <f>496.46</f>
        <v>496.46</v>
      </c>
      <c r="T173" s="32" t="n">
        <f>9610</f>
        <v>9610.0</v>
      </c>
      <c r="U173" s="32" t="str">
        <f>"－"</f>
        <v>－</v>
      </c>
      <c r="V173" s="32" t="n">
        <f>4822801</f>
        <v>4822801.0</v>
      </c>
      <c r="W173" s="32" t="str">
        <f>"－"</f>
        <v>－</v>
      </c>
      <c r="X173" s="36" t="n">
        <f>20</f>
        <v>20.0</v>
      </c>
    </row>
    <row r="174">
      <c r="A174" s="27" t="s">
        <v>42</v>
      </c>
      <c r="B174" s="27" t="s">
        <v>571</v>
      </c>
      <c r="C174" s="27" t="s">
        <v>572</v>
      </c>
      <c r="D174" s="27" t="s">
        <v>573</v>
      </c>
      <c r="E174" s="28" t="s">
        <v>46</v>
      </c>
      <c r="F174" s="29" t="s">
        <v>46</v>
      </c>
      <c r="G174" s="30" t="s">
        <v>46</v>
      </c>
      <c r="H174" s="31"/>
      <c r="I174" s="31" t="s">
        <v>47</v>
      </c>
      <c r="J174" s="32" t="n">
        <v>10.0</v>
      </c>
      <c r="K174" s="33" t="n">
        <f>526.3</f>
        <v>526.3</v>
      </c>
      <c r="L174" s="34" t="s">
        <v>48</v>
      </c>
      <c r="M174" s="33" t="n">
        <f>541.2</f>
        <v>541.2</v>
      </c>
      <c r="N174" s="34" t="s">
        <v>64</v>
      </c>
      <c r="O174" s="33" t="n">
        <f>506.3</f>
        <v>506.3</v>
      </c>
      <c r="P174" s="34" t="s">
        <v>64</v>
      </c>
      <c r="Q174" s="33" t="n">
        <f>525.5</f>
        <v>525.5</v>
      </c>
      <c r="R174" s="34" t="s">
        <v>51</v>
      </c>
      <c r="S174" s="35" t="n">
        <f>521.49</f>
        <v>521.49</v>
      </c>
      <c r="T174" s="32" t="n">
        <f>21160</f>
        <v>21160.0</v>
      </c>
      <c r="U174" s="32" t="str">
        <f>"－"</f>
        <v>－</v>
      </c>
      <c r="V174" s="32" t="n">
        <f>10976527</f>
        <v>1.0976527E7</v>
      </c>
      <c r="W174" s="32" t="str">
        <f>"－"</f>
        <v>－</v>
      </c>
      <c r="X174" s="36" t="n">
        <f>22</f>
        <v>22.0</v>
      </c>
    </row>
    <row r="175">
      <c r="A175" s="27" t="s">
        <v>42</v>
      </c>
      <c r="B175" s="27" t="s">
        <v>574</v>
      </c>
      <c r="C175" s="27" t="s">
        <v>575</v>
      </c>
      <c r="D175" s="27" t="s">
        <v>576</v>
      </c>
      <c r="E175" s="28" t="s">
        <v>46</v>
      </c>
      <c r="F175" s="29" t="s">
        <v>46</v>
      </c>
      <c r="G175" s="30" t="s">
        <v>46</v>
      </c>
      <c r="H175" s="31"/>
      <c r="I175" s="31" t="s">
        <v>47</v>
      </c>
      <c r="J175" s="32" t="n">
        <v>10.0</v>
      </c>
      <c r="K175" s="33" t="n">
        <f>601.1</f>
        <v>601.1</v>
      </c>
      <c r="L175" s="34" t="s">
        <v>48</v>
      </c>
      <c r="M175" s="33" t="n">
        <f>601.1</f>
        <v>601.1</v>
      </c>
      <c r="N175" s="34" t="s">
        <v>48</v>
      </c>
      <c r="O175" s="33" t="n">
        <f>507</f>
        <v>507.0</v>
      </c>
      <c r="P175" s="34" t="s">
        <v>50</v>
      </c>
      <c r="Q175" s="33" t="n">
        <f>511</f>
        <v>511.0</v>
      </c>
      <c r="R175" s="34" t="s">
        <v>51</v>
      </c>
      <c r="S175" s="35" t="n">
        <f>529</f>
        <v>529.0</v>
      </c>
      <c r="T175" s="32" t="n">
        <f>1594950</f>
        <v>1594950.0</v>
      </c>
      <c r="U175" s="32" t="n">
        <f>1550000</f>
        <v>1550000.0</v>
      </c>
      <c r="V175" s="32" t="n">
        <f>834322190</f>
        <v>8.3432219E8</v>
      </c>
      <c r="W175" s="32" t="n">
        <f>810435090</f>
        <v>8.1043509E8</v>
      </c>
      <c r="X175" s="36" t="n">
        <f>22</f>
        <v>22.0</v>
      </c>
    </row>
    <row r="176">
      <c r="A176" s="27" t="s">
        <v>42</v>
      </c>
      <c r="B176" s="27" t="s">
        <v>577</v>
      </c>
      <c r="C176" s="27" t="s">
        <v>578</v>
      </c>
      <c r="D176" s="27" t="s">
        <v>579</v>
      </c>
      <c r="E176" s="28" t="s">
        <v>46</v>
      </c>
      <c r="F176" s="29" t="s">
        <v>46</v>
      </c>
      <c r="G176" s="30" t="s">
        <v>46</v>
      </c>
      <c r="H176" s="31"/>
      <c r="I176" s="31" t="s">
        <v>47</v>
      </c>
      <c r="J176" s="32" t="n">
        <v>1.0</v>
      </c>
      <c r="K176" s="33" t="n">
        <f>1002</f>
        <v>1002.0</v>
      </c>
      <c r="L176" s="34" t="s">
        <v>48</v>
      </c>
      <c r="M176" s="33" t="n">
        <f>1032</f>
        <v>1032.0</v>
      </c>
      <c r="N176" s="34" t="s">
        <v>50</v>
      </c>
      <c r="O176" s="33" t="n">
        <f>990</f>
        <v>990.0</v>
      </c>
      <c r="P176" s="34" t="s">
        <v>72</v>
      </c>
      <c r="Q176" s="33" t="n">
        <f>1006</f>
        <v>1006.0</v>
      </c>
      <c r="R176" s="34" t="s">
        <v>51</v>
      </c>
      <c r="S176" s="35" t="n">
        <f>1009.05</f>
        <v>1009.05</v>
      </c>
      <c r="T176" s="32" t="n">
        <f>391311</f>
        <v>391311.0</v>
      </c>
      <c r="U176" s="32" t="n">
        <f>98605</f>
        <v>98605.0</v>
      </c>
      <c r="V176" s="32" t="n">
        <f>393947141</f>
        <v>3.93947141E8</v>
      </c>
      <c r="W176" s="32" t="n">
        <f>98900800</f>
        <v>9.89008E7</v>
      </c>
      <c r="X176" s="36" t="n">
        <f>22</f>
        <v>22.0</v>
      </c>
    </row>
    <row r="177">
      <c r="A177" s="27" t="s">
        <v>42</v>
      </c>
      <c r="B177" s="27" t="s">
        <v>580</v>
      </c>
      <c r="C177" s="27" t="s">
        <v>581</v>
      </c>
      <c r="D177" s="27" t="s">
        <v>582</v>
      </c>
      <c r="E177" s="28" t="s">
        <v>46</v>
      </c>
      <c r="F177" s="29" t="s">
        <v>46</v>
      </c>
      <c r="G177" s="30" t="s">
        <v>46</v>
      </c>
      <c r="H177" s="31"/>
      <c r="I177" s="31" t="s">
        <v>47</v>
      </c>
      <c r="J177" s="32" t="n">
        <v>1.0</v>
      </c>
      <c r="K177" s="33" t="n">
        <f>1618</f>
        <v>1618.0</v>
      </c>
      <c r="L177" s="34" t="s">
        <v>48</v>
      </c>
      <c r="M177" s="33" t="n">
        <f>1717</f>
        <v>1717.0</v>
      </c>
      <c r="N177" s="34" t="s">
        <v>76</v>
      </c>
      <c r="O177" s="33" t="n">
        <f>1560</f>
        <v>1560.0</v>
      </c>
      <c r="P177" s="34" t="s">
        <v>60</v>
      </c>
      <c r="Q177" s="33" t="n">
        <f>1708</f>
        <v>1708.0</v>
      </c>
      <c r="R177" s="34" t="s">
        <v>51</v>
      </c>
      <c r="S177" s="35" t="n">
        <f>1636.5</f>
        <v>1636.5</v>
      </c>
      <c r="T177" s="32" t="n">
        <f>3475325</f>
        <v>3475325.0</v>
      </c>
      <c r="U177" s="32" t="n">
        <f>571885</f>
        <v>571885.0</v>
      </c>
      <c r="V177" s="32" t="n">
        <f>5706203277</f>
        <v>5.706203277E9</v>
      </c>
      <c r="W177" s="32" t="n">
        <f>943875104</f>
        <v>9.43875104E8</v>
      </c>
      <c r="X177" s="36" t="n">
        <f>22</f>
        <v>22.0</v>
      </c>
    </row>
    <row r="178">
      <c r="A178" s="27" t="s">
        <v>42</v>
      </c>
      <c r="B178" s="27" t="s">
        <v>583</v>
      </c>
      <c r="C178" s="27" t="s">
        <v>584</v>
      </c>
      <c r="D178" s="27" t="s">
        <v>585</v>
      </c>
      <c r="E178" s="28" t="s">
        <v>46</v>
      </c>
      <c r="F178" s="29" t="s">
        <v>46</v>
      </c>
      <c r="G178" s="30" t="s">
        <v>46</v>
      </c>
      <c r="H178" s="31"/>
      <c r="I178" s="31" t="s">
        <v>47</v>
      </c>
      <c r="J178" s="32" t="n">
        <v>10.0</v>
      </c>
      <c r="K178" s="33" t="n">
        <f>574.8</f>
        <v>574.8</v>
      </c>
      <c r="L178" s="34" t="s">
        <v>48</v>
      </c>
      <c r="M178" s="33" t="n">
        <f>582.7</f>
        <v>582.7</v>
      </c>
      <c r="N178" s="34" t="s">
        <v>55</v>
      </c>
      <c r="O178" s="33" t="n">
        <f>550.5</f>
        <v>550.5</v>
      </c>
      <c r="P178" s="34" t="s">
        <v>56</v>
      </c>
      <c r="Q178" s="33" t="n">
        <f>568.3</f>
        <v>568.3</v>
      </c>
      <c r="R178" s="34" t="s">
        <v>51</v>
      </c>
      <c r="S178" s="35" t="n">
        <f>567.13</f>
        <v>567.13</v>
      </c>
      <c r="T178" s="32" t="n">
        <f>1560520</f>
        <v>1560520.0</v>
      </c>
      <c r="U178" s="32" t="n">
        <f>35000</f>
        <v>35000.0</v>
      </c>
      <c r="V178" s="32" t="n">
        <f>885287393</f>
        <v>8.85287393E8</v>
      </c>
      <c r="W178" s="32" t="n">
        <f>19932500</f>
        <v>1.99325E7</v>
      </c>
      <c r="X178" s="36" t="n">
        <f>22</f>
        <v>22.0</v>
      </c>
    </row>
    <row r="179">
      <c r="A179" s="27" t="s">
        <v>42</v>
      </c>
      <c r="B179" s="27" t="s">
        <v>586</v>
      </c>
      <c r="C179" s="27" t="s">
        <v>587</v>
      </c>
      <c r="D179" s="27" t="s">
        <v>588</v>
      </c>
      <c r="E179" s="28" t="s">
        <v>46</v>
      </c>
      <c r="F179" s="29" t="s">
        <v>46</v>
      </c>
      <c r="G179" s="30" t="s">
        <v>46</v>
      </c>
      <c r="H179" s="31"/>
      <c r="I179" s="31" t="s">
        <v>47</v>
      </c>
      <c r="J179" s="32" t="n">
        <v>10.0</v>
      </c>
      <c r="K179" s="33" t="n">
        <f>200.2</f>
        <v>200.2</v>
      </c>
      <c r="L179" s="34" t="s">
        <v>48</v>
      </c>
      <c r="M179" s="33" t="n">
        <f>218</f>
        <v>218.0</v>
      </c>
      <c r="N179" s="34" t="s">
        <v>50</v>
      </c>
      <c r="O179" s="33" t="n">
        <f>200.2</f>
        <v>200.2</v>
      </c>
      <c r="P179" s="34" t="s">
        <v>48</v>
      </c>
      <c r="Q179" s="33" t="n">
        <f>216.9</f>
        <v>216.9</v>
      </c>
      <c r="R179" s="34" t="s">
        <v>51</v>
      </c>
      <c r="S179" s="35" t="n">
        <f>211.61</f>
        <v>211.61</v>
      </c>
      <c r="T179" s="32" t="n">
        <f>5872250</f>
        <v>5872250.0</v>
      </c>
      <c r="U179" s="32" t="n">
        <f>3500000</f>
        <v>3500000.0</v>
      </c>
      <c r="V179" s="32" t="n">
        <f>1244181485</f>
        <v>1.244181485E9</v>
      </c>
      <c r="W179" s="32" t="n">
        <f>747408400</f>
        <v>7.474084E8</v>
      </c>
      <c r="X179" s="36" t="n">
        <f>22</f>
        <v>22.0</v>
      </c>
    </row>
    <row r="180">
      <c r="A180" s="27" t="s">
        <v>42</v>
      </c>
      <c r="B180" s="27" t="s">
        <v>589</v>
      </c>
      <c r="C180" s="27" t="s">
        <v>590</v>
      </c>
      <c r="D180" s="27" t="s">
        <v>591</v>
      </c>
      <c r="E180" s="28" t="s">
        <v>46</v>
      </c>
      <c r="F180" s="29" t="s">
        <v>46</v>
      </c>
      <c r="G180" s="30" t="s">
        <v>46</v>
      </c>
      <c r="H180" s="31"/>
      <c r="I180" s="31" t="s">
        <v>47</v>
      </c>
      <c r="J180" s="32" t="n">
        <v>10.0</v>
      </c>
      <c r="K180" s="33" t="n">
        <f>226.8</f>
        <v>226.8</v>
      </c>
      <c r="L180" s="34" t="s">
        <v>48</v>
      </c>
      <c r="M180" s="33" t="n">
        <f>244.6</f>
        <v>244.6</v>
      </c>
      <c r="N180" s="34" t="s">
        <v>60</v>
      </c>
      <c r="O180" s="33" t="n">
        <f>226.8</f>
        <v>226.8</v>
      </c>
      <c r="P180" s="34" t="s">
        <v>48</v>
      </c>
      <c r="Q180" s="33" t="n">
        <f>241.2</f>
        <v>241.2</v>
      </c>
      <c r="R180" s="34" t="s">
        <v>51</v>
      </c>
      <c r="S180" s="35" t="n">
        <f>237.78</f>
        <v>237.78</v>
      </c>
      <c r="T180" s="32" t="n">
        <f>4799730</f>
        <v>4799730.0</v>
      </c>
      <c r="U180" s="32" t="n">
        <f>900000</f>
        <v>900000.0</v>
      </c>
      <c r="V180" s="32" t="n">
        <f>1154489516</f>
        <v>1.154489516E9</v>
      </c>
      <c r="W180" s="32" t="n">
        <f>218250000</f>
        <v>2.1825E8</v>
      </c>
      <c r="X180" s="36" t="n">
        <f>22</f>
        <v>22.0</v>
      </c>
    </row>
    <row r="181">
      <c r="A181" s="27" t="s">
        <v>42</v>
      </c>
      <c r="B181" s="27" t="s">
        <v>592</v>
      </c>
      <c r="C181" s="27" t="s">
        <v>593</v>
      </c>
      <c r="D181" s="27" t="s">
        <v>594</v>
      </c>
      <c r="E181" s="28" t="s">
        <v>46</v>
      </c>
      <c r="F181" s="29" t="s">
        <v>46</v>
      </c>
      <c r="G181" s="30" t="s">
        <v>46</v>
      </c>
      <c r="H181" s="31"/>
      <c r="I181" s="31" t="s">
        <v>47</v>
      </c>
      <c r="J181" s="32" t="n">
        <v>10.0</v>
      </c>
      <c r="K181" s="33" t="n">
        <f>230.5</f>
        <v>230.5</v>
      </c>
      <c r="L181" s="34" t="s">
        <v>48</v>
      </c>
      <c r="M181" s="33" t="n">
        <f>247.3</f>
        <v>247.3</v>
      </c>
      <c r="N181" s="34" t="s">
        <v>50</v>
      </c>
      <c r="O181" s="33" t="n">
        <f>229.2</f>
        <v>229.2</v>
      </c>
      <c r="P181" s="34" t="s">
        <v>72</v>
      </c>
      <c r="Q181" s="33" t="n">
        <f>244.3</f>
        <v>244.3</v>
      </c>
      <c r="R181" s="34" t="s">
        <v>51</v>
      </c>
      <c r="S181" s="35" t="n">
        <f>240.95</f>
        <v>240.95</v>
      </c>
      <c r="T181" s="32" t="n">
        <f>2955340</f>
        <v>2955340.0</v>
      </c>
      <c r="U181" s="32" t="n">
        <f>200</f>
        <v>200.0</v>
      </c>
      <c r="V181" s="32" t="n">
        <f>715579118</f>
        <v>7.15579118E8</v>
      </c>
      <c r="W181" s="32" t="n">
        <f>48080</f>
        <v>48080.0</v>
      </c>
      <c r="X181" s="36" t="n">
        <f>22</f>
        <v>22.0</v>
      </c>
    </row>
    <row r="182">
      <c r="A182" s="27" t="s">
        <v>42</v>
      </c>
      <c r="B182" s="27" t="s">
        <v>595</v>
      </c>
      <c r="C182" s="27" t="s">
        <v>596</v>
      </c>
      <c r="D182" s="27" t="s">
        <v>597</v>
      </c>
      <c r="E182" s="28" t="s">
        <v>46</v>
      </c>
      <c r="F182" s="29" t="s">
        <v>46</v>
      </c>
      <c r="G182" s="30" t="s">
        <v>46</v>
      </c>
      <c r="H182" s="31"/>
      <c r="I182" s="31" t="s">
        <v>47</v>
      </c>
      <c r="J182" s="32" t="n">
        <v>1.0</v>
      </c>
      <c r="K182" s="33" t="n">
        <f>2026</f>
        <v>2026.0</v>
      </c>
      <c r="L182" s="34" t="s">
        <v>48</v>
      </c>
      <c r="M182" s="33" t="n">
        <f>2094</f>
        <v>2094.0</v>
      </c>
      <c r="N182" s="34" t="s">
        <v>50</v>
      </c>
      <c r="O182" s="33" t="n">
        <f>2026</f>
        <v>2026.0</v>
      </c>
      <c r="P182" s="34" t="s">
        <v>48</v>
      </c>
      <c r="Q182" s="33" t="n">
        <f>2080</f>
        <v>2080.0</v>
      </c>
      <c r="R182" s="34" t="s">
        <v>51</v>
      </c>
      <c r="S182" s="35" t="n">
        <f>2065.32</f>
        <v>2065.32</v>
      </c>
      <c r="T182" s="32" t="n">
        <f>148613</f>
        <v>148613.0</v>
      </c>
      <c r="U182" s="32" t="n">
        <f>2</f>
        <v>2.0</v>
      </c>
      <c r="V182" s="32" t="n">
        <f>307179750</f>
        <v>3.0717975E8</v>
      </c>
      <c r="W182" s="32" t="n">
        <f>4160</f>
        <v>4160.0</v>
      </c>
      <c r="X182" s="36" t="n">
        <f>22</f>
        <v>22.0</v>
      </c>
    </row>
    <row r="183">
      <c r="A183" s="27" t="s">
        <v>42</v>
      </c>
      <c r="B183" s="27" t="s">
        <v>598</v>
      </c>
      <c r="C183" s="27" t="s">
        <v>599</v>
      </c>
      <c r="D183" s="27" t="s">
        <v>600</v>
      </c>
      <c r="E183" s="28" t="s">
        <v>46</v>
      </c>
      <c r="F183" s="29" t="s">
        <v>46</v>
      </c>
      <c r="G183" s="30" t="s">
        <v>46</v>
      </c>
      <c r="H183" s="31"/>
      <c r="I183" s="31" t="s">
        <v>47</v>
      </c>
      <c r="J183" s="32" t="n">
        <v>1.0</v>
      </c>
      <c r="K183" s="33" t="n">
        <f>1998</f>
        <v>1998.0</v>
      </c>
      <c r="L183" s="34" t="s">
        <v>48</v>
      </c>
      <c r="M183" s="33" t="n">
        <f>2006</f>
        <v>2006.0</v>
      </c>
      <c r="N183" s="34" t="s">
        <v>55</v>
      </c>
      <c r="O183" s="33" t="n">
        <f>1916</f>
        <v>1916.0</v>
      </c>
      <c r="P183" s="34" t="s">
        <v>51</v>
      </c>
      <c r="Q183" s="33" t="n">
        <f>1919</f>
        <v>1919.0</v>
      </c>
      <c r="R183" s="34" t="s">
        <v>51</v>
      </c>
      <c r="S183" s="35" t="n">
        <f>1951.09</f>
        <v>1951.09</v>
      </c>
      <c r="T183" s="32" t="n">
        <f>1097584</f>
        <v>1097584.0</v>
      </c>
      <c r="U183" s="32" t="n">
        <f>1000001</f>
        <v>1000001.0</v>
      </c>
      <c r="V183" s="32" t="n">
        <f>2172049065</f>
        <v>2.172049065E9</v>
      </c>
      <c r="W183" s="32" t="n">
        <f>1979626913</f>
        <v>1.979626913E9</v>
      </c>
      <c r="X183" s="36" t="n">
        <f>22</f>
        <v>22.0</v>
      </c>
    </row>
    <row r="184">
      <c r="A184" s="27" t="s">
        <v>42</v>
      </c>
      <c r="B184" s="27" t="s">
        <v>601</v>
      </c>
      <c r="C184" s="27" t="s">
        <v>602</v>
      </c>
      <c r="D184" s="27" t="s">
        <v>603</v>
      </c>
      <c r="E184" s="28" t="s">
        <v>46</v>
      </c>
      <c r="F184" s="29" t="s">
        <v>46</v>
      </c>
      <c r="G184" s="30" t="s">
        <v>46</v>
      </c>
      <c r="H184" s="31"/>
      <c r="I184" s="31" t="s">
        <v>47</v>
      </c>
      <c r="J184" s="32" t="n">
        <v>1.0</v>
      </c>
      <c r="K184" s="33" t="n">
        <f>1084</f>
        <v>1084.0</v>
      </c>
      <c r="L184" s="34" t="s">
        <v>48</v>
      </c>
      <c r="M184" s="33" t="n">
        <f>1109</f>
        <v>1109.0</v>
      </c>
      <c r="N184" s="34" t="s">
        <v>55</v>
      </c>
      <c r="O184" s="33" t="n">
        <f>1038</f>
        <v>1038.0</v>
      </c>
      <c r="P184" s="34" t="s">
        <v>60</v>
      </c>
      <c r="Q184" s="33" t="n">
        <f>1072</f>
        <v>1072.0</v>
      </c>
      <c r="R184" s="34" t="s">
        <v>51</v>
      </c>
      <c r="S184" s="35" t="n">
        <f>1072</f>
        <v>1072.0</v>
      </c>
      <c r="T184" s="32" t="n">
        <f>8302026</f>
        <v>8302026.0</v>
      </c>
      <c r="U184" s="32" t="n">
        <f>2712300</f>
        <v>2712300.0</v>
      </c>
      <c r="V184" s="32" t="n">
        <f>8805649276</f>
        <v>8.805649276E9</v>
      </c>
      <c r="W184" s="32" t="n">
        <f>2862956548</f>
        <v>2.862956548E9</v>
      </c>
      <c r="X184" s="36" t="n">
        <f>22</f>
        <v>22.0</v>
      </c>
    </row>
    <row r="185">
      <c r="A185" s="27" t="s">
        <v>42</v>
      </c>
      <c r="B185" s="27" t="s">
        <v>604</v>
      </c>
      <c r="C185" s="27" t="s">
        <v>605</v>
      </c>
      <c r="D185" s="27" t="s">
        <v>606</v>
      </c>
      <c r="E185" s="28" t="s">
        <v>46</v>
      </c>
      <c r="F185" s="29" t="s">
        <v>46</v>
      </c>
      <c r="G185" s="30" t="s">
        <v>46</v>
      </c>
      <c r="H185" s="31"/>
      <c r="I185" s="31" t="s">
        <v>47</v>
      </c>
      <c r="J185" s="32" t="n">
        <v>1.0</v>
      </c>
      <c r="K185" s="33" t="n">
        <f>1140</f>
        <v>1140.0</v>
      </c>
      <c r="L185" s="34" t="s">
        <v>48</v>
      </c>
      <c r="M185" s="33" t="n">
        <f>1220</f>
        <v>1220.0</v>
      </c>
      <c r="N185" s="34" t="s">
        <v>50</v>
      </c>
      <c r="O185" s="33" t="n">
        <f>1135</f>
        <v>1135.0</v>
      </c>
      <c r="P185" s="34" t="s">
        <v>72</v>
      </c>
      <c r="Q185" s="33" t="n">
        <f>1201</f>
        <v>1201.0</v>
      </c>
      <c r="R185" s="34" t="s">
        <v>51</v>
      </c>
      <c r="S185" s="35" t="n">
        <f>1173.68</f>
        <v>1173.68</v>
      </c>
      <c r="T185" s="32" t="n">
        <f>121948</f>
        <v>121948.0</v>
      </c>
      <c r="U185" s="32" t="str">
        <f>"－"</f>
        <v>－</v>
      </c>
      <c r="V185" s="32" t="n">
        <f>145341608</f>
        <v>1.45341608E8</v>
      </c>
      <c r="W185" s="32" t="str">
        <f>"－"</f>
        <v>－</v>
      </c>
      <c r="X185" s="36" t="n">
        <f>22</f>
        <v>22.0</v>
      </c>
    </row>
    <row r="186">
      <c r="A186" s="27" t="s">
        <v>42</v>
      </c>
      <c r="B186" s="27" t="s">
        <v>607</v>
      </c>
      <c r="C186" s="27" t="s">
        <v>608</v>
      </c>
      <c r="D186" s="27" t="s">
        <v>609</v>
      </c>
      <c r="E186" s="28" t="s">
        <v>46</v>
      </c>
      <c r="F186" s="29" t="s">
        <v>46</v>
      </c>
      <c r="G186" s="30" t="s">
        <v>46</v>
      </c>
      <c r="H186" s="31"/>
      <c r="I186" s="31" t="s">
        <v>47</v>
      </c>
      <c r="J186" s="32" t="n">
        <v>1.0</v>
      </c>
      <c r="K186" s="33" t="n">
        <f>1029</f>
        <v>1029.0</v>
      </c>
      <c r="L186" s="34" t="s">
        <v>48</v>
      </c>
      <c r="M186" s="33" t="n">
        <f>1098</f>
        <v>1098.0</v>
      </c>
      <c r="N186" s="34" t="s">
        <v>50</v>
      </c>
      <c r="O186" s="33" t="n">
        <f>1021</f>
        <v>1021.0</v>
      </c>
      <c r="P186" s="34" t="s">
        <v>48</v>
      </c>
      <c r="Q186" s="33" t="n">
        <f>1076</f>
        <v>1076.0</v>
      </c>
      <c r="R186" s="34" t="s">
        <v>51</v>
      </c>
      <c r="S186" s="35" t="n">
        <f>1062.77</f>
        <v>1062.77</v>
      </c>
      <c r="T186" s="32" t="n">
        <f>60602</f>
        <v>60602.0</v>
      </c>
      <c r="U186" s="32" t="n">
        <f>22</f>
        <v>22.0</v>
      </c>
      <c r="V186" s="32" t="n">
        <f>64433964</f>
        <v>6.4433964E7</v>
      </c>
      <c r="W186" s="32" t="n">
        <f>23629</f>
        <v>23629.0</v>
      </c>
      <c r="X186" s="36" t="n">
        <f>22</f>
        <v>22.0</v>
      </c>
    </row>
    <row r="187">
      <c r="A187" s="27" t="s">
        <v>42</v>
      </c>
      <c r="B187" s="27" t="s">
        <v>610</v>
      </c>
      <c r="C187" s="27" t="s">
        <v>611</v>
      </c>
      <c r="D187" s="27" t="s">
        <v>612</v>
      </c>
      <c r="E187" s="28" t="s">
        <v>46</v>
      </c>
      <c r="F187" s="29" t="s">
        <v>46</v>
      </c>
      <c r="G187" s="30" t="s">
        <v>46</v>
      </c>
      <c r="H187" s="31"/>
      <c r="I187" s="31" t="s">
        <v>47</v>
      </c>
      <c r="J187" s="32" t="n">
        <v>10.0</v>
      </c>
      <c r="K187" s="33" t="n">
        <f>200.8</f>
        <v>200.8</v>
      </c>
      <c r="L187" s="34" t="s">
        <v>48</v>
      </c>
      <c r="M187" s="33" t="n">
        <f>205.9</f>
        <v>205.9</v>
      </c>
      <c r="N187" s="34" t="s">
        <v>64</v>
      </c>
      <c r="O187" s="33" t="n">
        <f>198.7</f>
        <v>198.7</v>
      </c>
      <c r="P187" s="34" t="s">
        <v>56</v>
      </c>
      <c r="Q187" s="33" t="n">
        <f>201.1</f>
        <v>201.1</v>
      </c>
      <c r="R187" s="34" t="s">
        <v>51</v>
      </c>
      <c r="S187" s="35" t="n">
        <f>202.07</f>
        <v>202.07</v>
      </c>
      <c r="T187" s="32" t="n">
        <f>5135510</f>
        <v>5135510.0</v>
      </c>
      <c r="U187" s="32" t="n">
        <f>261800</f>
        <v>261800.0</v>
      </c>
      <c r="V187" s="32" t="n">
        <f>1039342861</f>
        <v>1.039342861E9</v>
      </c>
      <c r="W187" s="32" t="n">
        <f>53012203</f>
        <v>5.3012203E7</v>
      </c>
      <c r="X187" s="36" t="n">
        <f>22</f>
        <v>22.0</v>
      </c>
    </row>
    <row r="188">
      <c r="A188" s="27" t="s">
        <v>42</v>
      </c>
      <c r="B188" s="27" t="s">
        <v>613</v>
      </c>
      <c r="C188" s="27" t="s">
        <v>614</v>
      </c>
      <c r="D188" s="27" t="s">
        <v>615</v>
      </c>
      <c r="E188" s="28" t="s">
        <v>46</v>
      </c>
      <c r="F188" s="29" t="s">
        <v>46</v>
      </c>
      <c r="G188" s="30" t="s">
        <v>46</v>
      </c>
      <c r="H188" s="31"/>
      <c r="I188" s="31" t="s">
        <v>428</v>
      </c>
      <c r="J188" s="32" t="n">
        <v>1.0</v>
      </c>
      <c r="K188" s="33" t="n">
        <f>5850</f>
        <v>5850.0</v>
      </c>
      <c r="L188" s="34" t="s">
        <v>48</v>
      </c>
      <c r="M188" s="33" t="n">
        <f>7720</f>
        <v>7720.0</v>
      </c>
      <c r="N188" s="34" t="s">
        <v>64</v>
      </c>
      <c r="O188" s="33" t="n">
        <f>5420</f>
        <v>5420.0</v>
      </c>
      <c r="P188" s="34" t="s">
        <v>84</v>
      </c>
      <c r="Q188" s="33" t="n">
        <f>5849</f>
        <v>5849.0</v>
      </c>
      <c r="R188" s="34" t="s">
        <v>51</v>
      </c>
      <c r="S188" s="35" t="n">
        <f>6110.91</f>
        <v>6110.91</v>
      </c>
      <c r="T188" s="32" t="n">
        <f>344668</f>
        <v>344668.0</v>
      </c>
      <c r="U188" s="32" t="str">
        <f>"－"</f>
        <v>－</v>
      </c>
      <c r="V188" s="32" t="n">
        <f>2236166921</f>
        <v>2.236166921E9</v>
      </c>
      <c r="W188" s="32" t="str">
        <f>"－"</f>
        <v>－</v>
      </c>
      <c r="X188" s="36" t="n">
        <f>22</f>
        <v>22.0</v>
      </c>
    </row>
    <row r="189">
      <c r="A189" s="27" t="s">
        <v>42</v>
      </c>
      <c r="B189" s="27" t="s">
        <v>616</v>
      </c>
      <c r="C189" s="27" t="s">
        <v>617</v>
      </c>
      <c r="D189" s="27" t="s">
        <v>618</v>
      </c>
      <c r="E189" s="28" t="s">
        <v>46</v>
      </c>
      <c r="F189" s="29" t="s">
        <v>46</v>
      </c>
      <c r="G189" s="30" t="s">
        <v>46</v>
      </c>
      <c r="H189" s="31"/>
      <c r="I189" s="31" t="s">
        <v>428</v>
      </c>
      <c r="J189" s="32" t="n">
        <v>1.0</v>
      </c>
      <c r="K189" s="33" t="n">
        <f>7695</f>
        <v>7695.0</v>
      </c>
      <c r="L189" s="34" t="s">
        <v>48</v>
      </c>
      <c r="M189" s="33" t="n">
        <f>7999</f>
        <v>7999.0</v>
      </c>
      <c r="N189" s="34" t="s">
        <v>65</v>
      </c>
      <c r="O189" s="33" t="n">
        <f>6840</f>
        <v>6840.0</v>
      </c>
      <c r="P189" s="34" t="s">
        <v>72</v>
      </c>
      <c r="Q189" s="33" t="n">
        <f>7883</f>
        <v>7883.0</v>
      </c>
      <c r="R189" s="34" t="s">
        <v>51</v>
      </c>
      <c r="S189" s="35" t="n">
        <f>7544.05</f>
        <v>7544.05</v>
      </c>
      <c r="T189" s="32" t="n">
        <f>85705</f>
        <v>85705.0</v>
      </c>
      <c r="U189" s="32" t="str">
        <f>"－"</f>
        <v>－</v>
      </c>
      <c r="V189" s="32" t="n">
        <f>629380138</f>
        <v>6.29380138E8</v>
      </c>
      <c r="W189" s="32" t="str">
        <f>"－"</f>
        <v>－</v>
      </c>
      <c r="X189" s="36" t="n">
        <f>22</f>
        <v>22.0</v>
      </c>
    </row>
    <row r="190">
      <c r="A190" s="27" t="s">
        <v>42</v>
      </c>
      <c r="B190" s="27" t="s">
        <v>619</v>
      </c>
      <c r="C190" s="27" t="s">
        <v>620</v>
      </c>
      <c r="D190" s="27" t="s">
        <v>621</v>
      </c>
      <c r="E190" s="28" t="s">
        <v>46</v>
      </c>
      <c r="F190" s="29" t="s">
        <v>46</v>
      </c>
      <c r="G190" s="30" t="s">
        <v>46</v>
      </c>
      <c r="H190" s="31"/>
      <c r="I190" s="31" t="s">
        <v>428</v>
      </c>
      <c r="J190" s="32" t="n">
        <v>1.0</v>
      </c>
      <c r="K190" s="33" t="n">
        <f>11540</f>
        <v>11540.0</v>
      </c>
      <c r="L190" s="34" t="s">
        <v>48</v>
      </c>
      <c r="M190" s="33" t="n">
        <f>12000</f>
        <v>12000.0</v>
      </c>
      <c r="N190" s="34" t="s">
        <v>76</v>
      </c>
      <c r="O190" s="33" t="n">
        <f>11205</f>
        <v>11205.0</v>
      </c>
      <c r="P190" s="34" t="s">
        <v>72</v>
      </c>
      <c r="Q190" s="33" t="n">
        <f>11530</f>
        <v>11530.0</v>
      </c>
      <c r="R190" s="34" t="s">
        <v>49</v>
      </c>
      <c r="S190" s="35" t="n">
        <f>11573.16</f>
        <v>11573.16</v>
      </c>
      <c r="T190" s="32" t="n">
        <f>1364</f>
        <v>1364.0</v>
      </c>
      <c r="U190" s="32" t="str">
        <f>"－"</f>
        <v>－</v>
      </c>
      <c r="V190" s="32" t="n">
        <f>15886870</f>
        <v>1.588687E7</v>
      </c>
      <c r="W190" s="32" t="str">
        <f>"－"</f>
        <v>－</v>
      </c>
      <c r="X190" s="36" t="n">
        <f>19</f>
        <v>19.0</v>
      </c>
    </row>
    <row r="191">
      <c r="A191" s="27" t="s">
        <v>42</v>
      </c>
      <c r="B191" s="27" t="s">
        <v>622</v>
      </c>
      <c r="C191" s="27" t="s">
        <v>623</v>
      </c>
      <c r="D191" s="27" t="s">
        <v>624</v>
      </c>
      <c r="E191" s="28" t="s">
        <v>46</v>
      </c>
      <c r="F191" s="29" t="s">
        <v>46</v>
      </c>
      <c r="G191" s="30" t="s">
        <v>46</v>
      </c>
      <c r="H191" s="31"/>
      <c r="I191" s="31" t="s">
        <v>428</v>
      </c>
      <c r="J191" s="32" t="n">
        <v>1.0</v>
      </c>
      <c r="K191" s="33" t="n">
        <f>7708</f>
        <v>7708.0</v>
      </c>
      <c r="L191" s="34" t="s">
        <v>48</v>
      </c>
      <c r="M191" s="33" t="n">
        <f>7990</f>
        <v>7990.0</v>
      </c>
      <c r="N191" s="34" t="s">
        <v>51</v>
      </c>
      <c r="O191" s="33" t="n">
        <f>7650</f>
        <v>7650.0</v>
      </c>
      <c r="P191" s="34" t="s">
        <v>76</v>
      </c>
      <c r="Q191" s="33" t="n">
        <f>7960</f>
        <v>7960.0</v>
      </c>
      <c r="R191" s="34" t="s">
        <v>51</v>
      </c>
      <c r="S191" s="35" t="n">
        <f>7818.14</f>
        <v>7818.14</v>
      </c>
      <c r="T191" s="32" t="n">
        <f>2936</f>
        <v>2936.0</v>
      </c>
      <c r="U191" s="32" t="str">
        <f>"－"</f>
        <v>－</v>
      </c>
      <c r="V191" s="32" t="n">
        <f>22963649</f>
        <v>2.2963649E7</v>
      </c>
      <c r="W191" s="32" t="str">
        <f>"－"</f>
        <v>－</v>
      </c>
      <c r="X191" s="36" t="n">
        <f>22</f>
        <v>22.0</v>
      </c>
    </row>
    <row r="192">
      <c r="A192" s="27" t="s">
        <v>42</v>
      </c>
      <c r="B192" s="27" t="s">
        <v>625</v>
      </c>
      <c r="C192" s="27" t="s">
        <v>626</v>
      </c>
      <c r="D192" s="27" t="s">
        <v>627</v>
      </c>
      <c r="E192" s="28" t="s">
        <v>46</v>
      </c>
      <c r="F192" s="29" t="s">
        <v>46</v>
      </c>
      <c r="G192" s="30" t="s">
        <v>46</v>
      </c>
      <c r="H192" s="31"/>
      <c r="I192" s="31" t="s">
        <v>428</v>
      </c>
      <c r="J192" s="32" t="n">
        <v>1.0</v>
      </c>
      <c r="K192" s="33" t="n">
        <f>60190</f>
        <v>60190.0</v>
      </c>
      <c r="L192" s="34" t="s">
        <v>48</v>
      </c>
      <c r="M192" s="33" t="n">
        <f>77240</f>
        <v>77240.0</v>
      </c>
      <c r="N192" s="34" t="s">
        <v>51</v>
      </c>
      <c r="O192" s="33" t="n">
        <f>60090</f>
        <v>60090.0</v>
      </c>
      <c r="P192" s="34" t="s">
        <v>48</v>
      </c>
      <c r="Q192" s="33" t="n">
        <f>76340</f>
        <v>76340.0</v>
      </c>
      <c r="R192" s="34" t="s">
        <v>51</v>
      </c>
      <c r="S192" s="35" t="n">
        <f>68031.82</f>
        <v>68031.82</v>
      </c>
      <c r="T192" s="32" t="n">
        <f>121720</f>
        <v>121720.0</v>
      </c>
      <c r="U192" s="32" t="n">
        <f>127</f>
        <v>127.0</v>
      </c>
      <c r="V192" s="32" t="n">
        <f>8549861350</f>
        <v>8.54986135E9</v>
      </c>
      <c r="W192" s="32" t="n">
        <f>8657700</f>
        <v>8657700.0</v>
      </c>
      <c r="X192" s="36" t="n">
        <f>22</f>
        <v>22.0</v>
      </c>
    </row>
    <row r="193">
      <c r="A193" s="27" t="s">
        <v>42</v>
      </c>
      <c r="B193" s="27" t="s">
        <v>628</v>
      </c>
      <c r="C193" s="27" t="s">
        <v>629</v>
      </c>
      <c r="D193" s="27" t="s">
        <v>630</v>
      </c>
      <c r="E193" s="28" t="s">
        <v>46</v>
      </c>
      <c r="F193" s="29" t="s">
        <v>46</v>
      </c>
      <c r="G193" s="30" t="s">
        <v>46</v>
      </c>
      <c r="H193" s="31"/>
      <c r="I193" s="31" t="s">
        <v>428</v>
      </c>
      <c r="J193" s="32" t="n">
        <v>1.0</v>
      </c>
      <c r="K193" s="33" t="n">
        <f>2672</f>
        <v>2672.0</v>
      </c>
      <c r="L193" s="34" t="s">
        <v>48</v>
      </c>
      <c r="M193" s="33" t="n">
        <f>2672</f>
        <v>2672.0</v>
      </c>
      <c r="N193" s="34" t="s">
        <v>48</v>
      </c>
      <c r="O193" s="33" t="n">
        <f>2347</f>
        <v>2347.0</v>
      </c>
      <c r="P193" s="34" t="s">
        <v>51</v>
      </c>
      <c r="Q193" s="33" t="n">
        <f>2382</f>
        <v>2382.0</v>
      </c>
      <c r="R193" s="34" t="s">
        <v>51</v>
      </c>
      <c r="S193" s="35" t="n">
        <f>2523.36</f>
        <v>2523.36</v>
      </c>
      <c r="T193" s="32" t="n">
        <f>13055</f>
        <v>13055.0</v>
      </c>
      <c r="U193" s="32" t="str">
        <f>"－"</f>
        <v>－</v>
      </c>
      <c r="V193" s="32" t="n">
        <f>32584906</f>
        <v>3.2584906E7</v>
      </c>
      <c r="W193" s="32" t="str">
        <f>"－"</f>
        <v>－</v>
      </c>
      <c r="X193" s="36" t="n">
        <f>22</f>
        <v>22.0</v>
      </c>
    </row>
    <row r="194">
      <c r="A194" s="27" t="s">
        <v>42</v>
      </c>
      <c r="B194" s="27" t="s">
        <v>631</v>
      </c>
      <c r="C194" s="27" t="s">
        <v>632</v>
      </c>
      <c r="D194" s="27" t="s">
        <v>633</v>
      </c>
      <c r="E194" s="28" t="s">
        <v>46</v>
      </c>
      <c r="F194" s="29" t="s">
        <v>46</v>
      </c>
      <c r="G194" s="30" t="s">
        <v>46</v>
      </c>
      <c r="H194" s="31"/>
      <c r="I194" s="31" t="s">
        <v>428</v>
      </c>
      <c r="J194" s="32" t="n">
        <v>1.0</v>
      </c>
      <c r="K194" s="33" t="n">
        <f>1521</f>
        <v>1521.0</v>
      </c>
      <c r="L194" s="34" t="s">
        <v>48</v>
      </c>
      <c r="M194" s="33" t="n">
        <f>1962</f>
        <v>1962.0</v>
      </c>
      <c r="N194" s="34" t="s">
        <v>337</v>
      </c>
      <c r="O194" s="33" t="n">
        <f>1514</f>
        <v>1514.0</v>
      </c>
      <c r="P194" s="34" t="s">
        <v>48</v>
      </c>
      <c r="Q194" s="33" t="n">
        <f>1737</f>
        <v>1737.0</v>
      </c>
      <c r="R194" s="34" t="s">
        <v>51</v>
      </c>
      <c r="S194" s="35" t="n">
        <f>1752.32</f>
        <v>1752.32</v>
      </c>
      <c r="T194" s="32" t="n">
        <f>12266020</f>
        <v>1.226602E7</v>
      </c>
      <c r="U194" s="32" t="n">
        <f>749</f>
        <v>749.0</v>
      </c>
      <c r="V194" s="32" t="n">
        <f>21782709663</f>
        <v>2.1782709663E10</v>
      </c>
      <c r="W194" s="32" t="n">
        <f>1295199</f>
        <v>1295199.0</v>
      </c>
      <c r="X194" s="36" t="n">
        <f>22</f>
        <v>22.0</v>
      </c>
    </row>
    <row r="195">
      <c r="A195" s="27" t="s">
        <v>42</v>
      </c>
      <c r="B195" s="27" t="s">
        <v>634</v>
      </c>
      <c r="C195" s="27" t="s">
        <v>635</v>
      </c>
      <c r="D195" s="27" t="s">
        <v>636</v>
      </c>
      <c r="E195" s="28" t="s">
        <v>46</v>
      </c>
      <c r="F195" s="29" t="s">
        <v>46</v>
      </c>
      <c r="G195" s="30" t="s">
        <v>46</v>
      </c>
      <c r="H195" s="31"/>
      <c r="I195" s="31" t="s">
        <v>428</v>
      </c>
      <c r="J195" s="32" t="n">
        <v>1.0</v>
      </c>
      <c r="K195" s="33" t="n">
        <f>1067</f>
        <v>1067.0</v>
      </c>
      <c r="L195" s="34" t="s">
        <v>48</v>
      </c>
      <c r="M195" s="33" t="n">
        <f>1070</f>
        <v>1070.0</v>
      </c>
      <c r="N195" s="34" t="s">
        <v>48</v>
      </c>
      <c r="O195" s="33" t="n">
        <f>939</f>
        <v>939.0</v>
      </c>
      <c r="P195" s="34" t="s">
        <v>337</v>
      </c>
      <c r="Q195" s="33" t="n">
        <f>985</f>
        <v>985.0</v>
      </c>
      <c r="R195" s="34" t="s">
        <v>51</v>
      </c>
      <c r="S195" s="35" t="n">
        <f>992.05</f>
        <v>992.05</v>
      </c>
      <c r="T195" s="32" t="n">
        <f>1399331</f>
        <v>1399331.0</v>
      </c>
      <c r="U195" s="32" t="str">
        <f>"－"</f>
        <v>－</v>
      </c>
      <c r="V195" s="32" t="n">
        <f>1381908491</f>
        <v>1.381908491E9</v>
      </c>
      <c r="W195" s="32" t="str">
        <f>"－"</f>
        <v>－</v>
      </c>
      <c r="X195" s="36" t="n">
        <f>22</f>
        <v>22.0</v>
      </c>
    </row>
    <row r="196">
      <c r="A196" s="27" t="s">
        <v>42</v>
      </c>
      <c r="B196" s="27" t="s">
        <v>637</v>
      </c>
      <c r="C196" s="27" t="s">
        <v>638</v>
      </c>
      <c r="D196" s="27" t="s">
        <v>639</v>
      </c>
      <c r="E196" s="28" t="s">
        <v>46</v>
      </c>
      <c r="F196" s="29" t="s">
        <v>46</v>
      </c>
      <c r="G196" s="30" t="s">
        <v>46</v>
      </c>
      <c r="H196" s="31"/>
      <c r="I196" s="31" t="s">
        <v>428</v>
      </c>
      <c r="J196" s="32" t="n">
        <v>1.0</v>
      </c>
      <c r="K196" s="33" t="n">
        <f>31160</f>
        <v>31160.0</v>
      </c>
      <c r="L196" s="34" t="s">
        <v>48</v>
      </c>
      <c r="M196" s="33" t="n">
        <f>32540</f>
        <v>32540.0</v>
      </c>
      <c r="N196" s="34" t="s">
        <v>235</v>
      </c>
      <c r="O196" s="33" t="n">
        <f>30600</f>
        <v>30600.0</v>
      </c>
      <c r="P196" s="34" t="s">
        <v>83</v>
      </c>
      <c r="Q196" s="33" t="n">
        <f>30890</f>
        <v>30890.0</v>
      </c>
      <c r="R196" s="34" t="s">
        <v>51</v>
      </c>
      <c r="S196" s="35" t="n">
        <f>31492.73</f>
        <v>31492.73</v>
      </c>
      <c r="T196" s="32" t="n">
        <f>24315</f>
        <v>24315.0</v>
      </c>
      <c r="U196" s="32" t="str">
        <f>"－"</f>
        <v>－</v>
      </c>
      <c r="V196" s="32" t="n">
        <f>767699610</f>
        <v>7.6769961E8</v>
      </c>
      <c r="W196" s="32" t="str">
        <f>"－"</f>
        <v>－</v>
      </c>
      <c r="X196" s="36" t="n">
        <f>22</f>
        <v>22.0</v>
      </c>
    </row>
    <row r="197">
      <c r="A197" s="27" t="s">
        <v>42</v>
      </c>
      <c r="B197" s="27" t="s">
        <v>640</v>
      </c>
      <c r="C197" s="27" t="s">
        <v>641</v>
      </c>
      <c r="D197" s="27" t="s">
        <v>642</v>
      </c>
      <c r="E197" s="28" t="s">
        <v>46</v>
      </c>
      <c r="F197" s="29" t="s">
        <v>46</v>
      </c>
      <c r="G197" s="30" t="s">
        <v>46</v>
      </c>
      <c r="H197" s="31"/>
      <c r="I197" s="31" t="s">
        <v>428</v>
      </c>
      <c r="J197" s="32" t="n">
        <v>1.0</v>
      </c>
      <c r="K197" s="33" t="n">
        <f>2403</f>
        <v>2403.0</v>
      </c>
      <c r="L197" s="34" t="s">
        <v>48</v>
      </c>
      <c r="M197" s="33" t="n">
        <f>2429</f>
        <v>2429.0</v>
      </c>
      <c r="N197" s="34" t="s">
        <v>83</v>
      </c>
      <c r="O197" s="33" t="n">
        <f>2339</f>
        <v>2339.0</v>
      </c>
      <c r="P197" s="34" t="s">
        <v>235</v>
      </c>
      <c r="Q197" s="33" t="n">
        <f>2415</f>
        <v>2415.0</v>
      </c>
      <c r="R197" s="34" t="s">
        <v>51</v>
      </c>
      <c r="S197" s="35" t="n">
        <f>2386.73</f>
        <v>2386.73</v>
      </c>
      <c r="T197" s="32" t="n">
        <f>263852</f>
        <v>263852.0</v>
      </c>
      <c r="U197" s="32" t="str">
        <f>"－"</f>
        <v>－</v>
      </c>
      <c r="V197" s="32" t="n">
        <f>631150636</f>
        <v>6.31150636E8</v>
      </c>
      <c r="W197" s="32" t="str">
        <f>"－"</f>
        <v>－</v>
      </c>
      <c r="X197" s="36" t="n">
        <f>22</f>
        <v>22.0</v>
      </c>
    </row>
    <row r="198">
      <c r="A198" s="27" t="s">
        <v>42</v>
      </c>
      <c r="B198" s="27" t="s">
        <v>643</v>
      </c>
      <c r="C198" s="27" t="s">
        <v>644</v>
      </c>
      <c r="D198" s="27" t="s">
        <v>645</v>
      </c>
      <c r="E198" s="28" t="s">
        <v>46</v>
      </c>
      <c r="F198" s="29" t="s">
        <v>46</v>
      </c>
      <c r="G198" s="30" t="s">
        <v>46</v>
      </c>
      <c r="H198" s="31"/>
      <c r="I198" s="31" t="s">
        <v>428</v>
      </c>
      <c r="J198" s="32" t="n">
        <v>1.0</v>
      </c>
      <c r="K198" s="33" t="n">
        <f>6953</f>
        <v>6953.0</v>
      </c>
      <c r="L198" s="34" t="s">
        <v>48</v>
      </c>
      <c r="M198" s="33" t="n">
        <f>7037</f>
        <v>7037.0</v>
      </c>
      <c r="N198" s="34" t="s">
        <v>48</v>
      </c>
      <c r="O198" s="33" t="n">
        <f>6278</f>
        <v>6278.0</v>
      </c>
      <c r="P198" s="34" t="s">
        <v>60</v>
      </c>
      <c r="Q198" s="33" t="n">
        <f>6625</f>
        <v>6625.0</v>
      </c>
      <c r="R198" s="34" t="s">
        <v>51</v>
      </c>
      <c r="S198" s="35" t="n">
        <f>6666.95</f>
        <v>6666.95</v>
      </c>
      <c r="T198" s="32" t="n">
        <f>44158</f>
        <v>44158.0</v>
      </c>
      <c r="U198" s="32" t="n">
        <f>3</f>
        <v>3.0</v>
      </c>
      <c r="V198" s="32" t="n">
        <f>289988171</f>
        <v>2.89988171E8</v>
      </c>
      <c r="W198" s="32" t="n">
        <f>19770</f>
        <v>19770.0</v>
      </c>
      <c r="X198" s="36" t="n">
        <f>22</f>
        <v>22.0</v>
      </c>
    </row>
    <row r="199">
      <c r="A199" s="27" t="s">
        <v>42</v>
      </c>
      <c r="B199" s="27" t="s">
        <v>646</v>
      </c>
      <c r="C199" s="27" t="s">
        <v>647</v>
      </c>
      <c r="D199" s="27" t="s">
        <v>648</v>
      </c>
      <c r="E199" s="28" t="s">
        <v>46</v>
      </c>
      <c r="F199" s="29" t="s">
        <v>46</v>
      </c>
      <c r="G199" s="30" t="s">
        <v>46</v>
      </c>
      <c r="H199" s="31"/>
      <c r="I199" s="31" t="s">
        <v>428</v>
      </c>
      <c r="J199" s="32" t="n">
        <v>1.0</v>
      </c>
      <c r="K199" s="33" t="n">
        <f>20165</f>
        <v>20165.0</v>
      </c>
      <c r="L199" s="34" t="s">
        <v>48</v>
      </c>
      <c r="M199" s="33" t="n">
        <f>20895</f>
        <v>20895.0</v>
      </c>
      <c r="N199" s="34" t="s">
        <v>84</v>
      </c>
      <c r="O199" s="33" t="n">
        <f>20140</f>
        <v>20140.0</v>
      </c>
      <c r="P199" s="34" t="s">
        <v>55</v>
      </c>
      <c r="Q199" s="33" t="n">
        <f>20535</f>
        <v>20535.0</v>
      </c>
      <c r="R199" s="34" t="s">
        <v>60</v>
      </c>
      <c r="S199" s="35" t="n">
        <f>20480.33</f>
        <v>20480.33</v>
      </c>
      <c r="T199" s="32" t="n">
        <f>489</f>
        <v>489.0</v>
      </c>
      <c r="U199" s="32" t="str">
        <f>"－"</f>
        <v>－</v>
      </c>
      <c r="V199" s="32" t="n">
        <f>10020015</f>
        <v>1.0020015E7</v>
      </c>
      <c r="W199" s="32" t="str">
        <f>"－"</f>
        <v>－</v>
      </c>
      <c r="X199" s="36" t="n">
        <f>15</f>
        <v>15.0</v>
      </c>
    </row>
    <row r="200">
      <c r="A200" s="27" t="s">
        <v>42</v>
      </c>
      <c r="B200" s="27" t="s">
        <v>649</v>
      </c>
      <c r="C200" s="27" t="s">
        <v>650</v>
      </c>
      <c r="D200" s="27" t="s">
        <v>651</v>
      </c>
      <c r="E200" s="28" t="s">
        <v>46</v>
      </c>
      <c r="F200" s="29" t="s">
        <v>46</v>
      </c>
      <c r="G200" s="30" t="s">
        <v>46</v>
      </c>
      <c r="H200" s="31"/>
      <c r="I200" s="31" t="s">
        <v>428</v>
      </c>
      <c r="J200" s="32" t="n">
        <v>1.0</v>
      </c>
      <c r="K200" s="33" t="n">
        <f>29265</f>
        <v>29265.0</v>
      </c>
      <c r="L200" s="34" t="s">
        <v>48</v>
      </c>
      <c r="M200" s="33" t="n">
        <f>30850</f>
        <v>30850.0</v>
      </c>
      <c r="N200" s="34" t="s">
        <v>60</v>
      </c>
      <c r="O200" s="33" t="n">
        <f>29140</f>
        <v>29140.0</v>
      </c>
      <c r="P200" s="34" t="s">
        <v>72</v>
      </c>
      <c r="Q200" s="33" t="n">
        <f>30560</f>
        <v>30560.0</v>
      </c>
      <c r="R200" s="34" t="s">
        <v>51</v>
      </c>
      <c r="S200" s="35" t="n">
        <f>30236.59</f>
        <v>30236.59</v>
      </c>
      <c r="T200" s="32" t="n">
        <f>15469</f>
        <v>15469.0</v>
      </c>
      <c r="U200" s="32" t="str">
        <f>"－"</f>
        <v>－</v>
      </c>
      <c r="V200" s="32" t="n">
        <f>466495260</f>
        <v>4.6649526E8</v>
      </c>
      <c r="W200" s="32" t="str">
        <f>"－"</f>
        <v>－</v>
      </c>
      <c r="X200" s="36" t="n">
        <f>22</f>
        <v>22.0</v>
      </c>
    </row>
    <row r="201">
      <c r="A201" s="27" t="s">
        <v>42</v>
      </c>
      <c r="B201" s="27" t="s">
        <v>652</v>
      </c>
      <c r="C201" s="27" t="s">
        <v>653</v>
      </c>
      <c r="D201" s="27" t="s">
        <v>654</v>
      </c>
      <c r="E201" s="28" t="s">
        <v>46</v>
      </c>
      <c r="F201" s="29" t="s">
        <v>46</v>
      </c>
      <c r="G201" s="30" t="s">
        <v>46</v>
      </c>
      <c r="H201" s="31"/>
      <c r="I201" s="31" t="s">
        <v>428</v>
      </c>
      <c r="J201" s="32" t="n">
        <v>1.0</v>
      </c>
      <c r="K201" s="33" t="n">
        <f>17665</f>
        <v>17665.0</v>
      </c>
      <c r="L201" s="34" t="s">
        <v>48</v>
      </c>
      <c r="M201" s="33" t="n">
        <f>18435</f>
        <v>18435.0</v>
      </c>
      <c r="N201" s="34" t="s">
        <v>64</v>
      </c>
      <c r="O201" s="33" t="n">
        <f>17395</f>
        <v>17395.0</v>
      </c>
      <c r="P201" s="34" t="s">
        <v>51</v>
      </c>
      <c r="Q201" s="33" t="n">
        <f>17395</f>
        <v>17395.0</v>
      </c>
      <c r="R201" s="34" t="s">
        <v>51</v>
      </c>
      <c r="S201" s="35" t="n">
        <f>17910.56</f>
        <v>17910.56</v>
      </c>
      <c r="T201" s="32" t="n">
        <f>307</f>
        <v>307.0</v>
      </c>
      <c r="U201" s="32" t="str">
        <f>"－"</f>
        <v>－</v>
      </c>
      <c r="V201" s="32" t="n">
        <f>5485915</f>
        <v>5485915.0</v>
      </c>
      <c r="W201" s="32" t="str">
        <f>"－"</f>
        <v>－</v>
      </c>
      <c r="X201" s="36" t="n">
        <f>18</f>
        <v>18.0</v>
      </c>
    </row>
    <row r="202">
      <c r="A202" s="27" t="s">
        <v>42</v>
      </c>
      <c r="B202" s="27" t="s">
        <v>655</v>
      </c>
      <c r="C202" s="27" t="s">
        <v>656</v>
      </c>
      <c r="D202" s="27" t="s">
        <v>657</v>
      </c>
      <c r="E202" s="28" t="s">
        <v>46</v>
      </c>
      <c r="F202" s="29" t="s">
        <v>46</v>
      </c>
      <c r="G202" s="30" t="s">
        <v>46</v>
      </c>
      <c r="H202" s="31"/>
      <c r="I202" s="31" t="s">
        <v>428</v>
      </c>
      <c r="J202" s="32" t="n">
        <v>1.0</v>
      </c>
      <c r="K202" s="33" t="n">
        <f>35610</f>
        <v>35610.0</v>
      </c>
      <c r="L202" s="34" t="s">
        <v>48</v>
      </c>
      <c r="M202" s="33" t="n">
        <f>36270</f>
        <v>36270.0</v>
      </c>
      <c r="N202" s="34" t="s">
        <v>48</v>
      </c>
      <c r="O202" s="33" t="n">
        <f>32340</f>
        <v>32340.0</v>
      </c>
      <c r="P202" s="34" t="s">
        <v>56</v>
      </c>
      <c r="Q202" s="33" t="n">
        <f>33300</f>
        <v>33300.0</v>
      </c>
      <c r="R202" s="34" t="s">
        <v>51</v>
      </c>
      <c r="S202" s="35" t="n">
        <f>34228.64</f>
        <v>34228.64</v>
      </c>
      <c r="T202" s="32" t="n">
        <f>54095</f>
        <v>54095.0</v>
      </c>
      <c r="U202" s="32" t="n">
        <f>9</f>
        <v>9.0</v>
      </c>
      <c r="V202" s="32" t="n">
        <f>1846831460</f>
        <v>1.84683146E9</v>
      </c>
      <c r="W202" s="32" t="n">
        <f>300970</f>
        <v>300970.0</v>
      </c>
      <c r="X202" s="36" t="n">
        <f>22</f>
        <v>22.0</v>
      </c>
    </row>
    <row r="203">
      <c r="A203" s="27" t="s">
        <v>42</v>
      </c>
      <c r="B203" s="27" t="s">
        <v>658</v>
      </c>
      <c r="C203" s="27" t="s">
        <v>659</v>
      </c>
      <c r="D203" s="27" t="s">
        <v>660</v>
      </c>
      <c r="E203" s="28" t="s">
        <v>46</v>
      </c>
      <c r="F203" s="29" t="s">
        <v>46</v>
      </c>
      <c r="G203" s="30" t="s">
        <v>46</v>
      </c>
      <c r="H203" s="31"/>
      <c r="I203" s="31" t="s">
        <v>428</v>
      </c>
      <c r="J203" s="32" t="n">
        <v>1.0</v>
      </c>
      <c r="K203" s="33" t="n">
        <f>3255</f>
        <v>3255.0</v>
      </c>
      <c r="L203" s="34" t="s">
        <v>48</v>
      </c>
      <c r="M203" s="33" t="n">
        <f>3695</f>
        <v>3695.0</v>
      </c>
      <c r="N203" s="34" t="s">
        <v>50</v>
      </c>
      <c r="O203" s="33" t="n">
        <f>3115</f>
        <v>3115.0</v>
      </c>
      <c r="P203" s="34" t="s">
        <v>48</v>
      </c>
      <c r="Q203" s="33" t="n">
        <f>3655</f>
        <v>3655.0</v>
      </c>
      <c r="R203" s="34" t="s">
        <v>51</v>
      </c>
      <c r="S203" s="35" t="n">
        <f>3447.5</f>
        <v>3447.5</v>
      </c>
      <c r="T203" s="32" t="n">
        <f>8594</f>
        <v>8594.0</v>
      </c>
      <c r="U203" s="32" t="str">
        <f>"－"</f>
        <v>－</v>
      </c>
      <c r="V203" s="32" t="n">
        <f>29897995</f>
        <v>2.9897995E7</v>
      </c>
      <c r="W203" s="32" t="str">
        <f>"－"</f>
        <v>－</v>
      </c>
      <c r="X203" s="36" t="n">
        <f>22</f>
        <v>22.0</v>
      </c>
    </row>
    <row r="204">
      <c r="A204" s="27" t="s">
        <v>42</v>
      </c>
      <c r="B204" s="27" t="s">
        <v>661</v>
      </c>
      <c r="C204" s="27" t="s">
        <v>662</v>
      </c>
      <c r="D204" s="27" t="s">
        <v>663</v>
      </c>
      <c r="E204" s="28" t="s">
        <v>46</v>
      </c>
      <c r="F204" s="29" t="s">
        <v>46</v>
      </c>
      <c r="G204" s="30" t="s">
        <v>46</v>
      </c>
      <c r="H204" s="31"/>
      <c r="I204" s="31" t="s">
        <v>428</v>
      </c>
      <c r="J204" s="32" t="n">
        <v>1.0</v>
      </c>
      <c r="K204" s="33" t="n">
        <f>28300</f>
        <v>28300.0</v>
      </c>
      <c r="L204" s="34" t="s">
        <v>48</v>
      </c>
      <c r="M204" s="33" t="n">
        <f>30610</f>
        <v>30610.0</v>
      </c>
      <c r="N204" s="34" t="s">
        <v>51</v>
      </c>
      <c r="O204" s="33" t="n">
        <f>28300</f>
        <v>28300.0</v>
      </c>
      <c r="P204" s="34" t="s">
        <v>48</v>
      </c>
      <c r="Q204" s="33" t="n">
        <f>30350</f>
        <v>30350.0</v>
      </c>
      <c r="R204" s="34" t="s">
        <v>51</v>
      </c>
      <c r="S204" s="35" t="n">
        <f>29738.24</f>
        <v>29738.24</v>
      </c>
      <c r="T204" s="32" t="n">
        <f>3391</f>
        <v>3391.0</v>
      </c>
      <c r="U204" s="32" t="str">
        <f>"－"</f>
        <v>－</v>
      </c>
      <c r="V204" s="32" t="n">
        <f>101283905</f>
        <v>1.01283905E8</v>
      </c>
      <c r="W204" s="32" t="str">
        <f>"－"</f>
        <v>－</v>
      </c>
      <c r="X204" s="36" t="n">
        <f>17</f>
        <v>17.0</v>
      </c>
    </row>
    <row r="205">
      <c r="A205" s="27" t="s">
        <v>42</v>
      </c>
      <c r="B205" s="27" t="s">
        <v>664</v>
      </c>
      <c r="C205" s="27" t="s">
        <v>665</v>
      </c>
      <c r="D205" s="27" t="s">
        <v>666</v>
      </c>
      <c r="E205" s="28" t="s">
        <v>46</v>
      </c>
      <c r="F205" s="29" t="s">
        <v>46</v>
      </c>
      <c r="G205" s="30" t="s">
        <v>46</v>
      </c>
      <c r="H205" s="31"/>
      <c r="I205" s="31" t="s">
        <v>428</v>
      </c>
      <c r="J205" s="32" t="n">
        <v>1.0</v>
      </c>
      <c r="K205" s="33" t="n">
        <f>19505</f>
        <v>19505.0</v>
      </c>
      <c r="L205" s="34" t="s">
        <v>72</v>
      </c>
      <c r="M205" s="33" t="n">
        <f>19555</f>
        <v>19555.0</v>
      </c>
      <c r="N205" s="34" t="s">
        <v>64</v>
      </c>
      <c r="O205" s="33" t="n">
        <f>18955</f>
        <v>18955.0</v>
      </c>
      <c r="P205" s="34" t="s">
        <v>60</v>
      </c>
      <c r="Q205" s="33" t="n">
        <f>18955</f>
        <v>18955.0</v>
      </c>
      <c r="R205" s="34" t="s">
        <v>60</v>
      </c>
      <c r="S205" s="35" t="n">
        <f>19365</f>
        <v>19365.0</v>
      </c>
      <c r="T205" s="32" t="n">
        <f>10</f>
        <v>10.0</v>
      </c>
      <c r="U205" s="32" t="str">
        <f>"－"</f>
        <v>－</v>
      </c>
      <c r="V205" s="32" t="n">
        <f>193390</f>
        <v>193390.0</v>
      </c>
      <c r="W205" s="32" t="str">
        <f>"－"</f>
        <v>－</v>
      </c>
      <c r="X205" s="36" t="n">
        <f>4</f>
        <v>4.0</v>
      </c>
    </row>
    <row r="206">
      <c r="A206" s="27" t="s">
        <v>42</v>
      </c>
      <c r="B206" s="27" t="s">
        <v>667</v>
      </c>
      <c r="C206" s="27" t="s">
        <v>668</v>
      </c>
      <c r="D206" s="27" t="s">
        <v>669</v>
      </c>
      <c r="E206" s="28" t="s">
        <v>46</v>
      </c>
      <c r="F206" s="29" t="s">
        <v>46</v>
      </c>
      <c r="G206" s="30" t="s">
        <v>46</v>
      </c>
      <c r="H206" s="31"/>
      <c r="I206" s="31" t="s">
        <v>428</v>
      </c>
      <c r="J206" s="32" t="n">
        <v>1.0</v>
      </c>
      <c r="K206" s="33" t="n">
        <f>32460</f>
        <v>32460.0</v>
      </c>
      <c r="L206" s="34" t="s">
        <v>48</v>
      </c>
      <c r="M206" s="33" t="n">
        <f>35000</f>
        <v>35000.0</v>
      </c>
      <c r="N206" s="34" t="s">
        <v>50</v>
      </c>
      <c r="O206" s="33" t="n">
        <f>32450</f>
        <v>32450.0</v>
      </c>
      <c r="P206" s="34" t="s">
        <v>72</v>
      </c>
      <c r="Q206" s="33" t="n">
        <f>35000</f>
        <v>35000.0</v>
      </c>
      <c r="R206" s="34" t="s">
        <v>49</v>
      </c>
      <c r="S206" s="35" t="n">
        <f>33980.71</f>
        <v>33980.71</v>
      </c>
      <c r="T206" s="32" t="n">
        <f>282</f>
        <v>282.0</v>
      </c>
      <c r="U206" s="32" t="str">
        <f>"－"</f>
        <v>－</v>
      </c>
      <c r="V206" s="32" t="n">
        <f>9555150</f>
        <v>9555150.0</v>
      </c>
      <c r="W206" s="32" t="str">
        <f>"－"</f>
        <v>－</v>
      </c>
      <c r="X206" s="36" t="n">
        <f>14</f>
        <v>14.0</v>
      </c>
    </row>
    <row r="207">
      <c r="A207" s="27" t="s">
        <v>42</v>
      </c>
      <c r="B207" s="27" t="s">
        <v>670</v>
      </c>
      <c r="C207" s="27" t="s">
        <v>671</v>
      </c>
      <c r="D207" s="27" t="s">
        <v>672</v>
      </c>
      <c r="E207" s="28" t="s">
        <v>46</v>
      </c>
      <c r="F207" s="29" t="s">
        <v>46</v>
      </c>
      <c r="G207" s="30" t="s">
        <v>46</v>
      </c>
      <c r="H207" s="31"/>
      <c r="I207" s="31" t="s">
        <v>428</v>
      </c>
      <c r="J207" s="32" t="n">
        <v>1.0</v>
      </c>
      <c r="K207" s="33" t="n">
        <f>18290</f>
        <v>18290.0</v>
      </c>
      <c r="L207" s="34" t="s">
        <v>48</v>
      </c>
      <c r="M207" s="33" t="n">
        <f>19400</f>
        <v>19400.0</v>
      </c>
      <c r="N207" s="34" t="s">
        <v>60</v>
      </c>
      <c r="O207" s="33" t="n">
        <f>18290</f>
        <v>18290.0</v>
      </c>
      <c r="P207" s="34" t="s">
        <v>48</v>
      </c>
      <c r="Q207" s="33" t="n">
        <f>19290</f>
        <v>19290.0</v>
      </c>
      <c r="R207" s="34" t="s">
        <v>50</v>
      </c>
      <c r="S207" s="35" t="n">
        <f>18851.25</f>
        <v>18851.25</v>
      </c>
      <c r="T207" s="32" t="n">
        <f>1145</f>
        <v>1145.0</v>
      </c>
      <c r="U207" s="32" t="str">
        <f>"－"</f>
        <v>－</v>
      </c>
      <c r="V207" s="32" t="n">
        <f>22140965</f>
        <v>2.2140965E7</v>
      </c>
      <c r="W207" s="32" t="str">
        <f>"－"</f>
        <v>－</v>
      </c>
      <c r="X207" s="36" t="n">
        <f>4</f>
        <v>4.0</v>
      </c>
    </row>
    <row r="208">
      <c r="A208" s="27" t="s">
        <v>42</v>
      </c>
      <c r="B208" s="27" t="s">
        <v>673</v>
      </c>
      <c r="C208" s="27" t="s">
        <v>674</v>
      </c>
      <c r="D208" s="27" t="s">
        <v>675</v>
      </c>
      <c r="E208" s="28" t="s">
        <v>46</v>
      </c>
      <c r="F208" s="29" t="s">
        <v>46</v>
      </c>
      <c r="G208" s="30" t="s">
        <v>46</v>
      </c>
      <c r="H208" s="31"/>
      <c r="I208" s="31" t="s">
        <v>428</v>
      </c>
      <c r="J208" s="32" t="n">
        <v>1.0</v>
      </c>
      <c r="K208" s="33" t="n">
        <f>19170</f>
        <v>19170.0</v>
      </c>
      <c r="L208" s="34" t="s">
        <v>48</v>
      </c>
      <c r="M208" s="33" t="n">
        <f>19805</f>
        <v>19805.0</v>
      </c>
      <c r="N208" s="34" t="s">
        <v>55</v>
      </c>
      <c r="O208" s="33" t="n">
        <f>18825</f>
        <v>18825.0</v>
      </c>
      <c r="P208" s="34" t="s">
        <v>56</v>
      </c>
      <c r="Q208" s="33" t="n">
        <f>19325</f>
        <v>19325.0</v>
      </c>
      <c r="R208" s="34" t="s">
        <v>51</v>
      </c>
      <c r="S208" s="35" t="n">
        <f>19411.05</f>
        <v>19411.05</v>
      </c>
      <c r="T208" s="32" t="n">
        <f>675</f>
        <v>675.0</v>
      </c>
      <c r="U208" s="32" t="str">
        <f>"－"</f>
        <v>－</v>
      </c>
      <c r="V208" s="32" t="n">
        <f>13066350</f>
        <v>1.306635E7</v>
      </c>
      <c r="W208" s="32" t="str">
        <f>"－"</f>
        <v>－</v>
      </c>
      <c r="X208" s="36" t="n">
        <f>19</f>
        <v>19.0</v>
      </c>
    </row>
    <row r="209">
      <c r="A209" s="27" t="s">
        <v>42</v>
      </c>
      <c r="B209" s="27" t="s">
        <v>676</v>
      </c>
      <c r="C209" s="27" t="s">
        <v>677</v>
      </c>
      <c r="D209" s="27" t="s">
        <v>678</v>
      </c>
      <c r="E209" s="28" t="s">
        <v>46</v>
      </c>
      <c r="F209" s="29" t="s">
        <v>46</v>
      </c>
      <c r="G209" s="30" t="s">
        <v>46</v>
      </c>
      <c r="H209" s="31"/>
      <c r="I209" s="31" t="s">
        <v>428</v>
      </c>
      <c r="J209" s="32" t="n">
        <v>1.0</v>
      </c>
      <c r="K209" s="33" t="n">
        <f>22995</f>
        <v>22995.0</v>
      </c>
      <c r="L209" s="34" t="s">
        <v>48</v>
      </c>
      <c r="M209" s="33" t="n">
        <f>22995</f>
        <v>22995.0</v>
      </c>
      <c r="N209" s="34" t="s">
        <v>48</v>
      </c>
      <c r="O209" s="33" t="n">
        <f>22370</f>
        <v>22370.0</v>
      </c>
      <c r="P209" s="34" t="s">
        <v>60</v>
      </c>
      <c r="Q209" s="33" t="n">
        <f>22985</f>
        <v>22985.0</v>
      </c>
      <c r="R209" s="34" t="s">
        <v>219</v>
      </c>
      <c r="S209" s="35" t="n">
        <f>22783.33</f>
        <v>22783.33</v>
      </c>
      <c r="T209" s="32" t="n">
        <f>20</f>
        <v>20.0</v>
      </c>
      <c r="U209" s="32" t="str">
        <f>"－"</f>
        <v>－</v>
      </c>
      <c r="V209" s="32" t="n">
        <f>454175</f>
        <v>454175.0</v>
      </c>
      <c r="W209" s="32" t="str">
        <f>"－"</f>
        <v>－</v>
      </c>
      <c r="X209" s="36" t="n">
        <f>3</f>
        <v>3.0</v>
      </c>
    </row>
    <row r="210">
      <c r="A210" s="27" t="s">
        <v>42</v>
      </c>
      <c r="B210" s="27" t="s">
        <v>679</v>
      </c>
      <c r="C210" s="27" t="s">
        <v>680</v>
      </c>
      <c r="D210" s="27" t="s">
        <v>681</v>
      </c>
      <c r="E210" s="28" t="s">
        <v>46</v>
      </c>
      <c r="F210" s="29" t="s">
        <v>46</v>
      </c>
      <c r="G210" s="30" t="s">
        <v>46</v>
      </c>
      <c r="H210" s="31"/>
      <c r="I210" s="31" t="s">
        <v>428</v>
      </c>
      <c r="J210" s="32" t="n">
        <v>1.0</v>
      </c>
      <c r="K210" s="33" t="n">
        <f>17990</f>
        <v>17990.0</v>
      </c>
      <c r="L210" s="34" t="s">
        <v>64</v>
      </c>
      <c r="M210" s="33" t="n">
        <f>17990</f>
        <v>17990.0</v>
      </c>
      <c r="N210" s="34" t="s">
        <v>64</v>
      </c>
      <c r="O210" s="33" t="n">
        <f>17990</f>
        <v>17990.0</v>
      </c>
      <c r="P210" s="34" t="s">
        <v>64</v>
      </c>
      <c r="Q210" s="33" t="n">
        <f>17990</f>
        <v>17990.0</v>
      </c>
      <c r="R210" s="34" t="s">
        <v>64</v>
      </c>
      <c r="S210" s="35" t="n">
        <f>17990</f>
        <v>17990.0</v>
      </c>
      <c r="T210" s="32" t="n">
        <f>1</f>
        <v>1.0</v>
      </c>
      <c r="U210" s="32" t="str">
        <f>"－"</f>
        <v>－</v>
      </c>
      <c r="V210" s="32" t="n">
        <f>17990</f>
        <v>17990.0</v>
      </c>
      <c r="W210" s="32" t="str">
        <f>"－"</f>
        <v>－</v>
      </c>
      <c r="X210" s="36" t="n">
        <f>1</f>
        <v>1.0</v>
      </c>
    </row>
    <row r="211">
      <c r="A211" s="27" t="s">
        <v>42</v>
      </c>
      <c r="B211" s="27" t="s">
        <v>682</v>
      </c>
      <c r="C211" s="27" t="s">
        <v>683</v>
      </c>
      <c r="D211" s="27" t="s">
        <v>684</v>
      </c>
      <c r="E211" s="28" t="s">
        <v>46</v>
      </c>
      <c r="F211" s="29" t="s">
        <v>46</v>
      </c>
      <c r="G211" s="30" t="s">
        <v>46</v>
      </c>
      <c r="H211" s="31"/>
      <c r="I211" s="31" t="s">
        <v>428</v>
      </c>
      <c r="J211" s="32" t="n">
        <v>1.0</v>
      </c>
      <c r="K211" s="33" t="n">
        <f>12090</f>
        <v>12090.0</v>
      </c>
      <c r="L211" s="34" t="s">
        <v>64</v>
      </c>
      <c r="M211" s="33" t="n">
        <f>12340</f>
        <v>12340.0</v>
      </c>
      <c r="N211" s="34" t="s">
        <v>194</v>
      </c>
      <c r="O211" s="33" t="n">
        <f>11920</f>
        <v>11920.0</v>
      </c>
      <c r="P211" s="34" t="s">
        <v>60</v>
      </c>
      <c r="Q211" s="33" t="n">
        <f>12110</f>
        <v>12110.0</v>
      </c>
      <c r="R211" s="34" t="s">
        <v>51</v>
      </c>
      <c r="S211" s="35" t="n">
        <f>12150</f>
        <v>12150.0</v>
      </c>
      <c r="T211" s="32" t="n">
        <f>3381</f>
        <v>3381.0</v>
      </c>
      <c r="U211" s="32" t="str">
        <f>"－"</f>
        <v>－</v>
      </c>
      <c r="V211" s="32" t="n">
        <f>41432035</f>
        <v>4.1432035E7</v>
      </c>
      <c r="W211" s="32" t="str">
        <f>"－"</f>
        <v>－</v>
      </c>
      <c r="X211" s="36" t="n">
        <f>11</f>
        <v>11.0</v>
      </c>
    </row>
    <row r="212">
      <c r="A212" s="27" t="s">
        <v>42</v>
      </c>
      <c r="B212" s="27" t="s">
        <v>685</v>
      </c>
      <c r="C212" s="27" t="s">
        <v>686</v>
      </c>
      <c r="D212" s="27" t="s">
        <v>687</v>
      </c>
      <c r="E212" s="28" t="s">
        <v>46</v>
      </c>
      <c r="F212" s="29" t="s">
        <v>46</v>
      </c>
      <c r="G212" s="30" t="s">
        <v>46</v>
      </c>
      <c r="H212" s="31"/>
      <c r="I212" s="31" t="s">
        <v>428</v>
      </c>
      <c r="J212" s="32" t="n">
        <v>1.0</v>
      </c>
      <c r="K212" s="33" t="n">
        <f>14555</f>
        <v>14555.0</v>
      </c>
      <c r="L212" s="34" t="s">
        <v>48</v>
      </c>
      <c r="M212" s="33" t="n">
        <f>14855</f>
        <v>14855.0</v>
      </c>
      <c r="N212" s="34" t="s">
        <v>55</v>
      </c>
      <c r="O212" s="33" t="n">
        <f>13990</f>
        <v>13990.0</v>
      </c>
      <c r="P212" s="34" t="s">
        <v>60</v>
      </c>
      <c r="Q212" s="33" t="n">
        <f>14335</f>
        <v>14335.0</v>
      </c>
      <c r="R212" s="34" t="s">
        <v>51</v>
      </c>
      <c r="S212" s="35" t="n">
        <f>14451.94</f>
        <v>14451.94</v>
      </c>
      <c r="T212" s="32" t="n">
        <f>11993</f>
        <v>11993.0</v>
      </c>
      <c r="U212" s="32" t="str">
        <f>"－"</f>
        <v>－</v>
      </c>
      <c r="V212" s="32" t="n">
        <f>173209800</f>
        <v>1.732098E8</v>
      </c>
      <c r="W212" s="32" t="str">
        <f>"－"</f>
        <v>－</v>
      </c>
      <c r="X212" s="36" t="n">
        <f>18</f>
        <v>18.0</v>
      </c>
    </row>
    <row r="213">
      <c r="A213" s="27" t="s">
        <v>42</v>
      </c>
      <c r="B213" s="27" t="s">
        <v>688</v>
      </c>
      <c r="C213" s="27" t="s">
        <v>689</v>
      </c>
      <c r="D213" s="27" t="s">
        <v>690</v>
      </c>
      <c r="E213" s="28" t="s">
        <v>46</v>
      </c>
      <c r="F213" s="29" t="s">
        <v>46</v>
      </c>
      <c r="G213" s="30" t="s">
        <v>46</v>
      </c>
      <c r="H213" s="31"/>
      <c r="I213" s="31" t="s">
        <v>428</v>
      </c>
      <c r="J213" s="32" t="n">
        <v>1.0</v>
      </c>
      <c r="K213" s="33" t="n">
        <f>12810</f>
        <v>12810.0</v>
      </c>
      <c r="L213" s="34" t="s">
        <v>72</v>
      </c>
      <c r="M213" s="33" t="n">
        <f>13035</f>
        <v>13035.0</v>
      </c>
      <c r="N213" s="34" t="s">
        <v>76</v>
      </c>
      <c r="O213" s="33" t="n">
        <f>12460</f>
        <v>12460.0</v>
      </c>
      <c r="P213" s="34" t="s">
        <v>56</v>
      </c>
      <c r="Q213" s="33" t="n">
        <f>12840</f>
        <v>12840.0</v>
      </c>
      <c r="R213" s="34" t="s">
        <v>51</v>
      </c>
      <c r="S213" s="35" t="n">
        <f>12859</f>
        <v>12859.0</v>
      </c>
      <c r="T213" s="32" t="n">
        <f>308</f>
        <v>308.0</v>
      </c>
      <c r="U213" s="32" t="str">
        <f>"－"</f>
        <v>－</v>
      </c>
      <c r="V213" s="32" t="n">
        <f>3892200</f>
        <v>3892200.0</v>
      </c>
      <c r="W213" s="32" t="str">
        <f>"－"</f>
        <v>－</v>
      </c>
      <c r="X213" s="36" t="n">
        <f>10</f>
        <v>10.0</v>
      </c>
    </row>
    <row r="214">
      <c r="A214" s="27" t="s">
        <v>42</v>
      </c>
      <c r="B214" s="27" t="s">
        <v>691</v>
      </c>
      <c r="C214" s="27" t="s">
        <v>692</v>
      </c>
      <c r="D214" s="27" t="s">
        <v>693</v>
      </c>
      <c r="E214" s="28" t="s">
        <v>46</v>
      </c>
      <c r="F214" s="29" t="s">
        <v>46</v>
      </c>
      <c r="G214" s="30" t="s">
        <v>46</v>
      </c>
      <c r="H214" s="31"/>
      <c r="I214" s="31" t="s">
        <v>428</v>
      </c>
      <c r="J214" s="32" t="n">
        <v>1.0</v>
      </c>
      <c r="K214" s="33" t="n">
        <f>13180</f>
        <v>13180.0</v>
      </c>
      <c r="L214" s="34" t="s">
        <v>64</v>
      </c>
      <c r="M214" s="33" t="n">
        <f>13430</f>
        <v>13430.0</v>
      </c>
      <c r="N214" s="34" t="s">
        <v>260</v>
      </c>
      <c r="O214" s="33" t="n">
        <f>12820</f>
        <v>12820.0</v>
      </c>
      <c r="P214" s="34" t="s">
        <v>60</v>
      </c>
      <c r="Q214" s="33" t="n">
        <f>12820</f>
        <v>12820.0</v>
      </c>
      <c r="R214" s="34" t="s">
        <v>60</v>
      </c>
      <c r="S214" s="35" t="n">
        <f>13209</f>
        <v>13209.0</v>
      </c>
      <c r="T214" s="32" t="n">
        <f>331</f>
        <v>331.0</v>
      </c>
      <c r="U214" s="32" t="str">
        <f>"－"</f>
        <v>－</v>
      </c>
      <c r="V214" s="32" t="n">
        <f>4375970</f>
        <v>4375970.0</v>
      </c>
      <c r="W214" s="32" t="str">
        <f>"－"</f>
        <v>－</v>
      </c>
      <c r="X214" s="36" t="n">
        <f>5</f>
        <v>5.0</v>
      </c>
    </row>
    <row r="215">
      <c r="A215" s="27" t="s">
        <v>42</v>
      </c>
      <c r="B215" s="27" t="s">
        <v>694</v>
      </c>
      <c r="C215" s="27" t="s">
        <v>695</v>
      </c>
      <c r="D215" s="27" t="s">
        <v>696</v>
      </c>
      <c r="E215" s="28" t="s">
        <v>46</v>
      </c>
      <c r="F215" s="29" t="s">
        <v>46</v>
      </c>
      <c r="G215" s="30" t="s">
        <v>46</v>
      </c>
      <c r="H215" s="31"/>
      <c r="I215" s="31" t="s">
        <v>47</v>
      </c>
      <c r="J215" s="32" t="n">
        <v>1.0</v>
      </c>
      <c r="K215" s="33" t="n">
        <f>1123</f>
        <v>1123.0</v>
      </c>
      <c r="L215" s="34" t="s">
        <v>48</v>
      </c>
      <c r="M215" s="33" t="n">
        <f>1160</f>
        <v>1160.0</v>
      </c>
      <c r="N215" s="34" t="s">
        <v>55</v>
      </c>
      <c r="O215" s="33" t="n">
        <f>1096</f>
        <v>1096.0</v>
      </c>
      <c r="P215" s="34" t="s">
        <v>50</v>
      </c>
      <c r="Q215" s="33" t="n">
        <f>1136</f>
        <v>1136.0</v>
      </c>
      <c r="R215" s="34" t="s">
        <v>51</v>
      </c>
      <c r="S215" s="35" t="n">
        <f>1130.45</f>
        <v>1130.45</v>
      </c>
      <c r="T215" s="32" t="n">
        <f>1187633</f>
        <v>1187633.0</v>
      </c>
      <c r="U215" s="32" t="n">
        <f>45420</f>
        <v>45420.0</v>
      </c>
      <c r="V215" s="32" t="n">
        <f>1344284533</f>
        <v>1.344284533E9</v>
      </c>
      <c r="W215" s="32" t="n">
        <f>51184580</f>
        <v>5.118458E7</v>
      </c>
      <c r="X215" s="36" t="n">
        <f>22</f>
        <v>22.0</v>
      </c>
    </row>
    <row r="216">
      <c r="A216" s="27" t="s">
        <v>42</v>
      </c>
      <c r="B216" s="27" t="s">
        <v>697</v>
      </c>
      <c r="C216" s="27" t="s">
        <v>698</v>
      </c>
      <c r="D216" s="27" t="s">
        <v>699</v>
      </c>
      <c r="E216" s="28" t="s">
        <v>46</v>
      </c>
      <c r="F216" s="29" t="s">
        <v>46</v>
      </c>
      <c r="G216" s="30" t="s">
        <v>46</v>
      </c>
      <c r="H216" s="31"/>
      <c r="I216" s="31" t="s">
        <v>47</v>
      </c>
      <c r="J216" s="32" t="n">
        <v>1.0</v>
      </c>
      <c r="K216" s="33" t="n">
        <f>1180</f>
        <v>1180.0</v>
      </c>
      <c r="L216" s="34" t="s">
        <v>48</v>
      </c>
      <c r="M216" s="33" t="n">
        <f>1215</f>
        <v>1215.0</v>
      </c>
      <c r="N216" s="34" t="s">
        <v>55</v>
      </c>
      <c r="O216" s="33" t="n">
        <f>1142</f>
        <v>1142.0</v>
      </c>
      <c r="P216" s="34" t="s">
        <v>51</v>
      </c>
      <c r="Q216" s="33" t="n">
        <f>1142</f>
        <v>1142.0</v>
      </c>
      <c r="R216" s="34" t="s">
        <v>51</v>
      </c>
      <c r="S216" s="35" t="n">
        <f>1176.68</f>
        <v>1176.68</v>
      </c>
      <c r="T216" s="32" t="n">
        <f>128248</f>
        <v>128248.0</v>
      </c>
      <c r="U216" s="32" t="str">
        <f>"－"</f>
        <v>－</v>
      </c>
      <c r="V216" s="32" t="n">
        <f>150915468</f>
        <v>1.50915468E8</v>
      </c>
      <c r="W216" s="32" t="str">
        <f>"－"</f>
        <v>－</v>
      </c>
      <c r="X216" s="36" t="n">
        <f>22</f>
        <v>22.0</v>
      </c>
    </row>
    <row r="217">
      <c r="A217" s="27" t="s">
        <v>42</v>
      </c>
      <c r="B217" s="27" t="s">
        <v>700</v>
      </c>
      <c r="C217" s="27" t="s">
        <v>701</v>
      </c>
      <c r="D217" s="27" t="s">
        <v>702</v>
      </c>
      <c r="E217" s="28" t="s">
        <v>46</v>
      </c>
      <c r="F217" s="29" t="s">
        <v>46</v>
      </c>
      <c r="G217" s="30" t="s">
        <v>46</v>
      </c>
      <c r="H217" s="31"/>
      <c r="I217" s="31" t="s">
        <v>47</v>
      </c>
      <c r="J217" s="32" t="n">
        <v>1.0</v>
      </c>
      <c r="K217" s="33" t="n">
        <f>1063</f>
        <v>1063.0</v>
      </c>
      <c r="L217" s="34" t="s">
        <v>48</v>
      </c>
      <c r="M217" s="33" t="n">
        <f>1069</f>
        <v>1069.0</v>
      </c>
      <c r="N217" s="34" t="s">
        <v>76</v>
      </c>
      <c r="O217" s="33" t="n">
        <f>1004</f>
        <v>1004.0</v>
      </c>
      <c r="P217" s="34" t="s">
        <v>50</v>
      </c>
      <c r="Q217" s="33" t="n">
        <f>1038</f>
        <v>1038.0</v>
      </c>
      <c r="R217" s="34" t="s">
        <v>51</v>
      </c>
      <c r="S217" s="35" t="n">
        <f>1039.18</f>
        <v>1039.18</v>
      </c>
      <c r="T217" s="32" t="n">
        <f>13507</f>
        <v>13507.0</v>
      </c>
      <c r="U217" s="32" t="str">
        <f>"－"</f>
        <v>－</v>
      </c>
      <c r="V217" s="32" t="n">
        <f>13846404</f>
        <v>1.3846404E7</v>
      </c>
      <c r="W217" s="32" t="str">
        <f>"－"</f>
        <v>－</v>
      </c>
      <c r="X217" s="36" t="n">
        <f>22</f>
        <v>22.0</v>
      </c>
    </row>
    <row r="218">
      <c r="A218" s="27" t="s">
        <v>42</v>
      </c>
      <c r="B218" s="27" t="s">
        <v>703</v>
      </c>
      <c r="C218" s="27" t="s">
        <v>704</v>
      </c>
      <c r="D218" s="27" t="s">
        <v>705</v>
      </c>
      <c r="E218" s="28" t="s">
        <v>46</v>
      </c>
      <c r="F218" s="29" t="s">
        <v>46</v>
      </c>
      <c r="G218" s="30" t="s">
        <v>46</v>
      </c>
      <c r="H218" s="31"/>
      <c r="I218" s="31" t="s">
        <v>47</v>
      </c>
      <c r="J218" s="32" t="n">
        <v>1.0</v>
      </c>
      <c r="K218" s="33" t="n">
        <f>2187</f>
        <v>2187.0</v>
      </c>
      <c r="L218" s="34" t="s">
        <v>48</v>
      </c>
      <c r="M218" s="33" t="n">
        <f>2254</f>
        <v>2254.0</v>
      </c>
      <c r="N218" s="34" t="s">
        <v>55</v>
      </c>
      <c r="O218" s="33" t="n">
        <f>2113</f>
        <v>2113.0</v>
      </c>
      <c r="P218" s="34" t="s">
        <v>56</v>
      </c>
      <c r="Q218" s="33" t="n">
        <f>2200</f>
        <v>2200.0</v>
      </c>
      <c r="R218" s="34" t="s">
        <v>51</v>
      </c>
      <c r="S218" s="35" t="n">
        <f>2188.18</f>
        <v>2188.18</v>
      </c>
      <c r="T218" s="32" t="n">
        <f>243905</f>
        <v>243905.0</v>
      </c>
      <c r="U218" s="32" t="str">
        <f>"－"</f>
        <v>－</v>
      </c>
      <c r="V218" s="32" t="n">
        <f>535504861</f>
        <v>5.35504861E8</v>
      </c>
      <c r="W218" s="32" t="str">
        <f>"－"</f>
        <v>－</v>
      </c>
      <c r="X218" s="36" t="n">
        <f>22</f>
        <v>22.0</v>
      </c>
    </row>
    <row r="219">
      <c r="A219" s="27" t="s">
        <v>42</v>
      </c>
      <c r="B219" s="27" t="s">
        <v>706</v>
      </c>
      <c r="C219" s="27" t="s">
        <v>707</v>
      </c>
      <c r="D219" s="27" t="s">
        <v>708</v>
      </c>
      <c r="E219" s="28" t="s">
        <v>46</v>
      </c>
      <c r="F219" s="29" t="s">
        <v>46</v>
      </c>
      <c r="G219" s="30" t="s">
        <v>46</v>
      </c>
      <c r="H219" s="31"/>
      <c r="I219" s="31" t="s">
        <v>47</v>
      </c>
      <c r="J219" s="32" t="n">
        <v>1.0</v>
      </c>
      <c r="K219" s="33" t="n">
        <f>2262</f>
        <v>2262.0</v>
      </c>
      <c r="L219" s="34" t="s">
        <v>48</v>
      </c>
      <c r="M219" s="33" t="n">
        <f>2322</f>
        <v>2322.0</v>
      </c>
      <c r="N219" s="34" t="s">
        <v>64</v>
      </c>
      <c r="O219" s="33" t="n">
        <f>2190</f>
        <v>2190.0</v>
      </c>
      <c r="P219" s="34" t="s">
        <v>50</v>
      </c>
      <c r="Q219" s="33" t="n">
        <f>2273</f>
        <v>2273.0</v>
      </c>
      <c r="R219" s="34" t="s">
        <v>51</v>
      </c>
      <c r="S219" s="35" t="n">
        <f>2262.32</f>
        <v>2262.32</v>
      </c>
      <c r="T219" s="32" t="n">
        <f>788644</f>
        <v>788644.0</v>
      </c>
      <c r="U219" s="32" t="n">
        <f>115430</f>
        <v>115430.0</v>
      </c>
      <c r="V219" s="32" t="n">
        <f>1790539648</f>
        <v>1.790539648E9</v>
      </c>
      <c r="W219" s="32" t="n">
        <f>265736985</f>
        <v>2.65736985E8</v>
      </c>
      <c r="X219" s="36" t="n">
        <f>22</f>
        <v>22.0</v>
      </c>
    </row>
    <row r="220">
      <c r="A220" s="27" t="s">
        <v>42</v>
      </c>
      <c r="B220" s="27" t="s">
        <v>709</v>
      </c>
      <c r="C220" s="27" t="s">
        <v>710</v>
      </c>
      <c r="D220" s="27" t="s">
        <v>711</v>
      </c>
      <c r="E220" s="28" t="s">
        <v>46</v>
      </c>
      <c r="F220" s="29" t="s">
        <v>46</v>
      </c>
      <c r="G220" s="30" t="s">
        <v>46</v>
      </c>
      <c r="H220" s="31"/>
      <c r="I220" s="31" t="s">
        <v>47</v>
      </c>
      <c r="J220" s="32" t="n">
        <v>10.0</v>
      </c>
      <c r="K220" s="33" t="n">
        <f>567.7</f>
        <v>567.7</v>
      </c>
      <c r="L220" s="34" t="s">
        <v>48</v>
      </c>
      <c r="M220" s="33" t="n">
        <f>575.5</f>
        <v>575.5</v>
      </c>
      <c r="N220" s="34" t="s">
        <v>55</v>
      </c>
      <c r="O220" s="33" t="n">
        <f>532.9</f>
        <v>532.9</v>
      </c>
      <c r="P220" s="34" t="s">
        <v>50</v>
      </c>
      <c r="Q220" s="33" t="n">
        <f>552</f>
        <v>552.0</v>
      </c>
      <c r="R220" s="34" t="s">
        <v>51</v>
      </c>
      <c r="S220" s="35" t="n">
        <f>551.71</f>
        <v>551.71</v>
      </c>
      <c r="T220" s="32" t="n">
        <f>889350</f>
        <v>889350.0</v>
      </c>
      <c r="U220" s="32" t="n">
        <f>22520</f>
        <v>22520.0</v>
      </c>
      <c r="V220" s="32" t="n">
        <f>493812887</f>
        <v>4.93812887E8</v>
      </c>
      <c r="W220" s="32" t="n">
        <f>12264708</f>
        <v>1.2264708E7</v>
      </c>
      <c r="X220" s="36" t="n">
        <f>22</f>
        <v>22.0</v>
      </c>
    </row>
    <row r="221">
      <c r="A221" s="27" t="s">
        <v>42</v>
      </c>
      <c r="B221" s="27" t="s">
        <v>712</v>
      </c>
      <c r="C221" s="27" t="s">
        <v>713</v>
      </c>
      <c r="D221" s="27" t="s">
        <v>714</v>
      </c>
      <c r="E221" s="28" t="s">
        <v>46</v>
      </c>
      <c r="F221" s="29" t="s">
        <v>46</v>
      </c>
      <c r="G221" s="30" t="s">
        <v>46</v>
      </c>
      <c r="H221" s="31"/>
      <c r="I221" s="31" t="s">
        <v>47</v>
      </c>
      <c r="J221" s="32" t="n">
        <v>10.0</v>
      </c>
      <c r="K221" s="33" t="n">
        <f>2513</f>
        <v>2513.0</v>
      </c>
      <c r="L221" s="34" t="s">
        <v>48</v>
      </c>
      <c r="M221" s="33" t="n">
        <f>2520.5</f>
        <v>2520.5</v>
      </c>
      <c r="N221" s="34" t="s">
        <v>50</v>
      </c>
      <c r="O221" s="33" t="n">
        <f>2444</f>
        <v>2444.0</v>
      </c>
      <c r="P221" s="34" t="s">
        <v>72</v>
      </c>
      <c r="Q221" s="33" t="n">
        <f>2465</f>
        <v>2465.0</v>
      </c>
      <c r="R221" s="34" t="s">
        <v>51</v>
      </c>
      <c r="S221" s="35" t="n">
        <f>2482.64</f>
        <v>2482.64</v>
      </c>
      <c r="T221" s="32" t="n">
        <f>516520</f>
        <v>516520.0</v>
      </c>
      <c r="U221" s="32" t="n">
        <f>201000</f>
        <v>201000.0</v>
      </c>
      <c r="V221" s="32" t="n">
        <f>1281866943</f>
        <v>1.281866943E9</v>
      </c>
      <c r="W221" s="32" t="n">
        <f>499958133</f>
        <v>4.99958133E8</v>
      </c>
      <c r="X221" s="36" t="n">
        <f>14</f>
        <v>14.0</v>
      </c>
    </row>
    <row r="222">
      <c r="A222" s="27" t="s">
        <v>42</v>
      </c>
      <c r="B222" s="27" t="s">
        <v>715</v>
      </c>
      <c r="C222" s="27" t="s">
        <v>716</v>
      </c>
      <c r="D222" s="27" t="s">
        <v>717</v>
      </c>
      <c r="E222" s="28" t="s">
        <v>46</v>
      </c>
      <c r="F222" s="29" t="s">
        <v>46</v>
      </c>
      <c r="G222" s="30" t="s">
        <v>46</v>
      </c>
      <c r="H222" s="31"/>
      <c r="I222" s="31" t="s">
        <v>47</v>
      </c>
      <c r="J222" s="32" t="n">
        <v>10.0</v>
      </c>
      <c r="K222" s="33" t="n">
        <f>2487</f>
        <v>2487.0</v>
      </c>
      <c r="L222" s="34" t="s">
        <v>83</v>
      </c>
      <c r="M222" s="33" t="n">
        <f>2580.5</f>
        <v>2580.5</v>
      </c>
      <c r="N222" s="34" t="s">
        <v>49</v>
      </c>
      <c r="O222" s="33" t="n">
        <f>2487</f>
        <v>2487.0</v>
      </c>
      <c r="P222" s="34" t="s">
        <v>83</v>
      </c>
      <c r="Q222" s="33" t="n">
        <f>2542</f>
        <v>2542.0</v>
      </c>
      <c r="R222" s="34" t="s">
        <v>51</v>
      </c>
      <c r="S222" s="35" t="n">
        <f>2539.57</f>
        <v>2539.57</v>
      </c>
      <c r="T222" s="32" t="n">
        <f>230730</f>
        <v>230730.0</v>
      </c>
      <c r="U222" s="32" t="str">
        <f>"－"</f>
        <v>－</v>
      </c>
      <c r="V222" s="32" t="n">
        <f>588684045</f>
        <v>5.88684045E8</v>
      </c>
      <c r="W222" s="32" t="str">
        <f>"－"</f>
        <v>－</v>
      </c>
      <c r="X222" s="36" t="n">
        <f>15</f>
        <v>15.0</v>
      </c>
    </row>
    <row r="223">
      <c r="A223" s="27" t="s">
        <v>42</v>
      </c>
      <c r="B223" s="27" t="s">
        <v>718</v>
      </c>
      <c r="C223" s="27" t="s">
        <v>719</v>
      </c>
      <c r="D223" s="27" t="s">
        <v>720</v>
      </c>
      <c r="E223" s="28" t="s">
        <v>46</v>
      </c>
      <c r="F223" s="29" t="s">
        <v>46</v>
      </c>
      <c r="G223" s="30" t="s">
        <v>46</v>
      </c>
      <c r="H223" s="31"/>
      <c r="I223" s="31" t="s">
        <v>47</v>
      </c>
      <c r="J223" s="32" t="n">
        <v>10.0</v>
      </c>
      <c r="K223" s="33" t="n">
        <f>2307.5</f>
        <v>2307.5</v>
      </c>
      <c r="L223" s="34" t="s">
        <v>64</v>
      </c>
      <c r="M223" s="33" t="n">
        <f>2377</f>
        <v>2377.0</v>
      </c>
      <c r="N223" s="34" t="s">
        <v>534</v>
      </c>
      <c r="O223" s="33" t="n">
        <f>2281.5</f>
        <v>2281.5</v>
      </c>
      <c r="P223" s="34" t="s">
        <v>49</v>
      </c>
      <c r="Q223" s="33" t="n">
        <f>2281.5</f>
        <v>2281.5</v>
      </c>
      <c r="R223" s="34" t="s">
        <v>49</v>
      </c>
      <c r="S223" s="35" t="n">
        <f>2314.68</f>
        <v>2314.68</v>
      </c>
      <c r="T223" s="32" t="n">
        <f>343030</f>
        <v>343030.0</v>
      </c>
      <c r="U223" s="32" t="str">
        <f>"－"</f>
        <v>－</v>
      </c>
      <c r="V223" s="32" t="n">
        <f>790349005</f>
        <v>7.90349005E8</v>
      </c>
      <c r="W223" s="32" t="str">
        <f>"－"</f>
        <v>－</v>
      </c>
      <c r="X223" s="36" t="n">
        <f>14</f>
        <v>14.0</v>
      </c>
    </row>
    <row r="224">
      <c r="A224" s="27" t="s">
        <v>42</v>
      </c>
      <c r="B224" s="27" t="s">
        <v>721</v>
      </c>
      <c r="C224" s="27" t="s">
        <v>722</v>
      </c>
      <c r="D224" s="27" t="s">
        <v>723</v>
      </c>
      <c r="E224" s="28" t="s">
        <v>46</v>
      </c>
      <c r="F224" s="29" t="s">
        <v>46</v>
      </c>
      <c r="G224" s="30" t="s">
        <v>46</v>
      </c>
      <c r="H224" s="31"/>
      <c r="I224" s="31" t="s">
        <v>47</v>
      </c>
      <c r="J224" s="32" t="n">
        <v>10.0</v>
      </c>
      <c r="K224" s="33" t="n">
        <f>2280.5</f>
        <v>2280.5</v>
      </c>
      <c r="L224" s="34" t="s">
        <v>337</v>
      </c>
      <c r="M224" s="33" t="n">
        <f>2345</f>
        <v>2345.0</v>
      </c>
      <c r="N224" s="34" t="s">
        <v>50</v>
      </c>
      <c r="O224" s="33" t="n">
        <f>2280.5</f>
        <v>2280.5</v>
      </c>
      <c r="P224" s="34" t="s">
        <v>337</v>
      </c>
      <c r="Q224" s="33" t="n">
        <f>2345</f>
        <v>2345.0</v>
      </c>
      <c r="R224" s="34" t="s">
        <v>50</v>
      </c>
      <c r="S224" s="35" t="n">
        <f>2315.33</f>
        <v>2315.33</v>
      </c>
      <c r="T224" s="32" t="n">
        <f>10010</f>
        <v>10010.0</v>
      </c>
      <c r="U224" s="32" t="str">
        <f>"－"</f>
        <v>－</v>
      </c>
      <c r="V224" s="32" t="n">
        <f>23150705</f>
        <v>2.3150705E7</v>
      </c>
      <c r="W224" s="32" t="str">
        <f>"－"</f>
        <v>－</v>
      </c>
      <c r="X224" s="36" t="n">
        <f>3</f>
        <v>3.0</v>
      </c>
    </row>
    <row r="225">
      <c r="A225" s="27" t="s">
        <v>42</v>
      </c>
      <c r="B225" s="27" t="s">
        <v>724</v>
      </c>
      <c r="C225" s="27" t="s">
        <v>725</v>
      </c>
      <c r="D225" s="27" t="s">
        <v>726</v>
      </c>
      <c r="E225" s="28" t="s">
        <v>46</v>
      </c>
      <c r="F225" s="29" t="s">
        <v>46</v>
      </c>
      <c r="G225" s="30" t="s">
        <v>46</v>
      </c>
      <c r="H225" s="31"/>
      <c r="I225" s="31" t="s">
        <v>47</v>
      </c>
      <c r="J225" s="32" t="n">
        <v>10.0</v>
      </c>
      <c r="K225" s="33" t="n">
        <f>4995</f>
        <v>4995.0</v>
      </c>
      <c r="L225" s="34" t="s">
        <v>194</v>
      </c>
      <c r="M225" s="33" t="n">
        <f>4997</f>
        <v>4997.0</v>
      </c>
      <c r="N225" s="34" t="s">
        <v>194</v>
      </c>
      <c r="O225" s="33" t="n">
        <f>4870</f>
        <v>4870.0</v>
      </c>
      <c r="P225" s="34" t="s">
        <v>267</v>
      </c>
      <c r="Q225" s="33" t="n">
        <f>4934</f>
        <v>4934.0</v>
      </c>
      <c r="R225" s="34" t="s">
        <v>267</v>
      </c>
      <c r="S225" s="35" t="n">
        <f>4964.5</f>
        <v>4964.5</v>
      </c>
      <c r="T225" s="32" t="n">
        <f>820030</f>
        <v>820030.0</v>
      </c>
      <c r="U225" s="32" t="n">
        <f>768000</f>
        <v>768000.0</v>
      </c>
      <c r="V225" s="32" t="n">
        <f>4094664897</f>
        <v>4.094664897E9</v>
      </c>
      <c r="W225" s="32" t="n">
        <f>3834865477</f>
        <v>3.834865477E9</v>
      </c>
      <c r="X225" s="36" t="n">
        <f>4</f>
        <v>4.0</v>
      </c>
    </row>
    <row r="226">
      <c r="A226" s="27" t="s">
        <v>42</v>
      </c>
      <c r="B226" s="27" t="s">
        <v>727</v>
      </c>
      <c r="C226" s="27" t="s">
        <v>728</v>
      </c>
      <c r="D226" s="27" t="s">
        <v>729</v>
      </c>
      <c r="E226" s="28" t="s">
        <v>46</v>
      </c>
      <c r="F226" s="29" t="s">
        <v>46</v>
      </c>
      <c r="G226" s="30" t="s">
        <v>46</v>
      </c>
      <c r="H226" s="31"/>
      <c r="I226" s="31" t="s">
        <v>47</v>
      </c>
      <c r="J226" s="32" t="n">
        <v>10.0</v>
      </c>
      <c r="K226" s="33" t="n">
        <f>5026</f>
        <v>5026.0</v>
      </c>
      <c r="L226" s="34" t="s">
        <v>60</v>
      </c>
      <c r="M226" s="33" t="n">
        <f>5026</f>
        <v>5026.0</v>
      </c>
      <c r="N226" s="34" t="s">
        <v>60</v>
      </c>
      <c r="O226" s="33" t="n">
        <f>5026</f>
        <v>5026.0</v>
      </c>
      <c r="P226" s="34" t="s">
        <v>60</v>
      </c>
      <c r="Q226" s="33" t="n">
        <f>5026</f>
        <v>5026.0</v>
      </c>
      <c r="R226" s="34" t="s">
        <v>60</v>
      </c>
      <c r="S226" s="35" t="n">
        <f>5026</f>
        <v>5026.0</v>
      </c>
      <c r="T226" s="32" t="n">
        <f>22500</f>
        <v>22500.0</v>
      </c>
      <c r="U226" s="32" t="str">
        <f>"－"</f>
        <v>－</v>
      </c>
      <c r="V226" s="32" t="n">
        <f>113085000</f>
        <v>1.13085E8</v>
      </c>
      <c r="W226" s="32" t="str">
        <f>"－"</f>
        <v>－</v>
      </c>
      <c r="X226" s="36" t="n">
        <f>1</f>
        <v>1.0</v>
      </c>
    </row>
    <row r="227">
      <c r="A227" s="27" t="s">
        <v>42</v>
      </c>
      <c r="B227" s="27" t="s">
        <v>730</v>
      </c>
      <c r="C227" s="27" t="s">
        <v>731</v>
      </c>
      <c r="D227" s="27" t="s">
        <v>732</v>
      </c>
      <c r="E227" s="28" t="s">
        <v>46</v>
      </c>
      <c r="F227" s="29" t="s">
        <v>46</v>
      </c>
      <c r="G227" s="30" t="s">
        <v>46</v>
      </c>
      <c r="H227" s="31"/>
      <c r="I227" s="31" t="s">
        <v>47</v>
      </c>
      <c r="J227" s="32" t="n">
        <v>10.0</v>
      </c>
      <c r="K227" s="33" t="str">
        <f>"－"</f>
        <v>－</v>
      </c>
      <c r="L227" s="34"/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5" t="str">
        <f>"－"</f>
        <v>－</v>
      </c>
      <c r="T227" s="32" t="str">
        <f>"－"</f>
        <v>－</v>
      </c>
      <c r="U227" s="32" t="str">
        <f>"－"</f>
        <v>－</v>
      </c>
      <c r="V227" s="32" t="str">
        <f>"－"</f>
        <v>－</v>
      </c>
      <c r="W227" s="32" t="str">
        <f>"－"</f>
        <v>－</v>
      </c>
      <c r="X227" s="36" t="str">
        <f>"－"</f>
        <v>－</v>
      </c>
    </row>
    <row r="228">
      <c r="A228" s="27" t="s">
        <v>42</v>
      </c>
      <c r="B228" s="27" t="s">
        <v>733</v>
      </c>
      <c r="C228" s="27" t="s">
        <v>734</v>
      </c>
      <c r="D228" s="27" t="s">
        <v>735</v>
      </c>
      <c r="E228" s="28" t="s">
        <v>46</v>
      </c>
      <c r="F228" s="29" t="s">
        <v>46</v>
      </c>
      <c r="G228" s="30" t="s">
        <v>46</v>
      </c>
      <c r="H228" s="31"/>
      <c r="I228" s="31" t="s">
        <v>47</v>
      </c>
      <c r="J228" s="32" t="n">
        <v>10.0</v>
      </c>
      <c r="K228" s="33" t="n">
        <f>4778</f>
        <v>4778.0</v>
      </c>
      <c r="L228" s="34" t="s">
        <v>48</v>
      </c>
      <c r="M228" s="33" t="n">
        <f>5180</f>
        <v>5180.0</v>
      </c>
      <c r="N228" s="34" t="s">
        <v>51</v>
      </c>
      <c r="O228" s="33" t="n">
        <f>4778</f>
        <v>4778.0</v>
      </c>
      <c r="P228" s="34" t="s">
        <v>48</v>
      </c>
      <c r="Q228" s="33" t="n">
        <f>5144</f>
        <v>5144.0</v>
      </c>
      <c r="R228" s="34" t="s">
        <v>51</v>
      </c>
      <c r="S228" s="35" t="n">
        <f>5033.14</f>
        <v>5033.14</v>
      </c>
      <c r="T228" s="32" t="n">
        <f>1728180</f>
        <v>1728180.0</v>
      </c>
      <c r="U228" s="32" t="n">
        <f>1665000</f>
        <v>1665000.0</v>
      </c>
      <c r="V228" s="32" t="n">
        <f>8594356079</f>
        <v>8.594356079E9</v>
      </c>
      <c r="W228" s="32" t="n">
        <f>8270029559</f>
        <v>8.270029559E9</v>
      </c>
      <c r="X228" s="36" t="n">
        <f>22</f>
        <v>22.0</v>
      </c>
    </row>
    <row r="229">
      <c r="A229" s="27" t="s">
        <v>42</v>
      </c>
      <c r="B229" s="27" t="s">
        <v>736</v>
      </c>
      <c r="C229" s="27" t="s">
        <v>737</v>
      </c>
      <c r="D229" s="27" t="s">
        <v>738</v>
      </c>
      <c r="E229" s="28" t="s">
        <v>46</v>
      </c>
      <c r="F229" s="29" t="s">
        <v>46</v>
      </c>
      <c r="G229" s="30" t="s">
        <v>46</v>
      </c>
      <c r="H229" s="31"/>
      <c r="I229" s="31" t="s">
        <v>47</v>
      </c>
      <c r="J229" s="32" t="n">
        <v>1.0</v>
      </c>
      <c r="K229" s="33" t="n">
        <f>961</f>
        <v>961.0</v>
      </c>
      <c r="L229" s="34" t="s">
        <v>48</v>
      </c>
      <c r="M229" s="33" t="n">
        <f>991</f>
        <v>991.0</v>
      </c>
      <c r="N229" s="34" t="s">
        <v>50</v>
      </c>
      <c r="O229" s="33" t="n">
        <f>960</f>
        <v>960.0</v>
      </c>
      <c r="P229" s="34" t="s">
        <v>48</v>
      </c>
      <c r="Q229" s="33" t="n">
        <f>987</f>
        <v>987.0</v>
      </c>
      <c r="R229" s="34" t="s">
        <v>51</v>
      </c>
      <c r="S229" s="35" t="n">
        <f>976.27</f>
        <v>976.27</v>
      </c>
      <c r="T229" s="32" t="n">
        <f>27378</f>
        <v>27378.0</v>
      </c>
      <c r="U229" s="32" t="str">
        <f>"－"</f>
        <v>－</v>
      </c>
      <c r="V229" s="32" t="n">
        <f>26634784</f>
        <v>2.6634784E7</v>
      </c>
      <c r="W229" s="32" t="str">
        <f>"－"</f>
        <v>－</v>
      </c>
      <c r="X229" s="36" t="n">
        <f>22</f>
        <v>22.0</v>
      </c>
    </row>
    <row r="230">
      <c r="A230" s="27" t="s">
        <v>42</v>
      </c>
      <c r="B230" s="27" t="s">
        <v>739</v>
      </c>
      <c r="C230" s="27" t="s">
        <v>740</v>
      </c>
      <c r="D230" s="27" t="s">
        <v>741</v>
      </c>
      <c r="E230" s="28" t="s">
        <v>46</v>
      </c>
      <c r="F230" s="29" t="s">
        <v>46</v>
      </c>
      <c r="G230" s="30" t="s">
        <v>46</v>
      </c>
      <c r="H230" s="31"/>
      <c r="I230" s="31" t="s">
        <v>47</v>
      </c>
      <c r="J230" s="32" t="n">
        <v>1.0</v>
      </c>
      <c r="K230" s="33" t="n">
        <f>1214</f>
        <v>1214.0</v>
      </c>
      <c r="L230" s="34" t="s">
        <v>48</v>
      </c>
      <c r="M230" s="33" t="n">
        <f>1214</f>
        <v>1214.0</v>
      </c>
      <c r="N230" s="34" t="s">
        <v>48</v>
      </c>
      <c r="O230" s="33" t="n">
        <f>1153</f>
        <v>1153.0</v>
      </c>
      <c r="P230" s="34" t="s">
        <v>49</v>
      </c>
      <c r="Q230" s="33" t="n">
        <f>1155</f>
        <v>1155.0</v>
      </c>
      <c r="R230" s="34" t="s">
        <v>51</v>
      </c>
      <c r="S230" s="35" t="n">
        <f>1175.14</f>
        <v>1175.14</v>
      </c>
      <c r="T230" s="32" t="n">
        <f>65842</f>
        <v>65842.0</v>
      </c>
      <c r="U230" s="32" t="str">
        <f>"－"</f>
        <v>－</v>
      </c>
      <c r="V230" s="32" t="n">
        <f>77151378</f>
        <v>7.7151378E7</v>
      </c>
      <c r="W230" s="32" t="str">
        <f>"－"</f>
        <v>－</v>
      </c>
      <c r="X230" s="36" t="n">
        <f>22</f>
        <v>22.0</v>
      </c>
    </row>
    <row r="231">
      <c r="A231" s="27" t="s">
        <v>42</v>
      </c>
      <c r="B231" s="27" t="s">
        <v>742</v>
      </c>
      <c r="C231" s="27" t="s">
        <v>743</v>
      </c>
      <c r="D231" s="27" t="s">
        <v>744</v>
      </c>
      <c r="E231" s="28" t="s">
        <v>46</v>
      </c>
      <c r="F231" s="29" t="s">
        <v>46</v>
      </c>
      <c r="G231" s="30" t="s">
        <v>46</v>
      </c>
      <c r="H231" s="31"/>
      <c r="I231" s="31" t="s">
        <v>47</v>
      </c>
      <c r="J231" s="32" t="n">
        <v>1.0</v>
      </c>
      <c r="K231" s="33" t="n">
        <f>966</f>
        <v>966.0</v>
      </c>
      <c r="L231" s="34" t="s">
        <v>48</v>
      </c>
      <c r="M231" s="33" t="n">
        <f>979</f>
        <v>979.0</v>
      </c>
      <c r="N231" s="34" t="s">
        <v>55</v>
      </c>
      <c r="O231" s="33" t="n">
        <f>935</f>
        <v>935.0</v>
      </c>
      <c r="P231" s="34" t="s">
        <v>50</v>
      </c>
      <c r="Q231" s="33" t="n">
        <f>942</f>
        <v>942.0</v>
      </c>
      <c r="R231" s="34" t="s">
        <v>51</v>
      </c>
      <c r="S231" s="35" t="n">
        <f>954.55</f>
        <v>954.55</v>
      </c>
      <c r="T231" s="32" t="n">
        <f>489608</f>
        <v>489608.0</v>
      </c>
      <c r="U231" s="32" t="str">
        <f>"－"</f>
        <v>－</v>
      </c>
      <c r="V231" s="32" t="n">
        <f>467943357</f>
        <v>4.67943357E8</v>
      </c>
      <c r="W231" s="32" t="str">
        <f>"－"</f>
        <v>－</v>
      </c>
      <c r="X231" s="36" t="n">
        <f>22</f>
        <v>22.0</v>
      </c>
    </row>
    <row r="232">
      <c r="A232" s="27" t="s">
        <v>42</v>
      </c>
      <c r="B232" s="27" t="s">
        <v>745</v>
      </c>
      <c r="C232" s="27" t="s">
        <v>746</v>
      </c>
      <c r="D232" s="27" t="s">
        <v>747</v>
      </c>
      <c r="E232" s="28" t="s">
        <v>46</v>
      </c>
      <c r="F232" s="29" t="s">
        <v>46</v>
      </c>
      <c r="G232" s="30" t="s">
        <v>46</v>
      </c>
      <c r="H232" s="31"/>
      <c r="I232" s="31" t="s">
        <v>47</v>
      </c>
      <c r="J232" s="32" t="n">
        <v>1.0</v>
      </c>
      <c r="K232" s="33" t="n">
        <f>1005</f>
        <v>1005.0</v>
      </c>
      <c r="L232" s="34" t="s">
        <v>48</v>
      </c>
      <c r="M232" s="33" t="n">
        <f>1005</f>
        <v>1005.0</v>
      </c>
      <c r="N232" s="34" t="s">
        <v>48</v>
      </c>
      <c r="O232" s="33" t="n">
        <f>922</f>
        <v>922.0</v>
      </c>
      <c r="P232" s="34" t="s">
        <v>50</v>
      </c>
      <c r="Q232" s="33" t="n">
        <f>926</f>
        <v>926.0</v>
      </c>
      <c r="R232" s="34" t="s">
        <v>51</v>
      </c>
      <c r="S232" s="35" t="n">
        <f>949.05</f>
        <v>949.05</v>
      </c>
      <c r="T232" s="32" t="n">
        <f>730940</f>
        <v>730940.0</v>
      </c>
      <c r="U232" s="32" t="str">
        <f>"－"</f>
        <v>－</v>
      </c>
      <c r="V232" s="32" t="n">
        <f>700522252</f>
        <v>7.00522252E8</v>
      </c>
      <c r="W232" s="32" t="str">
        <f>"－"</f>
        <v>－</v>
      </c>
      <c r="X232" s="36" t="n">
        <f>22</f>
        <v>22.0</v>
      </c>
    </row>
    <row r="233">
      <c r="A233" s="27" t="s">
        <v>42</v>
      </c>
      <c r="B233" s="27" t="s">
        <v>748</v>
      </c>
      <c r="C233" s="27" t="s">
        <v>749</v>
      </c>
      <c r="D233" s="27" t="s">
        <v>750</v>
      </c>
      <c r="E233" s="28" t="s">
        <v>46</v>
      </c>
      <c r="F233" s="29" t="s">
        <v>46</v>
      </c>
      <c r="G233" s="30" t="s">
        <v>46</v>
      </c>
      <c r="H233" s="31"/>
      <c r="I233" s="31" t="s">
        <v>47</v>
      </c>
      <c r="J233" s="32" t="n">
        <v>1.0</v>
      </c>
      <c r="K233" s="33" t="n">
        <f>979</f>
        <v>979.0</v>
      </c>
      <c r="L233" s="34" t="s">
        <v>48</v>
      </c>
      <c r="M233" s="33" t="n">
        <f>994</f>
        <v>994.0</v>
      </c>
      <c r="N233" s="34" t="s">
        <v>55</v>
      </c>
      <c r="O233" s="33" t="n">
        <f>947</f>
        <v>947.0</v>
      </c>
      <c r="P233" s="34" t="s">
        <v>56</v>
      </c>
      <c r="Q233" s="33" t="n">
        <f>955</f>
        <v>955.0</v>
      </c>
      <c r="R233" s="34" t="s">
        <v>51</v>
      </c>
      <c r="S233" s="35" t="n">
        <f>963.91</f>
        <v>963.91</v>
      </c>
      <c r="T233" s="32" t="n">
        <f>52823</f>
        <v>52823.0</v>
      </c>
      <c r="U233" s="32" t="n">
        <f>6</f>
        <v>6.0</v>
      </c>
      <c r="V233" s="32" t="n">
        <f>50800390</f>
        <v>5.080039E7</v>
      </c>
      <c r="W233" s="32" t="n">
        <f>5768</f>
        <v>5768.0</v>
      </c>
      <c r="X233" s="36" t="n">
        <f>22</f>
        <v>22.0</v>
      </c>
    </row>
    <row r="234">
      <c r="A234" s="27" t="s">
        <v>42</v>
      </c>
      <c r="B234" s="27" t="s">
        <v>751</v>
      </c>
      <c r="C234" s="27" t="s">
        <v>752</v>
      </c>
      <c r="D234" s="27" t="s">
        <v>753</v>
      </c>
      <c r="E234" s="28" t="s">
        <v>46</v>
      </c>
      <c r="F234" s="29" t="s">
        <v>46</v>
      </c>
      <c r="G234" s="30" t="s">
        <v>46</v>
      </c>
      <c r="H234" s="31"/>
      <c r="I234" s="31" t="s">
        <v>47</v>
      </c>
      <c r="J234" s="32" t="n">
        <v>1.0</v>
      </c>
      <c r="K234" s="33" t="n">
        <f>1484</f>
        <v>1484.0</v>
      </c>
      <c r="L234" s="34" t="s">
        <v>48</v>
      </c>
      <c r="M234" s="33" t="n">
        <f>1484</f>
        <v>1484.0</v>
      </c>
      <c r="N234" s="34" t="s">
        <v>48</v>
      </c>
      <c r="O234" s="33" t="n">
        <f>1432</f>
        <v>1432.0</v>
      </c>
      <c r="P234" s="34" t="s">
        <v>56</v>
      </c>
      <c r="Q234" s="33" t="n">
        <f>1443</f>
        <v>1443.0</v>
      </c>
      <c r="R234" s="34" t="s">
        <v>51</v>
      </c>
      <c r="S234" s="35" t="n">
        <f>1454.91</f>
        <v>1454.91</v>
      </c>
      <c r="T234" s="32" t="n">
        <f>847903</f>
        <v>847903.0</v>
      </c>
      <c r="U234" s="32" t="n">
        <f>520030</f>
        <v>520030.0</v>
      </c>
      <c r="V234" s="32" t="n">
        <f>1227909435</f>
        <v>1.227909435E9</v>
      </c>
      <c r="W234" s="32" t="n">
        <f>752628421</f>
        <v>7.52628421E8</v>
      </c>
      <c r="X234" s="36" t="n">
        <f>22</f>
        <v>22.0</v>
      </c>
    </row>
    <row r="235">
      <c r="A235" s="27" t="s">
        <v>42</v>
      </c>
      <c r="B235" s="27" t="s">
        <v>754</v>
      </c>
      <c r="C235" s="27" t="s">
        <v>755</v>
      </c>
      <c r="D235" s="27" t="s">
        <v>756</v>
      </c>
      <c r="E235" s="28" t="s">
        <v>46</v>
      </c>
      <c r="F235" s="29" t="s">
        <v>46</v>
      </c>
      <c r="G235" s="30" t="s">
        <v>46</v>
      </c>
      <c r="H235" s="31"/>
      <c r="I235" s="31" t="s">
        <v>47</v>
      </c>
      <c r="J235" s="32" t="n">
        <v>10.0</v>
      </c>
      <c r="K235" s="33" t="n">
        <f>149.7</f>
        <v>149.7</v>
      </c>
      <c r="L235" s="34" t="s">
        <v>48</v>
      </c>
      <c r="M235" s="33" t="n">
        <f>158</f>
        <v>158.0</v>
      </c>
      <c r="N235" s="34" t="s">
        <v>76</v>
      </c>
      <c r="O235" s="33" t="n">
        <f>144</f>
        <v>144.0</v>
      </c>
      <c r="P235" s="34" t="s">
        <v>60</v>
      </c>
      <c r="Q235" s="33" t="n">
        <f>157.4</f>
        <v>157.4</v>
      </c>
      <c r="R235" s="34" t="s">
        <v>51</v>
      </c>
      <c r="S235" s="35" t="n">
        <f>150.68</f>
        <v>150.68</v>
      </c>
      <c r="T235" s="32" t="n">
        <f>4551260</f>
        <v>4551260.0</v>
      </c>
      <c r="U235" s="32" t="n">
        <f>202010</f>
        <v>202010.0</v>
      </c>
      <c r="V235" s="32" t="n">
        <f>684261584</f>
        <v>6.84261584E8</v>
      </c>
      <c r="W235" s="32" t="n">
        <f>30260162</f>
        <v>3.0260162E7</v>
      </c>
      <c r="X235" s="36" t="n">
        <f>22</f>
        <v>22.0</v>
      </c>
    </row>
    <row r="236">
      <c r="A236" s="27" t="s">
        <v>42</v>
      </c>
      <c r="B236" s="27" t="s">
        <v>757</v>
      </c>
      <c r="C236" s="27" t="s">
        <v>758</v>
      </c>
      <c r="D236" s="27" t="s">
        <v>759</v>
      </c>
      <c r="E236" s="28" t="s">
        <v>46</v>
      </c>
      <c r="F236" s="29" t="s">
        <v>46</v>
      </c>
      <c r="G236" s="30" t="s">
        <v>46</v>
      </c>
      <c r="H236" s="31"/>
      <c r="I236" s="31" t="s">
        <v>47</v>
      </c>
      <c r="J236" s="32" t="n">
        <v>10.0</v>
      </c>
      <c r="K236" s="33" t="n">
        <f>421.5</f>
        <v>421.5</v>
      </c>
      <c r="L236" s="34" t="s">
        <v>48</v>
      </c>
      <c r="M236" s="33" t="n">
        <f>450</f>
        <v>450.0</v>
      </c>
      <c r="N236" s="34" t="s">
        <v>76</v>
      </c>
      <c r="O236" s="33" t="n">
        <f>411</f>
        <v>411.0</v>
      </c>
      <c r="P236" s="34" t="s">
        <v>72</v>
      </c>
      <c r="Q236" s="33" t="n">
        <f>445.8</f>
        <v>445.8</v>
      </c>
      <c r="R236" s="34" t="s">
        <v>51</v>
      </c>
      <c r="S236" s="35" t="n">
        <f>428.8</f>
        <v>428.8</v>
      </c>
      <c r="T236" s="32" t="n">
        <f>618360</f>
        <v>618360.0</v>
      </c>
      <c r="U236" s="32" t="str">
        <f>"－"</f>
        <v>－</v>
      </c>
      <c r="V236" s="32" t="n">
        <f>263639723</f>
        <v>2.63639723E8</v>
      </c>
      <c r="W236" s="32" t="str">
        <f>"－"</f>
        <v>－</v>
      </c>
      <c r="X236" s="36" t="n">
        <f>22</f>
        <v>22.0</v>
      </c>
    </row>
    <row r="237">
      <c r="A237" s="27" t="s">
        <v>42</v>
      </c>
      <c r="B237" s="27" t="s">
        <v>760</v>
      </c>
      <c r="C237" s="27" t="s">
        <v>761</v>
      </c>
      <c r="D237" s="27" t="s">
        <v>762</v>
      </c>
      <c r="E237" s="28" t="s">
        <v>46</v>
      </c>
      <c r="F237" s="29" t="s">
        <v>46</v>
      </c>
      <c r="G237" s="30" t="s">
        <v>46</v>
      </c>
      <c r="H237" s="31"/>
      <c r="I237" s="31" t="s">
        <v>47</v>
      </c>
      <c r="J237" s="32" t="n">
        <v>10.0</v>
      </c>
      <c r="K237" s="33" t="n">
        <f>2662.5</f>
        <v>2662.5</v>
      </c>
      <c r="L237" s="34" t="s">
        <v>48</v>
      </c>
      <c r="M237" s="33" t="n">
        <f>2846</f>
        <v>2846.0</v>
      </c>
      <c r="N237" s="34" t="s">
        <v>49</v>
      </c>
      <c r="O237" s="33" t="n">
        <f>2629.5</f>
        <v>2629.5</v>
      </c>
      <c r="P237" s="34" t="s">
        <v>72</v>
      </c>
      <c r="Q237" s="33" t="n">
        <f>2807.5</f>
        <v>2807.5</v>
      </c>
      <c r="R237" s="34" t="s">
        <v>51</v>
      </c>
      <c r="S237" s="35" t="n">
        <f>2771.3</f>
        <v>2771.3</v>
      </c>
      <c r="T237" s="32" t="n">
        <f>244760</f>
        <v>244760.0</v>
      </c>
      <c r="U237" s="32" t="n">
        <f>74500</f>
        <v>74500.0</v>
      </c>
      <c r="V237" s="32" t="n">
        <f>684990362</f>
        <v>6.84990362E8</v>
      </c>
      <c r="W237" s="32" t="n">
        <f>210130192</f>
        <v>2.10130192E8</v>
      </c>
      <c r="X237" s="36" t="n">
        <f>22</f>
        <v>22.0</v>
      </c>
    </row>
    <row r="238">
      <c r="A238" s="27" t="s">
        <v>42</v>
      </c>
      <c r="B238" s="27" t="s">
        <v>763</v>
      </c>
      <c r="C238" s="27" t="s">
        <v>764</v>
      </c>
      <c r="D238" s="27" t="s">
        <v>765</v>
      </c>
      <c r="E238" s="28" t="s">
        <v>46</v>
      </c>
      <c r="F238" s="29" t="s">
        <v>46</v>
      </c>
      <c r="G238" s="30" t="s">
        <v>46</v>
      </c>
      <c r="H238" s="31"/>
      <c r="I238" s="31" t="s">
        <v>47</v>
      </c>
      <c r="J238" s="32" t="n">
        <v>1.0</v>
      </c>
      <c r="K238" s="33" t="n">
        <f>1246</f>
        <v>1246.0</v>
      </c>
      <c r="L238" s="34" t="s">
        <v>48</v>
      </c>
      <c r="M238" s="33" t="n">
        <f>1325</f>
        <v>1325.0</v>
      </c>
      <c r="N238" s="34" t="s">
        <v>76</v>
      </c>
      <c r="O238" s="33" t="n">
        <f>1242</f>
        <v>1242.0</v>
      </c>
      <c r="P238" s="34" t="s">
        <v>72</v>
      </c>
      <c r="Q238" s="33" t="n">
        <f>1301</f>
        <v>1301.0</v>
      </c>
      <c r="R238" s="34" t="s">
        <v>51</v>
      </c>
      <c r="S238" s="35" t="n">
        <f>1289.86</f>
        <v>1289.86</v>
      </c>
      <c r="T238" s="32" t="n">
        <f>550628</f>
        <v>550628.0</v>
      </c>
      <c r="U238" s="32" t="n">
        <f>100120</f>
        <v>100120.0</v>
      </c>
      <c r="V238" s="32" t="n">
        <f>706529378</f>
        <v>7.06529378E8</v>
      </c>
      <c r="W238" s="32" t="n">
        <f>126713120</f>
        <v>1.2671312E8</v>
      </c>
      <c r="X238" s="36" t="n">
        <f>22</f>
        <v>22.0</v>
      </c>
    </row>
    <row r="239">
      <c r="A239" s="27" t="s">
        <v>42</v>
      </c>
      <c r="B239" s="27" t="s">
        <v>766</v>
      </c>
      <c r="C239" s="27" t="s">
        <v>767</v>
      </c>
      <c r="D239" s="27" t="s">
        <v>768</v>
      </c>
      <c r="E239" s="28" t="s">
        <v>46</v>
      </c>
      <c r="F239" s="29" t="s">
        <v>46</v>
      </c>
      <c r="G239" s="30" t="s">
        <v>46</v>
      </c>
      <c r="H239" s="31"/>
      <c r="I239" s="31" t="s">
        <v>47</v>
      </c>
      <c r="J239" s="32" t="n">
        <v>1.0</v>
      </c>
      <c r="K239" s="33" t="n">
        <f>84570</f>
        <v>84570.0</v>
      </c>
      <c r="L239" s="34" t="s">
        <v>48</v>
      </c>
      <c r="M239" s="33" t="n">
        <f>87700</f>
        <v>87700.0</v>
      </c>
      <c r="N239" s="34" t="s">
        <v>76</v>
      </c>
      <c r="O239" s="33" t="n">
        <f>82550</f>
        <v>82550.0</v>
      </c>
      <c r="P239" s="34" t="s">
        <v>72</v>
      </c>
      <c r="Q239" s="33" t="n">
        <f>84890</f>
        <v>84890.0</v>
      </c>
      <c r="R239" s="34" t="s">
        <v>51</v>
      </c>
      <c r="S239" s="35" t="n">
        <f>85349.09</f>
        <v>85349.09</v>
      </c>
      <c r="T239" s="32" t="n">
        <f>23868</f>
        <v>23868.0</v>
      </c>
      <c r="U239" s="32" t="str">
        <f>"－"</f>
        <v>－</v>
      </c>
      <c r="V239" s="32" t="n">
        <f>2047264840</f>
        <v>2.04726484E9</v>
      </c>
      <c r="W239" s="32" t="str">
        <f>"－"</f>
        <v>－</v>
      </c>
      <c r="X239" s="36" t="n">
        <f>22</f>
        <v>22.0</v>
      </c>
    </row>
    <row r="240">
      <c r="A240" s="27" t="s">
        <v>42</v>
      </c>
      <c r="B240" s="27" t="s">
        <v>769</v>
      </c>
      <c r="C240" s="27" t="s">
        <v>770</v>
      </c>
      <c r="D240" s="27" t="s">
        <v>771</v>
      </c>
      <c r="E240" s="28" t="s">
        <v>46</v>
      </c>
      <c r="F240" s="29" t="s">
        <v>46</v>
      </c>
      <c r="G240" s="30" t="s">
        <v>46</v>
      </c>
      <c r="H240" s="31"/>
      <c r="I240" s="31" t="s">
        <v>47</v>
      </c>
      <c r="J240" s="32" t="n">
        <v>1.0</v>
      </c>
      <c r="K240" s="33" t="n">
        <f>6962</f>
        <v>6962.0</v>
      </c>
      <c r="L240" s="34" t="s">
        <v>48</v>
      </c>
      <c r="M240" s="33" t="n">
        <f>7045</f>
        <v>7045.0</v>
      </c>
      <c r="N240" s="34" t="s">
        <v>337</v>
      </c>
      <c r="O240" s="33" t="n">
        <f>6831</f>
        <v>6831.0</v>
      </c>
      <c r="P240" s="34" t="s">
        <v>76</v>
      </c>
      <c r="Q240" s="33" t="n">
        <f>6936</f>
        <v>6936.0</v>
      </c>
      <c r="R240" s="34" t="s">
        <v>51</v>
      </c>
      <c r="S240" s="35" t="n">
        <f>6924.91</f>
        <v>6924.91</v>
      </c>
      <c r="T240" s="32" t="n">
        <f>297380</f>
        <v>297380.0</v>
      </c>
      <c r="U240" s="32" t="n">
        <f>261009</f>
        <v>261009.0</v>
      </c>
      <c r="V240" s="32" t="n">
        <f>2068475809</f>
        <v>2.068475809E9</v>
      </c>
      <c r="W240" s="32" t="n">
        <f>1816984579</f>
        <v>1.816984579E9</v>
      </c>
      <c r="X240" s="36" t="n">
        <f>22</f>
        <v>22.0</v>
      </c>
    </row>
    <row r="241">
      <c r="A241" s="27" t="s">
        <v>42</v>
      </c>
      <c r="B241" s="27" t="s">
        <v>772</v>
      </c>
      <c r="C241" s="27" t="s">
        <v>773</v>
      </c>
      <c r="D241" s="27" t="s">
        <v>774</v>
      </c>
      <c r="E241" s="28" t="s">
        <v>46</v>
      </c>
      <c r="F241" s="29" t="s">
        <v>46</v>
      </c>
      <c r="G241" s="30" t="s">
        <v>46</v>
      </c>
      <c r="H241" s="31"/>
      <c r="I241" s="31" t="s">
        <v>47</v>
      </c>
      <c r="J241" s="32" t="n">
        <v>10.0</v>
      </c>
      <c r="K241" s="33" t="n">
        <f>18295</f>
        <v>18295.0</v>
      </c>
      <c r="L241" s="34" t="s">
        <v>48</v>
      </c>
      <c r="M241" s="33" t="n">
        <f>18965</f>
        <v>18965.0</v>
      </c>
      <c r="N241" s="34" t="s">
        <v>235</v>
      </c>
      <c r="O241" s="33" t="n">
        <f>17865</f>
        <v>17865.0</v>
      </c>
      <c r="P241" s="34" t="s">
        <v>72</v>
      </c>
      <c r="Q241" s="33" t="n">
        <f>18380</f>
        <v>18380.0</v>
      </c>
      <c r="R241" s="34" t="s">
        <v>51</v>
      </c>
      <c r="S241" s="35" t="n">
        <f>18460.91</f>
        <v>18460.91</v>
      </c>
      <c r="T241" s="32" t="n">
        <f>48360</f>
        <v>48360.0</v>
      </c>
      <c r="U241" s="32" t="n">
        <f>10</f>
        <v>10.0</v>
      </c>
      <c r="V241" s="32" t="n">
        <f>895480000</f>
        <v>8.9548E8</v>
      </c>
      <c r="W241" s="32" t="n">
        <f>182150</f>
        <v>182150.0</v>
      </c>
      <c r="X241" s="36" t="n">
        <f>22</f>
        <v>22.0</v>
      </c>
    </row>
    <row r="242">
      <c r="A242" s="27" t="s">
        <v>42</v>
      </c>
      <c r="B242" s="27" t="s">
        <v>775</v>
      </c>
      <c r="C242" s="27" t="s">
        <v>776</v>
      </c>
      <c r="D242" s="27" t="s">
        <v>777</v>
      </c>
      <c r="E242" s="28" t="s">
        <v>46</v>
      </c>
      <c r="F242" s="29" t="s">
        <v>46</v>
      </c>
      <c r="G242" s="30" t="s">
        <v>46</v>
      </c>
      <c r="H242" s="31"/>
      <c r="I242" s="31" t="s">
        <v>47</v>
      </c>
      <c r="J242" s="32" t="n">
        <v>1.0</v>
      </c>
      <c r="K242" s="33" t="n">
        <f>968</f>
        <v>968.0</v>
      </c>
      <c r="L242" s="34" t="s">
        <v>48</v>
      </c>
      <c r="M242" s="33" t="n">
        <f>1046</f>
        <v>1046.0</v>
      </c>
      <c r="N242" s="34" t="s">
        <v>49</v>
      </c>
      <c r="O242" s="33" t="n">
        <f>947</f>
        <v>947.0</v>
      </c>
      <c r="P242" s="34" t="s">
        <v>72</v>
      </c>
      <c r="Q242" s="33" t="n">
        <f>1028</f>
        <v>1028.0</v>
      </c>
      <c r="R242" s="34" t="s">
        <v>51</v>
      </c>
      <c r="S242" s="35" t="n">
        <f>1007.82</f>
        <v>1007.82</v>
      </c>
      <c r="T242" s="32" t="n">
        <f>324374</f>
        <v>324374.0</v>
      </c>
      <c r="U242" s="32" t="str">
        <f>"－"</f>
        <v>－</v>
      </c>
      <c r="V242" s="32" t="n">
        <f>328140975</f>
        <v>3.28140975E8</v>
      </c>
      <c r="W242" s="32" t="str">
        <f>"－"</f>
        <v>－</v>
      </c>
      <c r="X242" s="36" t="n">
        <f>22</f>
        <v>22.0</v>
      </c>
    </row>
    <row r="243">
      <c r="A243" s="27" t="s">
        <v>42</v>
      </c>
      <c r="B243" s="27" t="s">
        <v>778</v>
      </c>
      <c r="C243" s="27" t="s">
        <v>779</v>
      </c>
      <c r="D243" s="27" t="s">
        <v>780</v>
      </c>
      <c r="E243" s="28" t="s">
        <v>46</v>
      </c>
      <c r="F243" s="29" t="s">
        <v>46</v>
      </c>
      <c r="G243" s="30" t="s">
        <v>46</v>
      </c>
      <c r="H243" s="31"/>
      <c r="I243" s="31" t="s">
        <v>47</v>
      </c>
      <c r="J243" s="32" t="n">
        <v>10.0</v>
      </c>
      <c r="K243" s="33" t="n">
        <f>7019</f>
        <v>7019.0</v>
      </c>
      <c r="L243" s="34" t="s">
        <v>48</v>
      </c>
      <c r="M243" s="33" t="n">
        <f>7097</f>
        <v>7097.0</v>
      </c>
      <c r="N243" s="34" t="s">
        <v>72</v>
      </c>
      <c r="O243" s="33" t="n">
        <f>6882</f>
        <v>6882.0</v>
      </c>
      <c r="P243" s="34" t="s">
        <v>76</v>
      </c>
      <c r="Q243" s="33" t="n">
        <f>6980</f>
        <v>6980.0</v>
      </c>
      <c r="R243" s="34" t="s">
        <v>51</v>
      </c>
      <c r="S243" s="35" t="n">
        <f>6975.18</f>
        <v>6975.18</v>
      </c>
      <c r="T243" s="32" t="n">
        <f>34670</f>
        <v>34670.0</v>
      </c>
      <c r="U243" s="32" t="str">
        <f>"－"</f>
        <v>－</v>
      </c>
      <c r="V243" s="32" t="n">
        <f>241886450</f>
        <v>2.4188645E8</v>
      </c>
      <c r="W243" s="32" t="str">
        <f>"－"</f>
        <v>－</v>
      </c>
      <c r="X243" s="36" t="n">
        <f>22</f>
        <v>22.0</v>
      </c>
    </row>
    <row r="244">
      <c r="A244" s="27" t="s">
        <v>42</v>
      </c>
      <c r="B244" s="27" t="s">
        <v>781</v>
      </c>
      <c r="C244" s="27" t="s">
        <v>782</v>
      </c>
      <c r="D244" s="27" t="s">
        <v>783</v>
      </c>
      <c r="E244" s="28" t="s">
        <v>46</v>
      </c>
      <c r="F244" s="29" t="s">
        <v>46</v>
      </c>
      <c r="G244" s="30" t="s">
        <v>46</v>
      </c>
      <c r="H244" s="31"/>
      <c r="I244" s="31" t="s">
        <v>47</v>
      </c>
      <c r="J244" s="32" t="n">
        <v>10.0</v>
      </c>
      <c r="K244" s="33" t="n">
        <f>679.2</f>
        <v>679.2</v>
      </c>
      <c r="L244" s="34" t="s">
        <v>48</v>
      </c>
      <c r="M244" s="33" t="n">
        <f>732.7</f>
        <v>732.7</v>
      </c>
      <c r="N244" s="34" t="s">
        <v>267</v>
      </c>
      <c r="O244" s="33" t="n">
        <f>673.5</f>
        <v>673.5</v>
      </c>
      <c r="P244" s="34" t="s">
        <v>72</v>
      </c>
      <c r="Q244" s="33" t="n">
        <f>718.6</f>
        <v>718.6</v>
      </c>
      <c r="R244" s="34" t="s">
        <v>51</v>
      </c>
      <c r="S244" s="35" t="n">
        <f>709.94</f>
        <v>709.94</v>
      </c>
      <c r="T244" s="32" t="n">
        <f>316320</f>
        <v>316320.0</v>
      </c>
      <c r="U244" s="32" t="n">
        <f>100</f>
        <v>100.0</v>
      </c>
      <c r="V244" s="32" t="n">
        <f>223819141</f>
        <v>2.23819141E8</v>
      </c>
      <c r="W244" s="32" t="n">
        <f>72390</f>
        <v>72390.0</v>
      </c>
      <c r="X244" s="36" t="n">
        <f>22</f>
        <v>22.0</v>
      </c>
    </row>
    <row r="245">
      <c r="A245" s="27" t="s">
        <v>42</v>
      </c>
      <c r="B245" s="27" t="s">
        <v>784</v>
      </c>
      <c r="C245" s="27" t="s">
        <v>785</v>
      </c>
      <c r="D245" s="27" t="s">
        <v>786</v>
      </c>
      <c r="E245" s="28" t="s">
        <v>46</v>
      </c>
      <c r="F245" s="29" t="s">
        <v>46</v>
      </c>
      <c r="G245" s="30" t="s">
        <v>46</v>
      </c>
      <c r="H245" s="31"/>
      <c r="I245" s="31" t="s">
        <v>47</v>
      </c>
      <c r="J245" s="32" t="n">
        <v>10.0</v>
      </c>
      <c r="K245" s="33" t="n">
        <f>587</f>
        <v>587.0</v>
      </c>
      <c r="L245" s="34" t="s">
        <v>48</v>
      </c>
      <c r="M245" s="33" t="n">
        <f>600.5</f>
        <v>600.5</v>
      </c>
      <c r="N245" s="34" t="s">
        <v>235</v>
      </c>
      <c r="O245" s="33" t="n">
        <f>581.2</f>
        <v>581.2</v>
      </c>
      <c r="P245" s="34" t="s">
        <v>337</v>
      </c>
      <c r="Q245" s="33" t="n">
        <f>582</f>
        <v>582.0</v>
      </c>
      <c r="R245" s="34" t="s">
        <v>51</v>
      </c>
      <c r="S245" s="35" t="n">
        <f>588.71</f>
        <v>588.71</v>
      </c>
      <c r="T245" s="32" t="n">
        <f>372140</f>
        <v>372140.0</v>
      </c>
      <c r="U245" s="32" t="n">
        <f>40</f>
        <v>40.0</v>
      </c>
      <c r="V245" s="32" t="n">
        <f>219727939</f>
        <v>2.19727939E8</v>
      </c>
      <c r="W245" s="32" t="n">
        <f>23473</f>
        <v>23473.0</v>
      </c>
      <c r="X245" s="36" t="n">
        <f>22</f>
        <v>22.0</v>
      </c>
    </row>
    <row r="246">
      <c r="A246" s="27" t="s">
        <v>42</v>
      </c>
      <c r="B246" s="27" t="s">
        <v>787</v>
      </c>
      <c r="C246" s="27" t="s">
        <v>788</v>
      </c>
      <c r="D246" s="27" t="s">
        <v>789</v>
      </c>
      <c r="E246" s="28" t="s">
        <v>46</v>
      </c>
      <c r="F246" s="29" t="s">
        <v>46</v>
      </c>
      <c r="G246" s="30" t="s">
        <v>46</v>
      </c>
      <c r="H246" s="31"/>
      <c r="I246" s="31" t="s">
        <v>47</v>
      </c>
      <c r="J246" s="32" t="n">
        <v>1.0</v>
      </c>
      <c r="K246" s="33" t="n">
        <f>1777</f>
        <v>1777.0</v>
      </c>
      <c r="L246" s="34" t="s">
        <v>48</v>
      </c>
      <c r="M246" s="33" t="n">
        <f>1948</f>
        <v>1948.0</v>
      </c>
      <c r="N246" s="34" t="s">
        <v>76</v>
      </c>
      <c r="O246" s="33" t="n">
        <f>1715</f>
        <v>1715.0</v>
      </c>
      <c r="P246" s="34" t="s">
        <v>72</v>
      </c>
      <c r="Q246" s="33" t="n">
        <f>1870</f>
        <v>1870.0</v>
      </c>
      <c r="R246" s="34" t="s">
        <v>51</v>
      </c>
      <c r="S246" s="35" t="n">
        <f>1859.91</f>
        <v>1859.91</v>
      </c>
      <c r="T246" s="32" t="n">
        <f>9526431</f>
        <v>9526431.0</v>
      </c>
      <c r="U246" s="32" t="n">
        <f>633331</f>
        <v>633331.0</v>
      </c>
      <c r="V246" s="32" t="n">
        <f>17814366642</f>
        <v>1.7814366642E10</v>
      </c>
      <c r="W246" s="32" t="n">
        <f>1202487031</f>
        <v>1.202487031E9</v>
      </c>
      <c r="X246" s="36" t="n">
        <f>22</f>
        <v>22.0</v>
      </c>
    </row>
    <row r="247">
      <c r="A247" s="27" t="s">
        <v>42</v>
      </c>
      <c r="B247" s="27" t="s">
        <v>790</v>
      </c>
      <c r="C247" s="27" t="s">
        <v>791</v>
      </c>
      <c r="D247" s="27" t="s">
        <v>792</v>
      </c>
      <c r="E247" s="28" t="s">
        <v>46</v>
      </c>
      <c r="F247" s="29" t="s">
        <v>46</v>
      </c>
      <c r="G247" s="30" t="s">
        <v>46</v>
      </c>
      <c r="H247" s="31"/>
      <c r="I247" s="31" t="s">
        <v>47</v>
      </c>
      <c r="J247" s="32" t="n">
        <v>1.0</v>
      </c>
      <c r="K247" s="33" t="n">
        <f>2091</f>
        <v>2091.0</v>
      </c>
      <c r="L247" s="34" t="s">
        <v>48</v>
      </c>
      <c r="M247" s="33" t="n">
        <f>2288</f>
        <v>2288.0</v>
      </c>
      <c r="N247" s="34" t="s">
        <v>49</v>
      </c>
      <c r="O247" s="33" t="n">
        <f>2052</f>
        <v>2052.0</v>
      </c>
      <c r="P247" s="34" t="s">
        <v>72</v>
      </c>
      <c r="Q247" s="33" t="n">
        <f>2230</f>
        <v>2230.0</v>
      </c>
      <c r="R247" s="34" t="s">
        <v>51</v>
      </c>
      <c r="S247" s="35" t="n">
        <f>2172.18</f>
        <v>2172.18</v>
      </c>
      <c r="T247" s="32" t="n">
        <f>7488981</f>
        <v>7488981.0</v>
      </c>
      <c r="U247" s="32" t="n">
        <f>3037</f>
        <v>3037.0</v>
      </c>
      <c r="V247" s="32" t="n">
        <f>16345698315</f>
        <v>1.6345698315E10</v>
      </c>
      <c r="W247" s="32" t="n">
        <f>6600379</f>
        <v>6600379.0</v>
      </c>
      <c r="X247" s="36" t="n">
        <f>22</f>
        <v>22.0</v>
      </c>
    </row>
    <row r="248">
      <c r="A248" s="27" t="s">
        <v>42</v>
      </c>
      <c r="B248" s="27" t="s">
        <v>793</v>
      </c>
      <c r="C248" s="27" t="s">
        <v>794</v>
      </c>
      <c r="D248" s="27" t="s">
        <v>795</v>
      </c>
      <c r="E248" s="28" t="s">
        <v>46</v>
      </c>
      <c r="F248" s="29" t="s">
        <v>46</v>
      </c>
      <c r="G248" s="30" t="s">
        <v>46</v>
      </c>
      <c r="H248" s="31"/>
      <c r="I248" s="31" t="s">
        <v>47</v>
      </c>
      <c r="J248" s="32" t="n">
        <v>10.0</v>
      </c>
      <c r="K248" s="33" t="n">
        <f>795</f>
        <v>795.0</v>
      </c>
      <c r="L248" s="34" t="s">
        <v>64</v>
      </c>
      <c r="M248" s="33" t="n">
        <f>795</f>
        <v>795.0</v>
      </c>
      <c r="N248" s="34" t="s">
        <v>64</v>
      </c>
      <c r="O248" s="33" t="n">
        <f>763.3</f>
        <v>763.3</v>
      </c>
      <c r="P248" s="34" t="s">
        <v>51</v>
      </c>
      <c r="Q248" s="33" t="n">
        <f>763.3</f>
        <v>763.3</v>
      </c>
      <c r="R248" s="34" t="s">
        <v>51</v>
      </c>
      <c r="S248" s="35" t="n">
        <f>774.23</f>
        <v>774.23</v>
      </c>
      <c r="T248" s="32" t="n">
        <f>48870</f>
        <v>48870.0</v>
      </c>
      <c r="U248" s="32" t="str">
        <f>"－"</f>
        <v>－</v>
      </c>
      <c r="V248" s="32" t="n">
        <f>37545926</f>
        <v>3.7545926E7</v>
      </c>
      <c r="W248" s="32" t="str">
        <f>"－"</f>
        <v>－</v>
      </c>
      <c r="X248" s="36" t="n">
        <f>11</f>
        <v>11.0</v>
      </c>
    </row>
    <row r="249">
      <c r="A249" s="27" t="s">
        <v>42</v>
      </c>
      <c r="B249" s="27" t="s">
        <v>796</v>
      </c>
      <c r="C249" s="27" t="s">
        <v>797</v>
      </c>
      <c r="D249" s="27" t="s">
        <v>798</v>
      </c>
      <c r="E249" s="28" t="s">
        <v>46</v>
      </c>
      <c r="F249" s="29" t="s">
        <v>46</v>
      </c>
      <c r="G249" s="30" t="s">
        <v>46</v>
      </c>
      <c r="H249" s="31"/>
      <c r="I249" s="31" t="s">
        <v>47</v>
      </c>
      <c r="J249" s="32" t="n">
        <v>10.0</v>
      </c>
      <c r="K249" s="33" t="n">
        <f>771.5</f>
        <v>771.5</v>
      </c>
      <c r="L249" s="34" t="s">
        <v>55</v>
      </c>
      <c r="M249" s="33" t="n">
        <f>781.4</f>
        <v>781.4</v>
      </c>
      <c r="N249" s="34" t="s">
        <v>60</v>
      </c>
      <c r="O249" s="33" t="n">
        <f>761</f>
        <v>761.0</v>
      </c>
      <c r="P249" s="34" t="s">
        <v>51</v>
      </c>
      <c r="Q249" s="33" t="n">
        <f>761</f>
        <v>761.0</v>
      </c>
      <c r="R249" s="34" t="s">
        <v>51</v>
      </c>
      <c r="S249" s="35" t="n">
        <f>768.08</f>
        <v>768.08</v>
      </c>
      <c r="T249" s="32" t="n">
        <f>259230</f>
        <v>259230.0</v>
      </c>
      <c r="U249" s="32" t="str">
        <f>"－"</f>
        <v>－</v>
      </c>
      <c r="V249" s="32" t="n">
        <f>198534548</f>
        <v>1.98534548E8</v>
      </c>
      <c r="W249" s="32" t="str">
        <f>"－"</f>
        <v>－</v>
      </c>
      <c r="X249" s="36" t="n">
        <f>12</f>
        <v>12.0</v>
      </c>
    </row>
    <row r="250">
      <c r="A250" s="27" t="s">
        <v>42</v>
      </c>
      <c r="B250" s="27" t="s">
        <v>799</v>
      </c>
      <c r="C250" s="27" t="s">
        <v>800</v>
      </c>
      <c r="D250" s="27" t="s">
        <v>801</v>
      </c>
      <c r="E250" s="28" t="s">
        <v>46</v>
      </c>
      <c r="F250" s="29" t="s">
        <v>46</v>
      </c>
      <c r="G250" s="30" t="s">
        <v>46</v>
      </c>
      <c r="H250" s="31"/>
      <c r="I250" s="31" t="s">
        <v>47</v>
      </c>
      <c r="J250" s="32" t="n">
        <v>1.0</v>
      </c>
      <c r="K250" s="33" t="n">
        <f>15595</f>
        <v>15595.0</v>
      </c>
      <c r="L250" s="34" t="s">
        <v>48</v>
      </c>
      <c r="M250" s="33" t="n">
        <f>16935</f>
        <v>16935.0</v>
      </c>
      <c r="N250" s="34" t="s">
        <v>219</v>
      </c>
      <c r="O250" s="33" t="n">
        <f>15330</f>
        <v>15330.0</v>
      </c>
      <c r="P250" s="34" t="s">
        <v>72</v>
      </c>
      <c r="Q250" s="33" t="n">
        <f>16610</f>
        <v>16610.0</v>
      </c>
      <c r="R250" s="34" t="s">
        <v>51</v>
      </c>
      <c r="S250" s="35" t="n">
        <f>16256.14</f>
        <v>16256.14</v>
      </c>
      <c r="T250" s="32" t="n">
        <f>198024</f>
        <v>198024.0</v>
      </c>
      <c r="U250" s="32" t="n">
        <f>2</f>
        <v>2.0</v>
      </c>
      <c r="V250" s="32" t="n">
        <f>3255050920</f>
        <v>3.25505092E9</v>
      </c>
      <c r="W250" s="32" t="n">
        <f>33090</f>
        <v>33090.0</v>
      </c>
      <c r="X250" s="36" t="n">
        <f>22</f>
        <v>22.0</v>
      </c>
    </row>
    <row r="251">
      <c r="A251" s="27" t="s">
        <v>42</v>
      </c>
      <c r="B251" s="27" t="s">
        <v>802</v>
      </c>
      <c r="C251" s="27" t="s">
        <v>803</v>
      </c>
      <c r="D251" s="27" t="s">
        <v>804</v>
      </c>
      <c r="E251" s="28" t="s">
        <v>46</v>
      </c>
      <c r="F251" s="29" t="s">
        <v>46</v>
      </c>
      <c r="G251" s="30" t="s">
        <v>46</v>
      </c>
      <c r="H251" s="31"/>
      <c r="I251" s="31" t="s">
        <v>47</v>
      </c>
      <c r="J251" s="32" t="n">
        <v>1.0</v>
      </c>
      <c r="K251" s="33" t="n">
        <f>44500</f>
        <v>44500.0</v>
      </c>
      <c r="L251" s="34" t="s">
        <v>48</v>
      </c>
      <c r="M251" s="33" t="n">
        <f>45380</f>
        <v>45380.0</v>
      </c>
      <c r="N251" s="34" t="s">
        <v>235</v>
      </c>
      <c r="O251" s="33" t="n">
        <f>43970</f>
        <v>43970.0</v>
      </c>
      <c r="P251" s="34" t="s">
        <v>72</v>
      </c>
      <c r="Q251" s="33" t="n">
        <f>44660</f>
        <v>44660.0</v>
      </c>
      <c r="R251" s="34" t="s">
        <v>51</v>
      </c>
      <c r="S251" s="35" t="n">
        <f>44753.18</f>
        <v>44753.18</v>
      </c>
      <c r="T251" s="32" t="n">
        <f>124209</f>
        <v>124209.0</v>
      </c>
      <c r="U251" s="32" t="n">
        <f>13500</f>
        <v>13500.0</v>
      </c>
      <c r="V251" s="32" t="n">
        <f>5557633940</f>
        <v>5.55763394E9</v>
      </c>
      <c r="W251" s="32" t="n">
        <f>605196900</f>
        <v>6.051969E8</v>
      </c>
      <c r="X251" s="36" t="n">
        <f>22</f>
        <v>22.0</v>
      </c>
    </row>
    <row r="252">
      <c r="A252" s="27" t="s">
        <v>42</v>
      </c>
      <c r="B252" s="27" t="s">
        <v>805</v>
      </c>
      <c r="C252" s="27" t="s">
        <v>806</v>
      </c>
      <c r="D252" s="27" t="s">
        <v>807</v>
      </c>
      <c r="E252" s="28" t="s">
        <v>46</v>
      </c>
      <c r="F252" s="29" t="s">
        <v>46</v>
      </c>
      <c r="G252" s="30" t="s">
        <v>46</v>
      </c>
      <c r="H252" s="31"/>
      <c r="I252" s="31" t="s">
        <v>47</v>
      </c>
      <c r="J252" s="32" t="n">
        <v>1.0</v>
      </c>
      <c r="K252" s="33" t="n">
        <f>17560</f>
        <v>17560.0</v>
      </c>
      <c r="L252" s="34" t="s">
        <v>48</v>
      </c>
      <c r="M252" s="33" t="n">
        <f>18140</f>
        <v>18140.0</v>
      </c>
      <c r="N252" s="34" t="s">
        <v>337</v>
      </c>
      <c r="O252" s="33" t="n">
        <f>16970</f>
        <v>16970.0</v>
      </c>
      <c r="P252" s="34" t="s">
        <v>76</v>
      </c>
      <c r="Q252" s="33" t="n">
        <f>17490</f>
        <v>17490.0</v>
      </c>
      <c r="R252" s="34" t="s">
        <v>51</v>
      </c>
      <c r="S252" s="35" t="n">
        <f>17443.41</f>
        <v>17443.41</v>
      </c>
      <c r="T252" s="32" t="n">
        <f>58539</f>
        <v>58539.0</v>
      </c>
      <c r="U252" s="32" t="n">
        <f>7</f>
        <v>7.0</v>
      </c>
      <c r="V252" s="32" t="n">
        <f>1018185740</f>
        <v>1.01818574E9</v>
      </c>
      <c r="W252" s="32" t="n">
        <f>125000</f>
        <v>125000.0</v>
      </c>
      <c r="X252" s="36" t="n">
        <f>22</f>
        <v>22.0</v>
      </c>
    </row>
    <row r="253">
      <c r="A253" s="27" t="s">
        <v>42</v>
      </c>
      <c r="B253" s="27" t="s">
        <v>808</v>
      </c>
      <c r="C253" s="27" t="s">
        <v>809</v>
      </c>
      <c r="D253" s="27" t="s">
        <v>810</v>
      </c>
      <c r="E253" s="28" t="s">
        <v>46</v>
      </c>
      <c r="F253" s="29" t="s">
        <v>46</v>
      </c>
      <c r="G253" s="30" t="s">
        <v>46</v>
      </c>
      <c r="H253" s="31"/>
      <c r="I253" s="31" t="s">
        <v>47</v>
      </c>
      <c r="J253" s="32" t="n">
        <v>1.0</v>
      </c>
      <c r="K253" s="33" t="n">
        <f>955</f>
        <v>955.0</v>
      </c>
      <c r="L253" s="34" t="s">
        <v>48</v>
      </c>
      <c r="M253" s="33" t="n">
        <f>1173</f>
        <v>1173.0</v>
      </c>
      <c r="N253" s="34" t="s">
        <v>84</v>
      </c>
      <c r="O253" s="33" t="n">
        <f>920</f>
        <v>920.0</v>
      </c>
      <c r="P253" s="34" t="s">
        <v>48</v>
      </c>
      <c r="Q253" s="33" t="n">
        <f>1083</f>
        <v>1083.0</v>
      </c>
      <c r="R253" s="34" t="s">
        <v>51</v>
      </c>
      <c r="S253" s="35" t="n">
        <f>1052</f>
        <v>1052.0</v>
      </c>
      <c r="T253" s="32" t="n">
        <f>318574</f>
        <v>318574.0</v>
      </c>
      <c r="U253" s="32" t="n">
        <f>1</f>
        <v>1.0</v>
      </c>
      <c r="V253" s="32" t="n">
        <f>346213886</f>
        <v>3.46213886E8</v>
      </c>
      <c r="W253" s="32" t="n">
        <f>1020</f>
        <v>1020.0</v>
      </c>
      <c r="X253" s="36" t="n">
        <f>22</f>
        <v>22.0</v>
      </c>
    </row>
    <row r="254">
      <c r="A254" s="27" t="s">
        <v>42</v>
      </c>
      <c r="B254" s="27" t="s">
        <v>811</v>
      </c>
      <c r="C254" s="27" t="s">
        <v>812</v>
      </c>
      <c r="D254" s="27" t="s">
        <v>813</v>
      </c>
      <c r="E254" s="28" t="s">
        <v>46</v>
      </c>
      <c r="F254" s="29" t="s">
        <v>46</v>
      </c>
      <c r="G254" s="30" t="s">
        <v>46</v>
      </c>
      <c r="H254" s="31"/>
      <c r="I254" s="31" t="s">
        <v>47</v>
      </c>
      <c r="J254" s="32" t="n">
        <v>10.0</v>
      </c>
      <c r="K254" s="33" t="n">
        <f>236.8</f>
        <v>236.8</v>
      </c>
      <c r="L254" s="34" t="s">
        <v>48</v>
      </c>
      <c r="M254" s="33" t="n">
        <f>249.9</f>
        <v>249.9</v>
      </c>
      <c r="N254" s="34" t="s">
        <v>534</v>
      </c>
      <c r="O254" s="33" t="n">
        <f>234.6</f>
        <v>234.6</v>
      </c>
      <c r="P254" s="34" t="s">
        <v>50</v>
      </c>
      <c r="Q254" s="33" t="n">
        <f>242.6</f>
        <v>242.6</v>
      </c>
      <c r="R254" s="34" t="s">
        <v>51</v>
      </c>
      <c r="S254" s="35" t="n">
        <f>240.85</f>
        <v>240.85</v>
      </c>
      <c r="T254" s="32" t="n">
        <f>22680</f>
        <v>22680.0</v>
      </c>
      <c r="U254" s="32" t="str">
        <f>"－"</f>
        <v>－</v>
      </c>
      <c r="V254" s="32" t="n">
        <f>5419131</f>
        <v>5419131.0</v>
      </c>
      <c r="W254" s="32" t="str">
        <f>"－"</f>
        <v>－</v>
      </c>
      <c r="X254" s="36" t="n">
        <f>22</f>
        <v>22.0</v>
      </c>
    </row>
    <row r="255">
      <c r="A255" s="27" t="s">
        <v>42</v>
      </c>
      <c r="B255" s="27" t="s">
        <v>814</v>
      </c>
      <c r="C255" s="27" t="s">
        <v>815</v>
      </c>
      <c r="D255" s="27" t="s">
        <v>816</v>
      </c>
      <c r="E255" s="28" t="s">
        <v>46</v>
      </c>
      <c r="F255" s="29" t="s">
        <v>46</v>
      </c>
      <c r="G255" s="30" t="s">
        <v>46</v>
      </c>
      <c r="H255" s="31"/>
      <c r="I255" s="31" t="s">
        <v>47</v>
      </c>
      <c r="J255" s="32" t="n">
        <v>10.0</v>
      </c>
      <c r="K255" s="33" t="n">
        <f>747</f>
        <v>747.0</v>
      </c>
      <c r="L255" s="34" t="s">
        <v>48</v>
      </c>
      <c r="M255" s="33" t="n">
        <f>774.9</f>
        <v>774.9</v>
      </c>
      <c r="N255" s="34" t="s">
        <v>50</v>
      </c>
      <c r="O255" s="33" t="n">
        <f>729.9</f>
        <v>729.9</v>
      </c>
      <c r="P255" s="34" t="s">
        <v>50</v>
      </c>
      <c r="Q255" s="33" t="n">
        <f>751.9</f>
        <v>751.9</v>
      </c>
      <c r="R255" s="34" t="s">
        <v>51</v>
      </c>
      <c r="S255" s="35" t="n">
        <f>752.31</f>
        <v>752.31</v>
      </c>
      <c r="T255" s="32" t="n">
        <f>2667410</f>
        <v>2667410.0</v>
      </c>
      <c r="U255" s="32" t="n">
        <f>1257600</f>
        <v>1257600.0</v>
      </c>
      <c r="V255" s="32" t="n">
        <f>2008732133</f>
        <v>2.008732133E9</v>
      </c>
      <c r="W255" s="32" t="n">
        <f>948518812</f>
        <v>9.48518812E8</v>
      </c>
      <c r="X255" s="36" t="n">
        <f>22</f>
        <v>22.0</v>
      </c>
    </row>
    <row r="256">
      <c r="A256" s="27" t="s">
        <v>42</v>
      </c>
      <c r="B256" s="27" t="s">
        <v>817</v>
      </c>
      <c r="C256" s="27" t="s">
        <v>818</v>
      </c>
      <c r="D256" s="27" t="s">
        <v>819</v>
      </c>
      <c r="E256" s="28" t="s">
        <v>46</v>
      </c>
      <c r="F256" s="29" t="s">
        <v>46</v>
      </c>
      <c r="G256" s="30" t="s">
        <v>46</v>
      </c>
      <c r="H256" s="31"/>
      <c r="I256" s="31" t="s">
        <v>47</v>
      </c>
      <c r="J256" s="32" t="n">
        <v>1.0</v>
      </c>
      <c r="K256" s="33" t="n">
        <f>1151</f>
        <v>1151.0</v>
      </c>
      <c r="L256" s="34" t="s">
        <v>48</v>
      </c>
      <c r="M256" s="33" t="n">
        <f>1245</f>
        <v>1245.0</v>
      </c>
      <c r="N256" s="34" t="s">
        <v>219</v>
      </c>
      <c r="O256" s="33" t="n">
        <f>1135</f>
        <v>1135.0</v>
      </c>
      <c r="P256" s="34" t="s">
        <v>72</v>
      </c>
      <c r="Q256" s="33" t="n">
        <f>1230</f>
        <v>1230.0</v>
      </c>
      <c r="R256" s="34" t="s">
        <v>51</v>
      </c>
      <c r="S256" s="35" t="n">
        <f>1198</f>
        <v>1198.0</v>
      </c>
      <c r="T256" s="32" t="n">
        <f>375261</f>
        <v>375261.0</v>
      </c>
      <c r="U256" s="32" t="str">
        <f>"－"</f>
        <v>－</v>
      </c>
      <c r="V256" s="32" t="n">
        <f>455386397</f>
        <v>4.55386397E8</v>
      </c>
      <c r="W256" s="32" t="str">
        <f>"－"</f>
        <v>－</v>
      </c>
      <c r="X256" s="36" t="n">
        <f>22</f>
        <v>22.0</v>
      </c>
    </row>
    <row r="257">
      <c r="A257" s="27" t="s">
        <v>42</v>
      </c>
      <c r="B257" s="27" t="s">
        <v>820</v>
      </c>
      <c r="C257" s="27" t="s">
        <v>821</v>
      </c>
      <c r="D257" s="27" t="s">
        <v>822</v>
      </c>
      <c r="E257" s="28" t="s">
        <v>46</v>
      </c>
      <c r="F257" s="29" t="s">
        <v>46</v>
      </c>
      <c r="G257" s="30" t="s">
        <v>46</v>
      </c>
      <c r="H257" s="31"/>
      <c r="I257" s="31" t="s">
        <v>47</v>
      </c>
      <c r="J257" s="32" t="n">
        <v>1.0</v>
      </c>
      <c r="K257" s="33" t="n">
        <f>1143</f>
        <v>1143.0</v>
      </c>
      <c r="L257" s="34" t="s">
        <v>48</v>
      </c>
      <c r="M257" s="33" t="n">
        <f>1220</f>
        <v>1220.0</v>
      </c>
      <c r="N257" s="34" t="s">
        <v>219</v>
      </c>
      <c r="O257" s="33" t="n">
        <f>1141</f>
        <v>1141.0</v>
      </c>
      <c r="P257" s="34" t="s">
        <v>48</v>
      </c>
      <c r="Q257" s="33" t="n">
        <f>1215</f>
        <v>1215.0</v>
      </c>
      <c r="R257" s="34" t="s">
        <v>51</v>
      </c>
      <c r="S257" s="35" t="n">
        <f>1188.09</f>
        <v>1188.09</v>
      </c>
      <c r="T257" s="32" t="n">
        <f>209926</f>
        <v>209926.0</v>
      </c>
      <c r="U257" s="32" t="str">
        <f>"－"</f>
        <v>－</v>
      </c>
      <c r="V257" s="32" t="n">
        <f>252637545</f>
        <v>2.52637545E8</v>
      </c>
      <c r="W257" s="32" t="str">
        <f>"－"</f>
        <v>－</v>
      </c>
      <c r="X257" s="36" t="n">
        <f>22</f>
        <v>22.0</v>
      </c>
    </row>
    <row r="258">
      <c r="A258" s="27" t="s">
        <v>42</v>
      </c>
      <c r="B258" s="27" t="s">
        <v>823</v>
      </c>
      <c r="C258" s="27" t="s">
        <v>824</v>
      </c>
      <c r="D258" s="27" t="s">
        <v>825</v>
      </c>
      <c r="E258" s="28" t="s">
        <v>46</v>
      </c>
      <c r="F258" s="29" t="s">
        <v>46</v>
      </c>
      <c r="G258" s="30" t="s">
        <v>46</v>
      </c>
      <c r="H258" s="31"/>
      <c r="I258" s="31" t="s">
        <v>47</v>
      </c>
      <c r="J258" s="32" t="n">
        <v>1.0</v>
      </c>
      <c r="K258" s="33" t="n">
        <f>901</f>
        <v>901.0</v>
      </c>
      <c r="L258" s="34" t="s">
        <v>48</v>
      </c>
      <c r="M258" s="33" t="n">
        <f>1322</f>
        <v>1322.0</v>
      </c>
      <c r="N258" s="34" t="s">
        <v>83</v>
      </c>
      <c r="O258" s="33" t="n">
        <f>817</f>
        <v>817.0</v>
      </c>
      <c r="P258" s="34" t="s">
        <v>84</v>
      </c>
      <c r="Q258" s="33" t="n">
        <f>904</f>
        <v>904.0</v>
      </c>
      <c r="R258" s="34" t="s">
        <v>51</v>
      </c>
      <c r="S258" s="35" t="n">
        <f>924.09</f>
        <v>924.09</v>
      </c>
      <c r="T258" s="32" t="n">
        <f>4247937</f>
        <v>4247937.0</v>
      </c>
      <c r="U258" s="32" t="n">
        <f>1</f>
        <v>1.0</v>
      </c>
      <c r="V258" s="32" t="n">
        <f>4120880895</f>
        <v>4.120880895E9</v>
      </c>
      <c r="W258" s="32" t="n">
        <f>881</f>
        <v>881.0</v>
      </c>
      <c r="X258" s="36" t="n">
        <f>22</f>
        <v>22.0</v>
      </c>
    </row>
    <row r="259">
      <c r="A259" s="27" t="s">
        <v>42</v>
      </c>
      <c r="B259" s="27" t="s">
        <v>826</v>
      </c>
      <c r="C259" s="27" t="s">
        <v>827</v>
      </c>
      <c r="D259" s="27" t="s">
        <v>828</v>
      </c>
      <c r="E259" s="28" t="s">
        <v>46</v>
      </c>
      <c r="F259" s="29" t="s">
        <v>46</v>
      </c>
      <c r="G259" s="30" t="s">
        <v>46</v>
      </c>
      <c r="H259" s="31"/>
      <c r="I259" s="31" t="s">
        <v>47</v>
      </c>
      <c r="J259" s="32" t="n">
        <v>10.0</v>
      </c>
      <c r="K259" s="33" t="n">
        <f>214.3</f>
        <v>214.3</v>
      </c>
      <c r="L259" s="34" t="s">
        <v>48</v>
      </c>
      <c r="M259" s="33" t="n">
        <f>218.6</f>
        <v>218.6</v>
      </c>
      <c r="N259" s="34" t="s">
        <v>64</v>
      </c>
      <c r="O259" s="33" t="n">
        <f>209</f>
        <v>209.0</v>
      </c>
      <c r="P259" s="34" t="s">
        <v>92</v>
      </c>
      <c r="Q259" s="33" t="n">
        <f>213.7</f>
        <v>213.7</v>
      </c>
      <c r="R259" s="34" t="s">
        <v>51</v>
      </c>
      <c r="S259" s="35" t="n">
        <f>213.57</f>
        <v>213.57</v>
      </c>
      <c r="T259" s="32" t="n">
        <f>11333380</f>
        <v>1.133338E7</v>
      </c>
      <c r="U259" s="32" t="n">
        <f>35940</f>
        <v>35940.0</v>
      </c>
      <c r="V259" s="32" t="n">
        <f>2416205794</f>
        <v>2.416205794E9</v>
      </c>
      <c r="W259" s="32" t="n">
        <f>7704296</f>
        <v>7704296.0</v>
      </c>
      <c r="X259" s="36" t="n">
        <f>22</f>
        <v>22.0</v>
      </c>
    </row>
    <row r="260">
      <c r="A260" s="27" t="s">
        <v>42</v>
      </c>
      <c r="B260" s="27" t="s">
        <v>829</v>
      </c>
      <c r="C260" s="27" t="s">
        <v>830</v>
      </c>
      <c r="D260" s="27" t="s">
        <v>831</v>
      </c>
      <c r="E260" s="28" t="s">
        <v>46</v>
      </c>
      <c r="F260" s="29" t="s">
        <v>46</v>
      </c>
      <c r="G260" s="30" t="s">
        <v>46</v>
      </c>
      <c r="H260" s="31"/>
      <c r="I260" s="31" t="s">
        <v>47</v>
      </c>
      <c r="J260" s="32" t="n">
        <v>10.0</v>
      </c>
      <c r="K260" s="33" t="n">
        <f>207.8</f>
        <v>207.8</v>
      </c>
      <c r="L260" s="34" t="s">
        <v>48</v>
      </c>
      <c r="M260" s="33" t="n">
        <f>214.5</f>
        <v>214.5</v>
      </c>
      <c r="N260" s="34" t="s">
        <v>49</v>
      </c>
      <c r="O260" s="33" t="n">
        <f>207.2</f>
        <v>207.2</v>
      </c>
      <c r="P260" s="34" t="s">
        <v>48</v>
      </c>
      <c r="Q260" s="33" t="n">
        <f>213.1</f>
        <v>213.1</v>
      </c>
      <c r="R260" s="34" t="s">
        <v>51</v>
      </c>
      <c r="S260" s="35" t="n">
        <f>211.28</f>
        <v>211.28</v>
      </c>
      <c r="T260" s="32" t="n">
        <f>591250</f>
        <v>591250.0</v>
      </c>
      <c r="U260" s="32" t="n">
        <f>410</f>
        <v>410.0</v>
      </c>
      <c r="V260" s="32" t="n">
        <f>124894563</f>
        <v>1.24894563E8</v>
      </c>
      <c r="W260" s="32" t="n">
        <f>86084</f>
        <v>86084.0</v>
      </c>
      <c r="X260" s="36" t="n">
        <f>22</f>
        <v>22.0</v>
      </c>
    </row>
    <row r="261">
      <c r="A261" s="27" t="s">
        <v>42</v>
      </c>
      <c r="B261" s="27" t="s">
        <v>832</v>
      </c>
      <c r="C261" s="27" t="s">
        <v>833</v>
      </c>
      <c r="D261" s="27" t="s">
        <v>834</v>
      </c>
      <c r="E261" s="28" t="s">
        <v>46</v>
      </c>
      <c r="F261" s="29" t="s">
        <v>46</v>
      </c>
      <c r="G261" s="30" t="s">
        <v>46</v>
      </c>
      <c r="H261" s="31"/>
      <c r="I261" s="31" t="s">
        <v>47</v>
      </c>
      <c r="J261" s="32" t="n">
        <v>10.0</v>
      </c>
      <c r="K261" s="33" t="n">
        <f>210.9</f>
        <v>210.9</v>
      </c>
      <c r="L261" s="34" t="s">
        <v>48</v>
      </c>
      <c r="M261" s="33" t="n">
        <f>216.3</f>
        <v>216.3</v>
      </c>
      <c r="N261" s="34" t="s">
        <v>83</v>
      </c>
      <c r="O261" s="33" t="n">
        <f>208.9</f>
        <v>208.9</v>
      </c>
      <c r="P261" s="34" t="s">
        <v>48</v>
      </c>
      <c r="Q261" s="33" t="n">
        <f>214.8</f>
        <v>214.8</v>
      </c>
      <c r="R261" s="34" t="s">
        <v>51</v>
      </c>
      <c r="S261" s="35" t="n">
        <f>212.94</f>
        <v>212.94</v>
      </c>
      <c r="T261" s="32" t="n">
        <f>260830</f>
        <v>260830.0</v>
      </c>
      <c r="U261" s="32" t="n">
        <f>410</f>
        <v>410.0</v>
      </c>
      <c r="V261" s="32" t="n">
        <f>55518731</f>
        <v>5.5518731E7</v>
      </c>
      <c r="W261" s="32" t="n">
        <f>84411</f>
        <v>84411.0</v>
      </c>
      <c r="X261" s="36" t="n">
        <f>22</f>
        <v>22.0</v>
      </c>
    </row>
    <row r="262">
      <c r="A262" s="27" t="s">
        <v>42</v>
      </c>
      <c r="B262" s="27" t="s">
        <v>835</v>
      </c>
      <c r="C262" s="27" t="s">
        <v>836</v>
      </c>
      <c r="D262" s="27" t="s">
        <v>837</v>
      </c>
      <c r="E262" s="28" t="s">
        <v>46</v>
      </c>
      <c r="F262" s="29" t="s">
        <v>46</v>
      </c>
      <c r="G262" s="30" t="s">
        <v>46</v>
      </c>
      <c r="H262" s="31"/>
      <c r="I262" s="31" t="s">
        <v>47</v>
      </c>
      <c r="J262" s="32" t="n">
        <v>10.0</v>
      </c>
      <c r="K262" s="33" t="n">
        <f>209.1</f>
        <v>209.1</v>
      </c>
      <c r="L262" s="34" t="s">
        <v>48</v>
      </c>
      <c r="M262" s="33" t="n">
        <f>219.3</f>
        <v>219.3</v>
      </c>
      <c r="N262" s="34" t="s">
        <v>51</v>
      </c>
      <c r="O262" s="33" t="n">
        <f>204.1</f>
        <v>204.1</v>
      </c>
      <c r="P262" s="34" t="s">
        <v>72</v>
      </c>
      <c r="Q262" s="33" t="n">
        <f>217.2</f>
        <v>217.2</v>
      </c>
      <c r="R262" s="34" t="s">
        <v>51</v>
      </c>
      <c r="S262" s="35" t="n">
        <f>214.03</f>
        <v>214.03</v>
      </c>
      <c r="T262" s="32" t="n">
        <f>551850</f>
        <v>551850.0</v>
      </c>
      <c r="U262" s="32" t="n">
        <f>70</f>
        <v>70.0</v>
      </c>
      <c r="V262" s="32" t="n">
        <f>118022154</f>
        <v>1.18022154E8</v>
      </c>
      <c r="W262" s="32" t="n">
        <f>14987</f>
        <v>14987.0</v>
      </c>
      <c r="X262" s="36" t="n">
        <f>22</f>
        <v>22.0</v>
      </c>
    </row>
    <row r="263">
      <c r="A263" s="27" t="s">
        <v>42</v>
      </c>
      <c r="B263" s="27" t="s">
        <v>838</v>
      </c>
      <c r="C263" s="27" t="s">
        <v>839</v>
      </c>
      <c r="D263" s="27" t="s">
        <v>840</v>
      </c>
      <c r="E263" s="28" t="s">
        <v>46</v>
      </c>
      <c r="F263" s="29" t="s">
        <v>46</v>
      </c>
      <c r="G263" s="30" t="s">
        <v>46</v>
      </c>
      <c r="H263" s="31"/>
      <c r="I263" s="31" t="s">
        <v>47</v>
      </c>
      <c r="J263" s="32" t="n">
        <v>10.0</v>
      </c>
      <c r="K263" s="33" t="n">
        <f>202.1</f>
        <v>202.1</v>
      </c>
      <c r="L263" s="34" t="s">
        <v>48</v>
      </c>
      <c r="M263" s="33" t="n">
        <f>205.9</f>
        <v>205.9</v>
      </c>
      <c r="N263" s="34" t="s">
        <v>64</v>
      </c>
      <c r="O263" s="33" t="n">
        <f>195.9</f>
        <v>195.9</v>
      </c>
      <c r="P263" s="34" t="s">
        <v>51</v>
      </c>
      <c r="Q263" s="33" t="n">
        <f>196</f>
        <v>196.0</v>
      </c>
      <c r="R263" s="34" t="s">
        <v>51</v>
      </c>
      <c r="S263" s="35" t="n">
        <f>199.15</f>
        <v>199.15</v>
      </c>
      <c r="T263" s="32" t="n">
        <f>1311760</f>
        <v>1311760.0</v>
      </c>
      <c r="U263" s="32" t="n">
        <f>394230</f>
        <v>394230.0</v>
      </c>
      <c r="V263" s="32" t="n">
        <f>259689761</f>
        <v>2.59689761E8</v>
      </c>
      <c r="W263" s="32" t="n">
        <f>78279513</f>
        <v>7.8279513E7</v>
      </c>
      <c r="X263" s="36" t="n">
        <f>22</f>
        <v>22.0</v>
      </c>
    </row>
    <row r="264">
      <c r="A264" s="27" t="s">
        <v>42</v>
      </c>
      <c r="B264" s="27" t="s">
        <v>841</v>
      </c>
      <c r="C264" s="27" t="s">
        <v>842</v>
      </c>
      <c r="D264" s="27" t="s">
        <v>843</v>
      </c>
      <c r="E264" s="28" t="s">
        <v>46</v>
      </c>
      <c r="F264" s="29" t="s">
        <v>46</v>
      </c>
      <c r="G264" s="30" t="s">
        <v>46</v>
      </c>
      <c r="H264" s="31"/>
      <c r="I264" s="31" t="s">
        <v>47</v>
      </c>
      <c r="J264" s="32" t="n">
        <v>1.0</v>
      </c>
      <c r="K264" s="33" t="n">
        <f>2114</f>
        <v>2114.0</v>
      </c>
      <c r="L264" s="34" t="s">
        <v>48</v>
      </c>
      <c r="M264" s="33" t="n">
        <f>2122</f>
        <v>2122.0</v>
      </c>
      <c r="N264" s="34" t="s">
        <v>64</v>
      </c>
      <c r="O264" s="33" t="n">
        <f>2040</f>
        <v>2040.0</v>
      </c>
      <c r="P264" s="34" t="s">
        <v>56</v>
      </c>
      <c r="Q264" s="33" t="n">
        <f>2078</f>
        <v>2078.0</v>
      </c>
      <c r="R264" s="34" t="s">
        <v>51</v>
      </c>
      <c r="S264" s="35" t="n">
        <f>2081.09</f>
        <v>2081.09</v>
      </c>
      <c r="T264" s="32" t="n">
        <f>1358518</f>
        <v>1358518.0</v>
      </c>
      <c r="U264" s="32" t="n">
        <f>238335</f>
        <v>238335.0</v>
      </c>
      <c r="V264" s="32" t="n">
        <f>2829185923</f>
        <v>2.829185923E9</v>
      </c>
      <c r="W264" s="32" t="n">
        <f>499341209</f>
        <v>4.99341209E8</v>
      </c>
      <c r="X264" s="36" t="n">
        <f>22</f>
        <v>22.0</v>
      </c>
    </row>
    <row r="265">
      <c r="A265" s="27" t="s">
        <v>42</v>
      </c>
      <c r="B265" s="27" t="s">
        <v>844</v>
      </c>
      <c r="C265" s="27" t="s">
        <v>845</v>
      </c>
      <c r="D265" s="27" t="s">
        <v>846</v>
      </c>
      <c r="E265" s="28" t="s">
        <v>46</v>
      </c>
      <c r="F265" s="29" t="s">
        <v>46</v>
      </c>
      <c r="G265" s="30" t="s">
        <v>46</v>
      </c>
      <c r="H265" s="31"/>
      <c r="I265" s="31" t="s">
        <v>47</v>
      </c>
      <c r="J265" s="32" t="n">
        <v>1.0</v>
      </c>
      <c r="K265" s="33" t="n">
        <f>1069</f>
        <v>1069.0</v>
      </c>
      <c r="L265" s="34" t="s">
        <v>48</v>
      </c>
      <c r="M265" s="33" t="n">
        <f>1069</f>
        <v>1069.0</v>
      </c>
      <c r="N265" s="34" t="s">
        <v>48</v>
      </c>
      <c r="O265" s="33" t="n">
        <f>994</f>
        <v>994.0</v>
      </c>
      <c r="P265" s="34" t="s">
        <v>56</v>
      </c>
      <c r="Q265" s="33" t="n">
        <f>1038</f>
        <v>1038.0</v>
      </c>
      <c r="R265" s="34" t="s">
        <v>51</v>
      </c>
      <c r="S265" s="35" t="n">
        <f>1025.36</f>
        <v>1025.36</v>
      </c>
      <c r="T265" s="32" t="n">
        <f>1001336</f>
        <v>1001336.0</v>
      </c>
      <c r="U265" s="32" t="n">
        <f>700000</f>
        <v>700000.0</v>
      </c>
      <c r="V265" s="32" t="n">
        <f>1035372272</f>
        <v>1.035372272E9</v>
      </c>
      <c r="W265" s="32" t="n">
        <f>724841570</f>
        <v>7.2484157E8</v>
      </c>
      <c r="X265" s="36" t="n">
        <f>22</f>
        <v>22.0</v>
      </c>
    </row>
    <row r="266">
      <c r="A266" s="27" t="s">
        <v>42</v>
      </c>
      <c r="B266" s="27" t="s">
        <v>847</v>
      </c>
      <c r="C266" s="27" t="s">
        <v>848</v>
      </c>
      <c r="D266" s="27" t="s">
        <v>849</v>
      </c>
      <c r="E266" s="28" t="s">
        <v>46</v>
      </c>
      <c r="F266" s="29" t="s">
        <v>46</v>
      </c>
      <c r="G266" s="30" t="s">
        <v>46</v>
      </c>
      <c r="H266" s="31"/>
      <c r="I266" s="31" t="s">
        <v>47</v>
      </c>
      <c r="J266" s="32" t="n">
        <v>1.0</v>
      </c>
      <c r="K266" s="33" t="n">
        <f>1009</f>
        <v>1009.0</v>
      </c>
      <c r="L266" s="34" t="s">
        <v>48</v>
      </c>
      <c r="M266" s="33" t="n">
        <f>1033</f>
        <v>1033.0</v>
      </c>
      <c r="N266" s="34" t="s">
        <v>55</v>
      </c>
      <c r="O266" s="33" t="n">
        <f>985</f>
        <v>985.0</v>
      </c>
      <c r="P266" s="34" t="s">
        <v>50</v>
      </c>
      <c r="Q266" s="33" t="n">
        <f>1019</f>
        <v>1019.0</v>
      </c>
      <c r="R266" s="34" t="s">
        <v>51</v>
      </c>
      <c r="S266" s="35" t="n">
        <f>1011.55</f>
        <v>1011.55</v>
      </c>
      <c r="T266" s="32" t="n">
        <f>504204</f>
        <v>504204.0</v>
      </c>
      <c r="U266" s="32" t="n">
        <f>10</f>
        <v>10.0</v>
      </c>
      <c r="V266" s="32" t="n">
        <f>510052410</f>
        <v>5.1005241E8</v>
      </c>
      <c r="W266" s="32" t="n">
        <f>10140</f>
        <v>10140.0</v>
      </c>
      <c r="X266" s="36" t="n">
        <f>22</f>
        <v>22.0</v>
      </c>
    </row>
    <row r="267">
      <c r="A267" s="27" t="s">
        <v>42</v>
      </c>
      <c r="B267" s="27" t="s">
        <v>850</v>
      </c>
      <c r="C267" s="27" t="s">
        <v>851</v>
      </c>
      <c r="D267" s="27" t="s">
        <v>852</v>
      </c>
      <c r="E267" s="28" t="s">
        <v>46</v>
      </c>
      <c r="F267" s="29" t="s">
        <v>46</v>
      </c>
      <c r="G267" s="30" t="s">
        <v>46</v>
      </c>
      <c r="H267" s="31"/>
      <c r="I267" s="31" t="s">
        <v>47</v>
      </c>
      <c r="J267" s="32" t="n">
        <v>10.0</v>
      </c>
      <c r="K267" s="33" t="n">
        <f>500</f>
        <v>500.0</v>
      </c>
      <c r="L267" s="34" t="s">
        <v>48</v>
      </c>
      <c r="M267" s="33" t="n">
        <f>512.3</f>
        <v>512.3</v>
      </c>
      <c r="N267" s="34" t="s">
        <v>55</v>
      </c>
      <c r="O267" s="33" t="n">
        <f>498</f>
        <v>498.0</v>
      </c>
      <c r="P267" s="34" t="s">
        <v>92</v>
      </c>
      <c r="Q267" s="33" t="n">
        <f>499.8</f>
        <v>499.8</v>
      </c>
      <c r="R267" s="34" t="s">
        <v>51</v>
      </c>
      <c r="S267" s="35" t="n">
        <f>499.82</f>
        <v>499.82</v>
      </c>
      <c r="T267" s="32" t="n">
        <f>94440</f>
        <v>94440.0</v>
      </c>
      <c r="U267" s="32" t="str">
        <f>"－"</f>
        <v>－</v>
      </c>
      <c r="V267" s="32" t="n">
        <f>47073242</f>
        <v>4.7073242E7</v>
      </c>
      <c r="W267" s="32" t="str">
        <f>"－"</f>
        <v>－</v>
      </c>
      <c r="X267" s="36" t="n">
        <f>22</f>
        <v>22.0</v>
      </c>
    </row>
    <row r="268">
      <c r="A268" s="27" t="s">
        <v>42</v>
      </c>
      <c r="B268" s="27" t="s">
        <v>853</v>
      </c>
      <c r="C268" s="27" t="s">
        <v>854</v>
      </c>
      <c r="D268" s="27" t="s">
        <v>855</v>
      </c>
      <c r="E268" s="28" t="s">
        <v>46</v>
      </c>
      <c r="F268" s="29" t="s">
        <v>46</v>
      </c>
      <c r="G268" s="30" t="s">
        <v>46</v>
      </c>
      <c r="H268" s="31"/>
      <c r="I268" s="31" t="s">
        <v>47</v>
      </c>
      <c r="J268" s="32" t="n">
        <v>10.0</v>
      </c>
      <c r="K268" s="33" t="n">
        <f>199.5</f>
        <v>199.5</v>
      </c>
      <c r="L268" s="34" t="s">
        <v>48</v>
      </c>
      <c r="M268" s="33" t="n">
        <f>209.5</f>
        <v>209.5</v>
      </c>
      <c r="N268" s="34" t="s">
        <v>64</v>
      </c>
      <c r="O268" s="33" t="n">
        <f>188.4</f>
        <v>188.4</v>
      </c>
      <c r="P268" s="34" t="s">
        <v>92</v>
      </c>
      <c r="Q268" s="33" t="n">
        <f>195</f>
        <v>195.0</v>
      </c>
      <c r="R268" s="34" t="s">
        <v>51</v>
      </c>
      <c r="S268" s="35" t="n">
        <f>195.44</f>
        <v>195.44</v>
      </c>
      <c r="T268" s="32" t="n">
        <f>3098740</f>
        <v>3098740.0</v>
      </c>
      <c r="U268" s="32" t="str">
        <f>"－"</f>
        <v>－</v>
      </c>
      <c r="V268" s="32" t="n">
        <f>597746991</f>
        <v>5.97746991E8</v>
      </c>
      <c r="W268" s="32" t="str">
        <f>"－"</f>
        <v>－</v>
      </c>
      <c r="X268" s="36" t="n">
        <f>22</f>
        <v>22.0</v>
      </c>
    </row>
    <row r="269">
      <c r="A269" s="27" t="s">
        <v>42</v>
      </c>
      <c r="B269" s="27" t="s">
        <v>856</v>
      </c>
      <c r="C269" s="27" t="s">
        <v>857</v>
      </c>
      <c r="D269" s="27" t="s">
        <v>858</v>
      </c>
      <c r="E269" s="28" t="s">
        <v>46</v>
      </c>
      <c r="F269" s="29" t="s">
        <v>46</v>
      </c>
      <c r="G269" s="30" t="s">
        <v>46</v>
      </c>
      <c r="H269" s="31"/>
      <c r="I269" s="31" t="s">
        <v>47</v>
      </c>
      <c r="J269" s="32" t="n">
        <v>10.0</v>
      </c>
      <c r="K269" s="33" t="n">
        <f>199.9</f>
        <v>199.9</v>
      </c>
      <c r="L269" s="34" t="s">
        <v>48</v>
      </c>
      <c r="M269" s="33" t="n">
        <f>201</f>
        <v>201.0</v>
      </c>
      <c r="N269" s="34" t="s">
        <v>72</v>
      </c>
      <c r="O269" s="33" t="n">
        <f>176.3</f>
        <v>176.3</v>
      </c>
      <c r="P269" s="34" t="s">
        <v>50</v>
      </c>
      <c r="Q269" s="33" t="n">
        <f>180.8</f>
        <v>180.8</v>
      </c>
      <c r="R269" s="34" t="s">
        <v>51</v>
      </c>
      <c r="S269" s="35" t="n">
        <f>185.94</f>
        <v>185.94</v>
      </c>
      <c r="T269" s="32" t="n">
        <f>4619540</f>
        <v>4619540.0</v>
      </c>
      <c r="U269" s="32" t="n">
        <f>30</f>
        <v>30.0</v>
      </c>
      <c r="V269" s="32" t="n">
        <f>857273132</f>
        <v>8.57273132E8</v>
      </c>
      <c r="W269" s="32" t="n">
        <f>5244</f>
        <v>5244.0</v>
      </c>
      <c r="X269" s="36" t="n">
        <f>22</f>
        <v>22.0</v>
      </c>
    </row>
    <row r="270">
      <c r="A270" s="27" t="s">
        <v>42</v>
      </c>
      <c r="B270" s="27" t="s">
        <v>859</v>
      </c>
      <c r="C270" s="27" t="s">
        <v>860</v>
      </c>
      <c r="D270" s="27" t="s">
        <v>861</v>
      </c>
      <c r="E270" s="28" t="s">
        <v>46</v>
      </c>
      <c r="F270" s="29" t="s">
        <v>46</v>
      </c>
      <c r="G270" s="30" t="s">
        <v>46</v>
      </c>
      <c r="H270" s="31"/>
      <c r="I270" s="31" t="s">
        <v>47</v>
      </c>
      <c r="J270" s="32" t="n">
        <v>10.0</v>
      </c>
      <c r="K270" s="33" t="n">
        <f>914.9</f>
        <v>914.9</v>
      </c>
      <c r="L270" s="34" t="s">
        <v>48</v>
      </c>
      <c r="M270" s="33" t="n">
        <f>916.7</f>
        <v>916.7</v>
      </c>
      <c r="N270" s="34" t="s">
        <v>72</v>
      </c>
      <c r="O270" s="33" t="n">
        <f>904.7</f>
        <v>904.7</v>
      </c>
      <c r="P270" s="34" t="s">
        <v>194</v>
      </c>
      <c r="Q270" s="33" t="n">
        <f>907.5</f>
        <v>907.5</v>
      </c>
      <c r="R270" s="34" t="s">
        <v>51</v>
      </c>
      <c r="S270" s="35" t="n">
        <f>909.73</f>
        <v>909.73</v>
      </c>
      <c r="T270" s="32" t="n">
        <f>7470660</f>
        <v>7470660.0</v>
      </c>
      <c r="U270" s="32" t="n">
        <f>6506790</f>
        <v>6506790.0</v>
      </c>
      <c r="V270" s="32" t="n">
        <f>6789093822</f>
        <v>6.789093822E9</v>
      </c>
      <c r="W270" s="32" t="n">
        <f>5911794297</f>
        <v>5.911794297E9</v>
      </c>
      <c r="X270" s="36" t="n">
        <f>22</f>
        <v>22.0</v>
      </c>
    </row>
    <row r="271">
      <c r="A271" s="27" t="s">
        <v>42</v>
      </c>
      <c r="B271" s="27" t="s">
        <v>862</v>
      </c>
      <c r="C271" s="27" t="s">
        <v>863</v>
      </c>
      <c r="D271" s="27" t="s">
        <v>864</v>
      </c>
      <c r="E271" s="28" t="s">
        <v>46</v>
      </c>
      <c r="F271" s="29" t="s">
        <v>46</v>
      </c>
      <c r="G271" s="30" t="s">
        <v>46</v>
      </c>
      <c r="H271" s="31"/>
      <c r="I271" s="31" t="s">
        <v>47</v>
      </c>
      <c r="J271" s="32" t="n">
        <v>10.0</v>
      </c>
      <c r="K271" s="33" t="n">
        <f>1071</f>
        <v>1071.0</v>
      </c>
      <c r="L271" s="34" t="s">
        <v>48</v>
      </c>
      <c r="M271" s="33" t="n">
        <f>1110.5</f>
        <v>1110.5</v>
      </c>
      <c r="N271" s="34" t="s">
        <v>50</v>
      </c>
      <c r="O271" s="33" t="n">
        <f>1066.5</f>
        <v>1066.5</v>
      </c>
      <c r="P271" s="34" t="s">
        <v>48</v>
      </c>
      <c r="Q271" s="33" t="n">
        <f>1105</f>
        <v>1105.0</v>
      </c>
      <c r="R271" s="34" t="s">
        <v>51</v>
      </c>
      <c r="S271" s="35" t="n">
        <f>1092.27</f>
        <v>1092.27</v>
      </c>
      <c r="T271" s="32" t="n">
        <f>2077770</f>
        <v>2077770.0</v>
      </c>
      <c r="U271" s="32" t="n">
        <f>685230</f>
        <v>685230.0</v>
      </c>
      <c r="V271" s="32" t="n">
        <f>2263442270</f>
        <v>2.26344227E9</v>
      </c>
      <c r="W271" s="32" t="n">
        <f>745364320</f>
        <v>7.4536432E8</v>
      </c>
      <c r="X271" s="36" t="n">
        <f>22</f>
        <v>22.0</v>
      </c>
    </row>
    <row r="272">
      <c r="A272" s="27" t="s">
        <v>42</v>
      </c>
      <c r="B272" s="27" t="s">
        <v>865</v>
      </c>
      <c r="C272" s="27" t="s">
        <v>866</v>
      </c>
      <c r="D272" s="27" t="s">
        <v>867</v>
      </c>
      <c r="E272" s="28" t="s">
        <v>46</v>
      </c>
      <c r="F272" s="29" t="s">
        <v>46</v>
      </c>
      <c r="G272" s="30" t="s">
        <v>46</v>
      </c>
      <c r="H272" s="31"/>
      <c r="I272" s="31" t="s">
        <v>47</v>
      </c>
      <c r="J272" s="32" t="n">
        <v>10.0</v>
      </c>
      <c r="K272" s="33" t="n">
        <f>790</f>
        <v>790.0</v>
      </c>
      <c r="L272" s="34" t="s">
        <v>48</v>
      </c>
      <c r="M272" s="33" t="n">
        <f>795</f>
        <v>795.0</v>
      </c>
      <c r="N272" s="34" t="s">
        <v>64</v>
      </c>
      <c r="O272" s="33" t="n">
        <f>769.2</f>
        <v>769.2</v>
      </c>
      <c r="P272" s="34" t="s">
        <v>51</v>
      </c>
      <c r="Q272" s="33" t="n">
        <f>771.1</f>
        <v>771.1</v>
      </c>
      <c r="R272" s="34" t="s">
        <v>51</v>
      </c>
      <c r="S272" s="35" t="n">
        <f>780.22</f>
        <v>780.22</v>
      </c>
      <c r="T272" s="32" t="n">
        <f>7879750</f>
        <v>7879750.0</v>
      </c>
      <c r="U272" s="32" t="n">
        <f>7162800</f>
        <v>7162800.0</v>
      </c>
      <c r="V272" s="32" t="n">
        <f>6129832415</f>
        <v>6.129832415E9</v>
      </c>
      <c r="W272" s="32" t="n">
        <f>5565992485</f>
        <v>5.565992485E9</v>
      </c>
      <c r="X272" s="36" t="n">
        <f>22</f>
        <v>22.0</v>
      </c>
    </row>
    <row r="273">
      <c r="A273" s="27" t="s">
        <v>42</v>
      </c>
      <c r="B273" s="27" t="s">
        <v>868</v>
      </c>
      <c r="C273" s="27" t="s">
        <v>869</v>
      </c>
      <c r="D273" s="27" t="s">
        <v>870</v>
      </c>
      <c r="E273" s="28" t="s">
        <v>46</v>
      </c>
      <c r="F273" s="29" t="s">
        <v>46</v>
      </c>
      <c r="G273" s="30" t="s">
        <v>46</v>
      </c>
      <c r="H273" s="31"/>
      <c r="I273" s="31" t="s">
        <v>47</v>
      </c>
      <c r="J273" s="32" t="n">
        <v>10.0</v>
      </c>
      <c r="K273" s="33" t="n">
        <f>2434</f>
        <v>2434.0</v>
      </c>
      <c r="L273" s="34" t="s">
        <v>48</v>
      </c>
      <c r="M273" s="33" t="n">
        <f>2628</f>
        <v>2628.0</v>
      </c>
      <c r="N273" s="34" t="s">
        <v>50</v>
      </c>
      <c r="O273" s="33" t="n">
        <f>2417.5</f>
        <v>2417.5</v>
      </c>
      <c r="P273" s="34" t="s">
        <v>72</v>
      </c>
      <c r="Q273" s="33" t="n">
        <f>2590.5</f>
        <v>2590.5</v>
      </c>
      <c r="R273" s="34" t="s">
        <v>51</v>
      </c>
      <c r="S273" s="35" t="n">
        <f>2545.48</f>
        <v>2545.48</v>
      </c>
      <c r="T273" s="32" t="n">
        <f>1346490</f>
        <v>1346490.0</v>
      </c>
      <c r="U273" s="32" t="n">
        <f>682500</f>
        <v>682500.0</v>
      </c>
      <c r="V273" s="32" t="n">
        <f>3451152679</f>
        <v>3.451152679E9</v>
      </c>
      <c r="W273" s="32" t="n">
        <f>1772830444</f>
        <v>1.772830444E9</v>
      </c>
      <c r="X273" s="36" t="n">
        <f>22</f>
        <v>22.0</v>
      </c>
    </row>
    <row r="274">
      <c r="A274" s="27" t="s">
        <v>42</v>
      </c>
      <c r="B274" s="27" t="s">
        <v>871</v>
      </c>
      <c r="C274" s="27" t="s">
        <v>872</v>
      </c>
      <c r="D274" s="27" t="s">
        <v>873</v>
      </c>
      <c r="E274" s="28" t="s">
        <v>46</v>
      </c>
      <c r="F274" s="29" t="s">
        <v>46</v>
      </c>
      <c r="G274" s="30" t="s">
        <v>46</v>
      </c>
      <c r="H274" s="31"/>
      <c r="I274" s="31" t="s">
        <v>47</v>
      </c>
      <c r="J274" s="32" t="n">
        <v>10.0</v>
      </c>
      <c r="K274" s="33" t="n">
        <f>1635</f>
        <v>1635.0</v>
      </c>
      <c r="L274" s="34" t="s">
        <v>48</v>
      </c>
      <c r="M274" s="33" t="n">
        <f>1674.5</f>
        <v>1674.5</v>
      </c>
      <c r="N274" s="34" t="s">
        <v>235</v>
      </c>
      <c r="O274" s="33" t="n">
        <f>1621.5</f>
        <v>1621.5</v>
      </c>
      <c r="P274" s="34" t="s">
        <v>83</v>
      </c>
      <c r="Q274" s="33" t="n">
        <f>1637.5</f>
        <v>1637.5</v>
      </c>
      <c r="R274" s="34" t="s">
        <v>51</v>
      </c>
      <c r="S274" s="35" t="n">
        <f>1645.68</f>
        <v>1645.68</v>
      </c>
      <c r="T274" s="32" t="n">
        <f>533700</f>
        <v>533700.0</v>
      </c>
      <c r="U274" s="32" t="n">
        <f>407330</f>
        <v>407330.0</v>
      </c>
      <c r="V274" s="32" t="n">
        <f>878400542</f>
        <v>8.78400542E8</v>
      </c>
      <c r="W274" s="32" t="n">
        <f>670668422</f>
        <v>6.70668422E8</v>
      </c>
      <c r="X274" s="36" t="n">
        <f>22</f>
        <v>22.0</v>
      </c>
    </row>
    <row r="275">
      <c r="A275" s="27" t="s">
        <v>42</v>
      </c>
      <c r="B275" s="27" t="s">
        <v>874</v>
      </c>
      <c r="C275" s="27" t="s">
        <v>875</v>
      </c>
      <c r="D275" s="27" t="s">
        <v>876</v>
      </c>
      <c r="E275" s="28" t="s">
        <v>46</v>
      </c>
      <c r="F275" s="29" t="s">
        <v>46</v>
      </c>
      <c r="G275" s="30" t="s">
        <v>46</v>
      </c>
      <c r="H275" s="31"/>
      <c r="I275" s="31" t="s">
        <v>47</v>
      </c>
      <c r="J275" s="32" t="n">
        <v>10.0</v>
      </c>
      <c r="K275" s="33" t="n">
        <f>1466</f>
        <v>1466.0</v>
      </c>
      <c r="L275" s="34" t="s">
        <v>48</v>
      </c>
      <c r="M275" s="33" t="n">
        <f>1540</f>
        <v>1540.0</v>
      </c>
      <c r="N275" s="34" t="s">
        <v>60</v>
      </c>
      <c r="O275" s="33" t="n">
        <f>1449</f>
        <v>1449.0</v>
      </c>
      <c r="P275" s="34" t="s">
        <v>72</v>
      </c>
      <c r="Q275" s="33" t="n">
        <f>1520</f>
        <v>1520.0</v>
      </c>
      <c r="R275" s="34" t="s">
        <v>51</v>
      </c>
      <c r="S275" s="35" t="n">
        <f>1493.91</f>
        <v>1493.91</v>
      </c>
      <c r="T275" s="32" t="n">
        <f>759220</f>
        <v>759220.0</v>
      </c>
      <c r="U275" s="32" t="n">
        <f>124380</f>
        <v>124380.0</v>
      </c>
      <c r="V275" s="32" t="n">
        <f>1128840223</f>
        <v>1.128840223E9</v>
      </c>
      <c r="W275" s="32" t="n">
        <f>182850768</f>
        <v>1.82850768E8</v>
      </c>
      <c r="X275" s="36" t="n">
        <f>22</f>
        <v>22.0</v>
      </c>
    </row>
    <row r="276">
      <c r="A276" s="27" t="s">
        <v>42</v>
      </c>
      <c r="B276" s="27" t="s">
        <v>877</v>
      </c>
      <c r="C276" s="27" t="s">
        <v>878</v>
      </c>
      <c r="D276" s="27" t="s">
        <v>879</v>
      </c>
      <c r="E276" s="28" t="s">
        <v>46</v>
      </c>
      <c r="F276" s="29" t="s">
        <v>46</v>
      </c>
      <c r="G276" s="30" t="s">
        <v>46</v>
      </c>
      <c r="H276" s="31"/>
      <c r="I276" s="31" t="s">
        <v>47</v>
      </c>
      <c r="J276" s="32" t="n">
        <v>10.0</v>
      </c>
      <c r="K276" s="33" t="n">
        <f>511.1</f>
        <v>511.1</v>
      </c>
      <c r="L276" s="34" t="s">
        <v>48</v>
      </c>
      <c r="M276" s="33" t="n">
        <f>520.9</f>
        <v>520.9</v>
      </c>
      <c r="N276" s="34" t="s">
        <v>48</v>
      </c>
      <c r="O276" s="33" t="n">
        <f>455</f>
        <v>455.0</v>
      </c>
      <c r="P276" s="34" t="s">
        <v>50</v>
      </c>
      <c r="Q276" s="33" t="n">
        <f>491.6</f>
        <v>491.6</v>
      </c>
      <c r="R276" s="34" t="s">
        <v>51</v>
      </c>
      <c r="S276" s="35" t="n">
        <f>491.66</f>
        <v>491.66</v>
      </c>
      <c r="T276" s="32" t="n">
        <f>24203790</f>
        <v>2.420379E7</v>
      </c>
      <c r="U276" s="32" t="n">
        <f>708450</f>
        <v>708450.0</v>
      </c>
      <c r="V276" s="32" t="n">
        <f>11781749992</f>
        <v>1.1781749992E10</v>
      </c>
      <c r="W276" s="32" t="n">
        <f>342822144</f>
        <v>3.42822144E8</v>
      </c>
      <c r="X276" s="36" t="n">
        <f>22</f>
        <v>22.0</v>
      </c>
    </row>
    <row r="277">
      <c r="A277" s="27" t="s">
        <v>42</v>
      </c>
      <c r="B277" s="27" t="s">
        <v>880</v>
      </c>
      <c r="C277" s="27" t="s">
        <v>881</v>
      </c>
      <c r="D277" s="27" t="s">
        <v>882</v>
      </c>
      <c r="E277" s="28" t="s">
        <v>46</v>
      </c>
      <c r="F277" s="29" t="s">
        <v>46</v>
      </c>
      <c r="G277" s="30" t="s">
        <v>46</v>
      </c>
      <c r="H277" s="31"/>
      <c r="I277" s="31" t="s">
        <v>47</v>
      </c>
      <c r="J277" s="32" t="n">
        <v>10.0</v>
      </c>
      <c r="K277" s="33" t="n">
        <f>1049.5</f>
        <v>1049.5</v>
      </c>
      <c r="L277" s="34" t="s">
        <v>48</v>
      </c>
      <c r="M277" s="33" t="n">
        <f>1049.5</f>
        <v>1049.5</v>
      </c>
      <c r="N277" s="34" t="s">
        <v>48</v>
      </c>
      <c r="O277" s="33" t="n">
        <f>1012</f>
        <v>1012.0</v>
      </c>
      <c r="P277" s="34" t="s">
        <v>56</v>
      </c>
      <c r="Q277" s="33" t="n">
        <f>1021.5</f>
        <v>1021.5</v>
      </c>
      <c r="R277" s="34" t="s">
        <v>51</v>
      </c>
      <c r="S277" s="35" t="n">
        <f>1026</f>
        <v>1026.0</v>
      </c>
      <c r="T277" s="32" t="n">
        <f>386340</f>
        <v>386340.0</v>
      </c>
      <c r="U277" s="32" t="n">
        <f>126230</f>
        <v>126230.0</v>
      </c>
      <c r="V277" s="32" t="n">
        <f>398825322</f>
        <v>3.98825322E8</v>
      </c>
      <c r="W277" s="32" t="n">
        <f>129361692</f>
        <v>1.29361692E8</v>
      </c>
      <c r="X277" s="36" t="n">
        <f>22</f>
        <v>22.0</v>
      </c>
    </row>
    <row r="278">
      <c r="A278" s="27" t="s">
        <v>42</v>
      </c>
      <c r="B278" s="27" t="s">
        <v>883</v>
      </c>
      <c r="C278" s="27" t="s">
        <v>884</v>
      </c>
      <c r="D278" s="27" t="s">
        <v>885</v>
      </c>
      <c r="E278" s="28" t="s">
        <v>46</v>
      </c>
      <c r="F278" s="29" t="s">
        <v>46</v>
      </c>
      <c r="G278" s="30" t="s">
        <v>46</v>
      </c>
      <c r="H278" s="31"/>
      <c r="I278" s="31" t="s">
        <v>47</v>
      </c>
      <c r="J278" s="32" t="n">
        <v>1.0</v>
      </c>
      <c r="K278" s="33" t="n">
        <f>1574</f>
        <v>1574.0</v>
      </c>
      <c r="L278" s="34" t="s">
        <v>48</v>
      </c>
      <c r="M278" s="33" t="n">
        <f>1650</f>
        <v>1650.0</v>
      </c>
      <c r="N278" s="34" t="s">
        <v>337</v>
      </c>
      <c r="O278" s="33" t="n">
        <f>1510</f>
        <v>1510.0</v>
      </c>
      <c r="P278" s="34" t="s">
        <v>50</v>
      </c>
      <c r="Q278" s="33" t="n">
        <f>1560</f>
        <v>1560.0</v>
      </c>
      <c r="R278" s="34" t="s">
        <v>51</v>
      </c>
      <c r="S278" s="35" t="n">
        <f>1560.18</f>
        <v>1560.18</v>
      </c>
      <c r="T278" s="32" t="n">
        <f>168604</f>
        <v>168604.0</v>
      </c>
      <c r="U278" s="32" t="str">
        <f>"－"</f>
        <v>－</v>
      </c>
      <c r="V278" s="32" t="n">
        <f>263399939</f>
        <v>2.63399939E8</v>
      </c>
      <c r="W278" s="32" t="str">
        <f>"－"</f>
        <v>－</v>
      </c>
      <c r="X278" s="36" t="n">
        <f>22</f>
        <v>22.0</v>
      </c>
    </row>
    <row r="279">
      <c r="A279" s="27" t="s">
        <v>42</v>
      </c>
      <c r="B279" s="27" t="s">
        <v>886</v>
      </c>
      <c r="C279" s="27" t="s">
        <v>887</v>
      </c>
      <c r="D279" s="27" t="s">
        <v>888</v>
      </c>
      <c r="E279" s="28" t="s">
        <v>46</v>
      </c>
      <c r="F279" s="29" t="s">
        <v>46</v>
      </c>
      <c r="G279" s="30" t="s">
        <v>46</v>
      </c>
      <c r="H279" s="31"/>
      <c r="I279" s="31" t="s">
        <v>47</v>
      </c>
      <c r="J279" s="32" t="n">
        <v>10.0</v>
      </c>
      <c r="K279" s="33" t="n">
        <f>1039.5</f>
        <v>1039.5</v>
      </c>
      <c r="L279" s="34" t="s">
        <v>48</v>
      </c>
      <c r="M279" s="33" t="n">
        <f>1099.5</f>
        <v>1099.5</v>
      </c>
      <c r="N279" s="34" t="s">
        <v>72</v>
      </c>
      <c r="O279" s="33" t="n">
        <f>1036</f>
        <v>1036.0</v>
      </c>
      <c r="P279" s="34" t="s">
        <v>48</v>
      </c>
      <c r="Q279" s="33" t="n">
        <f>1087.5</f>
        <v>1087.5</v>
      </c>
      <c r="R279" s="34" t="s">
        <v>51</v>
      </c>
      <c r="S279" s="35" t="n">
        <f>1068.45</f>
        <v>1068.45</v>
      </c>
      <c r="T279" s="32" t="n">
        <f>76970</f>
        <v>76970.0</v>
      </c>
      <c r="U279" s="32" t="n">
        <f>24440</f>
        <v>24440.0</v>
      </c>
      <c r="V279" s="32" t="n">
        <f>81885026</f>
        <v>8.1885026E7</v>
      </c>
      <c r="W279" s="32" t="n">
        <f>25905116</f>
        <v>2.5905116E7</v>
      </c>
      <c r="X279" s="36" t="n">
        <f>22</f>
        <v>22.0</v>
      </c>
    </row>
    <row r="280">
      <c r="A280" s="27" t="s">
        <v>42</v>
      </c>
      <c r="B280" s="27" t="s">
        <v>889</v>
      </c>
      <c r="C280" s="27" t="s">
        <v>890</v>
      </c>
      <c r="D280" s="27" t="s">
        <v>891</v>
      </c>
      <c r="E280" s="28" t="s">
        <v>46</v>
      </c>
      <c r="F280" s="29" t="s">
        <v>46</v>
      </c>
      <c r="G280" s="30" t="s">
        <v>46</v>
      </c>
      <c r="H280" s="31"/>
      <c r="I280" s="31" t="s">
        <v>47</v>
      </c>
      <c r="J280" s="32" t="n">
        <v>10.0</v>
      </c>
      <c r="K280" s="33" t="n">
        <f>1479.5</f>
        <v>1479.5</v>
      </c>
      <c r="L280" s="34" t="s">
        <v>48</v>
      </c>
      <c r="M280" s="33" t="n">
        <f>1565.5</f>
        <v>1565.5</v>
      </c>
      <c r="N280" s="34" t="s">
        <v>55</v>
      </c>
      <c r="O280" s="33" t="n">
        <f>1445</f>
        <v>1445.0</v>
      </c>
      <c r="P280" s="34" t="s">
        <v>72</v>
      </c>
      <c r="Q280" s="33" t="n">
        <f>1488</f>
        <v>1488.0</v>
      </c>
      <c r="R280" s="34" t="s">
        <v>51</v>
      </c>
      <c r="S280" s="35" t="n">
        <f>1502.86</f>
        <v>1502.86</v>
      </c>
      <c r="T280" s="32" t="n">
        <f>89100</f>
        <v>89100.0</v>
      </c>
      <c r="U280" s="32" t="n">
        <f>23240</f>
        <v>23240.0</v>
      </c>
      <c r="V280" s="32" t="n">
        <f>134807775</f>
        <v>1.34807775E8</v>
      </c>
      <c r="W280" s="32" t="n">
        <f>35348040</f>
        <v>3.534804E7</v>
      </c>
      <c r="X280" s="36" t="n">
        <f>22</f>
        <v>22.0</v>
      </c>
    </row>
    <row r="281">
      <c r="A281" s="27" t="s">
        <v>42</v>
      </c>
      <c r="B281" s="27" t="s">
        <v>892</v>
      </c>
      <c r="C281" s="27" t="s">
        <v>893</v>
      </c>
      <c r="D281" s="27" t="s">
        <v>894</v>
      </c>
      <c r="E281" s="28" t="s">
        <v>46</v>
      </c>
      <c r="F281" s="29" t="s">
        <v>46</v>
      </c>
      <c r="G281" s="30" t="s">
        <v>46</v>
      </c>
      <c r="H281" s="31"/>
      <c r="I281" s="31" t="s">
        <v>47</v>
      </c>
      <c r="J281" s="32" t="n">
        <v>10.0</v>
      </c>
      <c r="K281" s="33" t="n">
        <f>1756.5</f>
        <v>1756.5</v>
      </c>
      <c r="L281" s="34" t="s">
        <v>48</v>
      </c>
      <c r="M281" s="33" t="n">
        <f>1790.5</f>
        <v>1790.5</v>
      </c>
      <c r="N281" s="34" t="s">
        <v>76</v>
      </c>
      <c r="O281" s="33" t="n">
        <f>1735.5</f>
        <v>1735.5</v>
      </c>
      <c r="P281" s="34" t="s">
        <v>337</v>
      </c>
      <c r="Q281" s="33" t="n">
        <f>1761.5</f>
        <v>1761.5</v>
      </c>
      <c r="R281" s="34" t="s">
        <v>51</v>
      </c>
      <c r="S281" s="35" t="n">
        <f>1766.11</f>
        <v>1766.11</v>
      </c>
      <c r="T281" s="32" t="n">
        <f>6159730</f>
        <v>6159730.0</v>
      </c>
      <c r="U281" s="32" t="n">
        <f>3910900</f>
        <v>3910900.0</v>
      </c>
      <c r="V281" s="32" t="n">
        <f>10860494582</f>
        <v>1.0860494582E10</v>
      </c>
      <c r="W281" s="32" t="n">
        <f>6893181107</f>
        <v>6.893181107E9</v>
      </c>
      <c r="X281" s="36" t="n">
        <f>22</f>
        <v>22.0</v>
      </c>
    </row>
    <row r="282">
      <c r="A282" s="27" t="s">
        <v>42</v>
      </c>
      <c r="B282" s="27" t="s">
        <v>895</v>
      </c>
      <c r="C282" s="27" t="s">
        <v>896</v>
      </c>
      <c r="D282" s="27" t="s">
        <v>897</v>
      </c>
      <c r="E282" s="28" t="s">
        <v>46</v>
      </c>
      <c r="F282" s="29" t="s">
        <v>46</v>
      </c>
      <c r="G282" s="30" t="s">
        <v>46</v>
      </c>
      <c r="H282" s="31"/>
      <c r="I282" s="31" t="s">
        <v>47</v>
      </c>
      <c r="J282" s="32" t="n">
        <v>1.0</v>
      </c>
      <c r="K282" s="33" t="n">
        <f>5170</f>
        <v>5170.0</v>
      </c>
      <c r="L282" s="34" t="s">
        <v>48</v>
      </c>
      <c r="M282" s="33" t="n">
        <f>5510</f>
        <v>5510.0</v>
      </c>
      <c r="N282" s="34" t="s">
        <v>49</v>
      </c>
      <c r="O282" s="33" t="n">
        <f>5020</f>
        <v>5020.0</v>
      </c>
      <c r="P282" s="34" t="s">
        <v>72</v>
      </c>
      <c r="Q282" s="33" t="n">
        <f>5470</f>
        <v>5470.0</v>
      </c>
      <c r="R282" s="34" t="s">
        <v>51</v>
      </c>
      <c r="S282" s="35" t="n">
        <f>5291.82</f>
        <v>5291.82</v>
      </c>
      <c r="T282" s="32" t="n">
        <f>24522</f>
        <v>24522.0</v>
      </c>
      <c r="U282" s="32" t="n">
        <f>2</f>
        <v>2.0</v>
      </c>
      <c r="V282" s="32" t="n">
        <f>129511110</f>
        <v>1.2951111E8</v>
      </c>
      <c r="W282" s="32" t="n">
        <f>10460</f>
        <v>10460.0</v>
      </c>
      <c r="X282" s="36" t="n">
        <f>22</f>
        <v>22.0</v>
      </c>
    </row>
    <row r="283">
      <c r="A283" s="27" t="s">
        <v>42</v>
      </c>
      <c r="B283" s="27" t="s">
        <v>898</v>
      </c>
      <c r="C283" s="27" t="s">
        <v>899</v>
      </c>
      <c r="D283" s="27" t="s">
        <v>900</v>
      </c>
      <c r="E283" s="28" t="s">
        <v>46</v>
      </c>
      <c r="F283" s="29" t="s">
        <v>46</v>
      </c>
      <c r="G283" s="30" t="s">
        <v>46</v>
      </c>
      <c r="H283" s="31"/>
      <c r="I283" s="31" t="s">
        <v>47</v>
      </c>
      <c r="J283" s="32" t="n">
        <v>10.0</v>
      </c>
      <c r="K283" s="33" t="n">
        <f>2224</f>
        <v>2224.0</v>
      </c>
      <c r="L283" s="34" t="s">
        <v>72</v>
      </c>
      <c r="M283" s="33" t="n">
        <f>2320</f>
        <v>2320.0</v>
      </c>
      <c r="N283" s="34" t="s">
        <v>55</v>
      </c>
      <c r="O283" s="33" t="n">
        <f>2222</f>
        <v>2222.0</v>
      </c>
      <c r="P283" s="34" t="s">
        <v>72</v>
      </c>
      <c r="Q283" s="33" t="n">
        <f>2254</f>
        <v>2254.0</v>
      </c>
      <c r="R283" s="34" t="s">
        <v>50</v>
      </c>
      <c r="S283" s="35" t="n">
        <f>2258.1</f>
        <v>2258.1</v>
      </c>
      <c r="T283" s="32" t="n">
        <f>930</f>
        <v>930.0</v>
      </c>
      <c r="U283" s="32" t="str">
        <f>"－"</f>
        <v>－</v>
      </c>
      <c r="V283" s="32" t="n">
        <f>2068915</f>
        <v>2068915.0</v>
      </c>
      <c r="W283" s="32" t="str">
        <f>"－"</f>
        <v>－</v>
      </c>
      <c r="X283" s="36" t="n">
        <f>5</f>
        <v>5.0</v>
      </c>
    </row>
    <row r="284">
      <c r="A284" s="27" t="s">
        <v>42</v>
      </c>
      <c r="B284" s="27" t="s">
        <v>901</v>
      </c>
      <c r="C284" s="27" t="s">
        <v>902</v>
      </c>
      <c r="D284" s="27" t="s">
        <v>903</v>
      </c>
      <c r="E284" s="28" t="s">
        <v>46</v>
      </c>
      <c r="F284" s="29" t="s">
        <v>46</v>
      </c>
      <c r="G284" s="30" t="s">
        <v>46</v>
      </c>
      <c r="H284" s="31"/>
      <c r="I284" s="31" t="s">
        <v>47</v>
      </c>
      <c r="J284" s="32" t="n">
        <v>10.0</v>
      </c>
      <c r="K284" s="33" t="n">
        <f>2737.5</f>
        <v>2737.5</v>
      </c>
      <c r="L284" s="34" t="s">
        <v>48</v>
      </c>
      <c r="M284" s="33" t="n">
        <f>2843</f>
        <v>2843.0</v>
      </c>
      <c r="N284" s="34" t="s">
        <v>76</v>
      </c>
      <c r="O284" s="33" t="n">
        <f>2680</f>
        <v>2680.0</v>
      </c>
      <c r="P284" s="34" t="s">
        <v>60</v>
      </c>
      <c r="Q284" s="33" t="n">
        <f>2768</f>
        <v>2768.0</v>
      </c>
      <c r="R284" s="34" t="s">
        <v>51</v>
      </c>
      <c r="S284" s="35" t="n">
        <f>2758.07</f>
        <v>2758.07</v>
      </c>
      <c r="T284" s="32" t="n">
        <f>1747630</f>
        <v>1747630.0</v>
      </c>
      <c r="U284" s="32" t="n">
        <f>1217830</f>
        <v>1217830.0</v>
      </c>
      <c r="V284" s="32" t="n">
        <f>4809893895</f>
        <v>4.809893895E9</v>
      </c>
      <c r="W284" s="32" t="n">
        <f>3349291755</f>
        <v>3.349291755E9</v>
      </c>
      <c r="X284" s="36" t="n">
        <f>22</f>
        <v>22.0</v>
      </c>
    </row>
    <row r="285">
      <c r="A285" s="27" t="s">
        <v>42</v>
      </c>
      <c r="B285" s="27" t="s">
        <v>904</v>
      </c>
      <c r="C285" s="27" t="s">
        <v>905</v>
      </c>
      <c r="D285" s="27" t="s">
        <v>906</v>
      </c>
      <c r="E285" s="28" t="s">
        <v>46</v>
      </c>
      <c r="F285" s="29" t="s">
        <v>46</v>
      </c>
      <c r="G285" s="30" t="s">
        <v>46</v>
      </c>
      <c r="H285" s="31"/>
      <c r="I285" s="31" t="s">
        <v>47</v>
      </c>
      <c r="J285" s="32" t="n">
        <v>1.0</v>
      </c>
      <c r="K285" s="33" t="n">
        <f>38630</f>
        <v>38630.0</v>
      </c>
      <c r="L285" s="34" t="s">
        <v>48</v>
      </c>
      <c r="M285" s="33" t="n">
        <f>40540</f>
        <v>40540.0</v>
      </c>
      <c r="N285" s="34" t="s">
        <v>76</v>
      </c>
      <c r="O285" s="33" t="n">
        <f>37980</f>
        <v>37980.0</v>
      </c>
      <c r="P285" s="34" t="s">
        <v>72</v>
      </c>
      <c r="Q285" s="33" t="n">
        <f>39420</f>
        <v>39420.0</v>
      </c>
      <c r="R285" s="34" t="s">
        <v>51</v>
      </c>
      <c r="S285" s="35" t="n">
        <f>39220.95</f>
        <v>39220.95</v>
      </c>
      <c r="T285" s="32" t="n">
        <f>81965</f>
        <v>81965.0</v>
      </c>
      <c r="U285" s="32" t="n">
        <f>4775</f>
        <v>4775.0</v>
      </c>
      <c r="V285" s="32" t="n">
        <f>3197524861</f>
        <v>3.197524861E9</v>
      </c>
      <c r="W285" s="32" t="n">
        <f>187342101</f>
        <v>1.87342101E8</v>
      </c>
      <c r="X285" s="36" t="n">
        <f>21</f>
        <v>21.0</v>
      </c>
    </row>
    <row r="286">
      <c r="A286" s="27" t="s">
        <v>42</v>
      </c>
      <c r="B286" s="27" t="s">
        <v>907</v>
      </c>
      <c r="C286" s="27" t="s">
        <v>908</v>
      </c>
      <c r="D286" s="27" t="s">
        <v>909</v>
      </c>
      <c r="E286" s="28" t="s">
        <v>46</v>
      </c>
      <c r="F286" s="29" t="s">
        <v>46</v>
      </c>
      <c r="G286" s="30" t="s">
        <v>46</v>
      </c>
      <c r="H286" s="31"/>
      <c r="I286" s="31" t="s">
        <v>47</v>
      </c>
      <c r="J286" s="32" t="n">
        <v>1.0</v>
      </c>
      <c r="K286" s="33" t="n">
        <f>25110</f>
        <v>25110.0</v>
      </c>
      <c r="L286" s="34" t="s">
        <v>48</v>
      </c>
      <c r="M286" s="33" t="n">
        <f>25680</f>
        <v>25680.0</v>
      </c>
      <c r="N286" s="34" t="s">
        <v>55</v>
      </c>
      <c r="O286" s="33" t="n">
        <f>24320</f>
        <v>24320.0</v>
      </c>
      <c r="P286" s="34" t="s">
        <v>50</v>
      </c>
      <c r="Q286" s="33" t="n">
        <f>24655</f>
        <v>24655.0</v>
      </c>
      <c r="R286" s="34" t="s">
        <v>51</v>
      </c>
      <c r="S286" s="35" t="n">
        <f>25037.5</f>
        <v>25037.5</v>
      </c>
      <c r="T286" s="32" t="n">
        <f>5333</f>
        <v>5333.0</v>
      </c>
      <c r="U286" s="32" t="str">
        <f>"－"</f>
        <v>－</v>
      </c>
      <c r="V286" s="32" t="n">
        <f>132978895</f>
        <v>1.32978895E8</v>
      </c>
      <c r="W286" s="32" t="str">
        <f>"－"</f>
        <v>－</v>
      </c>
      <c r="X286" s="36" t="n">
        <f>18</f>
        <v>18.0</v>
      </c>
    </row>
    <row r="287">
      <c r="A287" s="27" t="s">
        <v>42</v>
      </c>
      <c r="B287" s="27" t="s">
        <v>910</v>
      </c>
      <c r="C287" s="27" t="s">
        <v>911</v>
      </c>
      <c r="D287" s="27" t="s">
        <v>912</v>
      </c>
      <c r="E287" s="28" t="s">
        <v>46</v>
      </c>
      <c r="F287" s="29" t="s">
        <v>46</v>
      </c>
      <c r="G287" s="30" t="s">
        <v>46</v>
      </c>
      <c r="H287" s="31"/>
      <c r="I287" s="31" t="s">
        <v>47</v>
      </c>
      <c r="J287" s="32" t="n">
        <v>10.0</v>
      </c>
      <c r="K287" s="33" t="n">
        <f>1053.5</f>
        <v>1053.5</v>
      </c>
      <c r="L287" s="34" t="s">
        <v>48</v>
      </c>
      <c r="M287" s="33" t="n">
        <f>1053.5</f>
        <v>1053.5</v>
      </c>
      <c r="N287" s="34" t="s">
        <v>48</v>
      </c>
      <c r="O287" s="33" t="n">
        <f>1023</f>
        <v>1023.0</v>
      </c>
      <c r="P287" s="34" t="s">
        <v>92</v>
      </c>
      <c r="Q287" s="33" t="n">
        <f>1027</f>
        <v>1027.0</v>
      </c>
      <c r="R287" s="34" t="s">
        <v>51</v>
      </c>
      <c r="S287" s="35" t="n">
        <f>1033.74</f>
        <v>1033.74</v>
      </c>
      <c r="T287" s="32" t="n">
        <f>220430</f>
        <v>220430.0</v>
      </c>
      <c r="U287" s="32" t="str">
        <f>"－"</f>
        <v>－</v>
      </c>
      <c r="V287" s="32" t="n">
        <f>227742505</f>
        <v>2.27742505E8</v>
      </c>
      <c r="W287" s="32" t="str">
        <f>"－"</f>
        <v>－</v>
      </c>
      <c r="X287" s="36" t="n">
        <f>21</f>
        <v>21.0</v>
      </c>
    </row>
    <row r="288">
      <c r="A288" s="27" t="s">
        <v>42</v>
      </c>
      <c r="B288" s="27" t="s">
        <v>913</v>
      </c>
      <c r="C288" s="27" t="s">
        <v>914</v>
      </c>
      <c r="D288" s="27" t="s">
        <v>915</v>
      </c>
      <c r="E288" s="28" t="s">
        <v>46</v>
      </c>
      <c r="F288" s="29" t="s">
        <v>46</v>
      </c>
      <c r="G288" s="30" t="s">
        <v>46</v>
      </c>
      <c r="H288" s="31"/>
      <c r="I288" s="31" t="s">
        <v>47</v>
      </c>
      <c r="J288" s="32" t="n">
        <v>1.0</v>
      </c>
      <c r="K288" s="33" t="n">
        <f>1041</f>
        <v>1041.0</v>
      </c>
      <c r="L288" s="34" t="s">
        <v>48</v>
      </c>
      <c r="M288" s="33" t="n">
        <f>1041</f>
        <v>1041.0</v>
      </c>
      <c r="N288" s="34" t="s">
        <v>48</v>
      </c>
      <c r="O288" s="33" t="n">
        <f>1004</f>
        <v>1004.0</v>
      </c>
      <c r="P288" s="34" t="s">
        <v>56</v>
      </c>
      <c r="Q288" s="33" t="n">
        <f>1012</f>
        <v>1012.0</v>
      </c>
      <c r="R288" s="34" t="s">
        <v>51</v>
      </c>
      <c r="S288" s="35" t="n">
        <f>1018.5</f>
        <v>1018.5</v>
      </c>
      <c r="T288" s="32" t="n">
        <f>840863</f>
        <v>840863.0</v>
      </c>
      <c r="U288" s="32" t="n">
        <f>655214</f>
        <v>655214.0</v>
      </c>
      <c r="V288" s="32" t="n">
        <f>847962997</f>
        <v>8.47962997E8</v>
      </c>
      <c r="W288" s="32" t="n">
        <f>660131811</f>
        <v>6.60131811E8</v>
      </c>
      <c r="X288" s="36" t="n">
        <f>22</f>
        <v>22.0</v>
      </c>
    </row>
    <row r="289">
      <c r="A289" s="27" t="s">
        <v>42</v>
      </c>
      <c r="B289" s="27" t="s">
        <v>916</v>
      </c>
      <c r="C289" s="27" t="s">
        <v>917</v>
      </c>
      <c r="D289" s="27" t="s">
        <v>918</v>
      </c>
      <c r="E289" s="28" t="s">
        <v>46</v>
      </c>
      <c r="F289" s="29" t="s">
        <v>46</v>
      </c>
      <c r="G289" s="30" t="s">
        <v>46</v>
      </c>
      <c r="H289" s="31"/>
      <c r="I289" s="31" t="s">
        <v>47</v>
      </c>
      <c r="J289" s="32" t="n">
        <v>1.0</v>
      </c>
      <c r="K289" s="33" t="n">
        <f>1698</f>
        <v>1698.0</v>
      </c>
      <c r="L289" s="34" t="s">
        <v>48</v>
      </c>
      <c r="M289" s="33" t="n">
        <f>1735</f>
        <v>1735.0</v>
      </c>
      <c r="N289" s="34" t="s">
        <v>55</v>
      </c>
      <c r="O289" s="33" t="n">
        <f>1631</f>
        <v>1631.0</v>
      </c>
      <c r="P289" s="34" t="s">
        <v>56</v>
      </c>
      <c r="Q289" s="33" t="n">
        <f>1683</f>
        <v>1683.0</v>
      </c>
      <c r="R289" s="34" t="s">
        <v>51</v>
      </c>
      <c r="S289" s="35" t="n">
        <f>1681.73</f>
        <v>1681.73</v>
      </c>
      <c r="T289" s="32" t="n">
        <f>213047</f>
        <v>213047.0</v>
      </c>
      <c r="U289" s="32" t="n">
        <f>64998</f>
        <v>64998.0</v>
      </c>
      <c r="V289" s="32" t="n">
        <f>356803582</f>
        <v>3.56803582E8</v>
      </c>
      <c r="W289" s="32" t="n">
        <f>106762269</f>
        <v>1.06762269E8</v>
      </c>
      <c r="X289" s="36" t="n">
        <f>22</f>
        <v>22.0</v>
      </c>
    </row>
    <row r="290">
      <c r="A290" s="27" t="s">
        <v>42</v>
      </c>
      <c r="B290" s="27" t="s">
        <v>919</v>
      </c>
      <c r="C290" s="27" t="s">
        <v>920</v>
      </c>
      <c r="D290" s="27" t="s">
        <v>921</v>
      </c>
      <c r="E290" s="28" t="s">
        <v>46</v>
      </c>
      <c r="F290" s="29" t="s">
        <v>46</v>
      </c>
      <c r="G290" s="30" t="s">
        <v>46</v>
      </c>
      <c r="H290" s="31"/>
      <c r="I290" s="31" t="s">
        <v>47</v>
      </c>
      <c r="J290" s="32" t="n">
        <v>1.0</v>
      </c>
      <c r="K290" s="33" t="n">
        <f>32910</f>
        <v>32910.0</v>
      </c>
      <c r="L290" s="34" t="s">
        <v>48</v>
      </c>
      <c r="M290" s="33" t="n">
        <f>109600</f>
        <v>109600.0</v>
      </c>
      <c r="N290" s="34" t="s">
        <v>55</v>
      </c>
      <c r="O290" s="33" t="n">
        <f>14110</f>
        <v>14110.0</v>
      </c>
      <c r="P290" s="34" t="s">
        <v>84</v>
      </c>
      <c r="Q290" s="33" t="n">
        <f>14895</f>
        <v>14895.0</v>
      </c>
      <c r="R290" s="34" t="s">
        <v>51</v>
      </c>
      <c r="S290" s="35" t="n">
        <f>27398.86</f>
        <v>27398.86</v>
      </c>
      <c r="T290" s="32" t="n">
        <f>47939</f>
        <v>47939.0</v>
      </c>
      <c r="U290" s="32" t="n">
        <f>729</f>
        <v>729.0</v>
      </c>
      <c r="V290" s="32" t="n">
        <f>1852452720</f>
        <v>1.85245272E9</v>
      </c>
      <c r="W290" s="32" t="n">
        <f>9947205</f>
        <v>9947205.0</v>
      </c>
      <c r="X290" s="36" t="n">
        <f>22</f>
        <v>22.0</v>
      </c>
    </row>
    <row r="291">
      <c r="A291" s="27" t="s">
        <v>42</v>
      </c>
      <c r="B291" s="27" t="s">
        <v>922</v>
      </c>
      <c r="C291" s="27" t="s">
        <v>923</v>
      </c>
      <c r="D291" s="27" t="s">
        <v>924</v>
      </c>
      <c r="E291" s="28" t="s">
        <v>46</v>
      </c>
      <c r="F291" s="29" t="s">
        <v>46</v>
      </c>
      <c r="G291" s="30" t="s">
        <v>46</v>
      </c>
      <c r="H291" s="31"/>
      <c r="I291" s="31" t="s">
        <v>47</v>
      </c>
      <c r="J291" s="32" t="n">
        <v>1.0</v>
      </c>
      <c r="K291" s="33" t="n">
        <f>1880</f>
        <v>1880.0</v>
      </c>
      <c r="L291" s="34" t="s">
        <v>48</v>
      </c>
      <c r="M291" s="33" t="n">
        <f>1880</f>
        <v>1880.0</v>
      </c>
      <c r="N291" s="34" t="s">
        <v>48</v>
      </c>
      <c r="O291" s="33" t="n">
        <f>1799</f>
        <v>1799.0</v>
      </c>
      <c r="P291" s="34" t="s">
        <v>267</v>
      </c>
      <c r="Q291" s="33" t="n">
        <f>1813</f>
        <v>1813.0</v>
      </c>
      <c r="R291" s="34" t="s">
        <v>51</v>
      </c>
      <c r="S291" s="35" t="n">
        <f>1831.45</f>
        <v>1831.45</v>
      </c>
      <c r="T291" s="32" t="n">
        <f>58022</f>
        <v>58022.0</v>
      </c>
      <c r="U291" s="32" t="n">
        <f>8002</f>
        <v>8002.0</v>
      </c>
      <c r="V291" s="32" t="n">
        <f>105883470</f>
        <v>1.0588347E8</v>
      </c>
      <c r="W291" s="32" t="n">
        <f>14650058</f>
        <v>1.4650058E7</v>
      </c>
      <c r="X291" s="36" t="n">
        <f>22</f>
        <v>22.0</v>
      </c>
    </row>
    <row r="292">
      <c r="A292" s="27" t="s">
        <v>42</v>
      </c>
      <c r="B292" s="27" t="s">
        <v>925</v>
      </c>
      <c r="C292" s="27" t="s">
        <v>926</v>
      </c>
      <c r="D292" s="27" t="s">
        <v>927</v>
      </c>
      <c r="E292" s="28" t="s">
        <v>46</v>
      </c>
      <c r="F292" s="29" t="s">
        <v>46</v>
      </c>
      <c r="G292" s="30" t="s">
        <v>46</v>
      </c>
      <c r="H292" s="31"/>
      <c r="I292" s="31" t="s">
        <v>47</v>
      </c>
      <c r="J292" s="32" t="n">
        <v>10.0</v>
      </c>
      <c r="K292" s="33" t="n">
        <f>3599</f>
        <v>3599.0</v>
      </c>
      <c r="L292" s="34" t="s">
        <v>48</v>
      </c>
      <c r="M292" s="33" t="n">
        <f>70400</f>
        <v>70400.0</v>
      </c>
      <c r="N292" s="34" t="s">
        <v>337</v>
      </c>
      <c r="O292" s="33" t="n">
        <f>1593</f>
        <v>1593.0</v>
      </c>
      <c r="P292" s="34" t="s">
        <v>84</v>
      </c>
      <c r="Q292" s="33" t="n">
        <f>1710</f>
        <v>1710.0</v>
      </c>
      <c r="R292" s="34" t="s">
        <v>51</v>
      </c>
      <c r="S292" s="35" t="n">
        <f>8304.39</f>
        <v>8304.39</v>
      </c>
      <c r="T292" s="32" t="n">
        <f>1277450</f>
        <v>1277450.0</v>
      </c>
      <c r="U292" s="32" t="n">
        <f>37180</f>
        <v>37180.0</v>
      </c>
      <c r="V292" s="32" t="n">
        <f>4449694770</f>
        <v>4.44969477E9</v>
      </c>
      <c r="W292" s="32" t="n">
        <f>58372680</f>
        <v>5.837268E7</v>
      </c>
      <c r="X292" s="36" t="n">
        <f>22</f>
        <v>22.0</v>
      </c>
    </row>
    <row r="293">
      <c r="A293" s="27" t="s">
        <v>42</v>
      </c>
      <c r="B293" s="27" t="s">
        <v>928</v>
      </c>
      <c r="C293" s="27" t="s">
        <v>929</v>
      </c>
      <c r="D293" s="27" t="s">
        <v>930</v>
      </c>
      <c r="E293" s="28" t="s">
        <v>46</v>
      </c>
      <c r="F293" s="29" t="s">
        <v>46</v>
      </c>
      <c r="G293" s="30" t="s">
        <v>46</v>
      </c>
      <c r="H293" s="31"/>
      <c r="I293" s="31" t="s">
        <v>47</v>
      </c>
      <c r="J293" s="32" t="n">
        <v>10.0</v>
      </c>
      <c r="K293" s="33" t="n">
        <f>819.8</f>
        <v>819.8</v>
      </c>
      <c r="L293" s="34" t="s">
        <v>48</v>
      </c>
      <c r="M293" s="33" t="n">
        <f>819.8</f>
        <v>819.8</v>
      </c>
      <c r="N293" s="34" t="s">
        <v>48</v>
      </c>
      <c r="O293" s="33" t="n">
        <f>793</f>
        <v>793.0</v>
      </c>
      <c r="P293" s="34" t="s">
        <v>51</v>
      </c>
      <c r="Q293" s="33" t="n">
        <f>795</f>
        <v>795.0</v>
      </c>
      <c r="R293" s="34" t="s">
        <v>51</v>
      </c>
      <c r="S293" s="35" t="n">
        <f>803.59</f>
        <v>803.59</v>
      </c>
      <c r="T293" s="32" t="n">
        <f>1866600</f>
        <v>1866600.0</v>
      </c>
      <c r="U293" s="32" t="n">
        <f>1646860</f>
        <v>1646860.0</v>
      </c>
      <c r="V293" s="32" t="n">
        <f>1498216979</f>
        <v>1.498216979E9</v>
      </c>
      <c r="W293" s="32" t="n">
        <f>1322528610</f>
        <v>1.32252861E9</v>
      </c>
      <c r="X293" s="36" t="n">
        <f>22</f>
        <v>22.0</v>
      </c>
    </row>
    <row r="294">
      <c r="A294" s="27" t="s">
        <v>42</v>
      </c>
      <c r="B294" s="27" t="s">
        <v>931</v>
      </c>
      <c r="C294" s="27" t="s">
        <v>932</v>
      </c>
      <c r="D294" s="27" t="s">
        <v>933</v>
      </c>
      <c r="E294" s="28" t="s">
        <v>46</v>
      </c>
      <c r="F294" s="29" t="s">
        <v>46</v>
      </c>
      <c r="G294" s="30" t="s">
        <v>46</v>
      </c>
      <c r="H294" s="31"/>
      <c r="I294" s="31" t="s">
        <v>47</v>
      </c>
      <c r="J294" s="32" t="n">
        <v>10.0</v>
      </c>
      <c r="K294" s="33" t="n">
        <f>1801.5</f>
        <v>1801.5</v>
      </c>
      <c r="L294" s="34" t="s">
        <v>48</v>
      </c>
      <c r="M294" s="33" t="n">
        <f>1801.5</f>
        <v>1801.5</v>
      </c>
      <c r="N294" s="34" t="s">
        <v>48</v>
      </c>
      <c r="O294" s="33" t="n">
        <f>1720</f>
        <v>1720.0</v>
      </c>
      <c r="P294" s="34" t="s">
        <v>50</v>
      </c>
      <c r="Q294" s="33" t="n">
        <f>1736</f>
        <v>1736.0</v>
      </c>
      <c r="R294" s="34" t="s">
        <v>51</v>
      </c>
      <c r="S294" s="35" t="n">
        <f>1752.14</f>
        <v>1752.14</v>
      </c>
      <c r="T294" s="32" t="n">
        <f>95480</f>
        <v>95480.0</v>
      </c>
      <c r="U294" s="32" t="n">
        <f>12150</f>
        <v>12150.0</v>
      </c>
      <c r="V294" s="32" t="n">
        <f>167520129</f>
        <v>1.67520129E8</v>
      </c>
      <c r="W294" s="32" t="n">
        <f>21583489</f>
        <v>2.1583489E7</v>
      </c>
      <c r="X294" s="36" t="n">
        <f>22</f>
        <v>22.0</v>
      </c>
    </row>
    <row r="295">
      <c r="A295" s="27" t="s">
        <v>42</v>
      </c>
      <c r="B295" s="27" t="s">
        <v>934</v>
      </c>
      <c r="C295" s="27" t="s">
        <v>935</v>
      </c>
      <c r="D295" s="27" t="s">
        <v>936</v>
      </c>
      <c r="E295" s="28" t="s">
        <v>46</v>
      </c>
      <c r="F295" s="29" t="s">
        <v>46</v>
      </c>
      <c r="G295" s="30" t="s">
        <v>46</v>
      </c>
      <c r="H295" s="31"/>
      <c r="I295" s="31" t="s">
        <v>47</v>
      </c>
      <c r="J295" s="32" t="n">
        <v>10.0</v>
      </c>
      <c r="K295" s="33" t="n">
        <f>1799.5</f>
        <v>1799.5</v>
      </c>
      <c r="L295" s="34" t="s">
        <v>48</v>
      </c>
      <c r="M295" s="33" t="n">
        <f>1799.5</f>
        <v>1799.5</v>
      </c>
      <c r="N295" s="34" t="s">
        <v>48</v>
      </c>
      <c r="O295" s="33" t="n">
        <f>1714</f>
        <v>1714.0</v>
      </c>
      <c r="P295" s="34" t="s">
        <v>56</v>
      </c>
      <c r="Q295" s="33" t="n">
        <f>1725</f>
        <v>1725.0</v>
      </c>
      <c r="R295" s="34" t="s">
        <v>51</v>
      </c>
      <c r="S295" s="35" t="n">
        <f>1742.8</f>
        <v>1742.8</v>
      </c>
      <c r="T295" s="32" t="n">
        <f>1968670</f>
        <v>1968670.0</v>
      </c>
      <c r="U295" s="32" t="n">
        <f>530600</f>
        <v>530600.0</v>
      </c>
      <c r="V295" s="32" t="n">
        <f>3410231990</f>
        <v>3.41023199E9</v>
      </c>
      <c r="W295" s="32" t="n">
        <f>916209085</f>
        <v>9.16209085E8</v>
      </c>
      <c r="X295" s="36" t="n">
        <f>22</f>
        <v>22.0</v>
      </c>
    </row>
    <row r="296">
      <c r="A296" s="27" t="s">
        <v>42</v>
      </c>
      <c r="B296" s="27" t="s">
        <v>937</v>
      </c>
      <c r="C296" s="27" t="s">
        <v>938</v>
      </c>
      <c r="D296" s="27" t="s">
        <v>939</v>
      </c>
      <c r="E296" s="28" t="s">
        <v>46</v>
      </c>
      <c r="F296" s="29" t="s">
        <v>46</v>
      </c>
      <c r="G296" s="30" t="s">
        <v>46</v>
      </c>
      <c r="H296" s="31"/>
      <c r="I296" s="31" t="s">
        <v>47</v>
      </c>
      <c r="J296" s="32" t="n">
        <v>10.0</v>
      </c>
      <c r="K296" s="33" t="n">
        <f>2735</f>
        <v>2735.0</v>
      </c>
      <c r="L296" s="34" t="s">
        <v>48</v>
      </c>
      <c r="M296" s="33" t="n">
        <f>2776.5</f>
        <v>2776.5</v>
      </c>
      <c r="N296" s="34" t="s">
        <v>55</v>
      </c>
      <c r="O296" s="33" t="n">
        <f>2631.5</f>
        <v>2631.5</v>
      </c>
      <c r="P296" s="34" t="s">
        <v>50</v>
      </c>
      <c r="Q296" s="33" t="n">
        <f>2727.5</f>
        <v>2727.5</v>
      </c>
      <c r="R296" s="34" t="s">
        <v>51</v>
      </c>
      <c r="S296" s="35" t="n">
        <f>2715.68</f>
        <v>2715.68</v>
      </c>
      <c r="T296" s="32" t="n">
        <f>688980</f>
        <v>688980.0</v>
      </c>
      <c r="U296" s="32" t="n">
        <f>100000</f>
        <v>100000.0</v>
      </c>
      <c r="V296" s="32" t="n">
        <f>1863716870</f>
        <v>1.86371687E9</v>
      </c>
      <c r="W296" s="32" t="n">
        <f>268140000</f>
        <v>2.6814E8</v>
      </c>
      <c r="X296" s="36" t="n">
        <f>22</f>
        <v>22.0</v>
      </c>
    </row>
    <row r="297">
      <c r="A297" s="27" t="s">
        <v>42</v>
      </c>
      <c r="B297" s="27" t="s">
        <v>940</v>
      </c>
      <c r="C297" s="27" t="s">
        <v>941</v>
      </c>
      <c r="D297" s="27" t="s">
        <v>942</v>
      </c>
      <c r="E297" s="28" t="s">
        <v>46</v>
      </c>
      <c r="F297" s="29" t="s">
        <v>46</v>
      </c>
      <c r="G297" s="30" t="s">
        <v>46</v>
      </c>
      <c r="H297" s="31"/>
      <c r="I297" s="31" t="s">
        <v>47</v>
      </c>
      <c r="J297" s="32" t="n">
        <v>1.0</v>
      </c>
      <c r="K297" s="33" t="n">
        <f>23800</f>
        <v>23800.0</v>
      </c>
      <c r="L297" s="34" t="s">
        <v>48</v>
      </c>
      <c r="M297" s="33" t="n">
        <f>25880</f>
        <v>25880.0</v>
      </c>
      <c r="N297" s="34" t="s">
        <v>50</v>
      </c>
      <c r="O297" s="33" t="n">
        <f>23505</f>
        <v>23505.0</v>
      </c>
      <c r="P297" s="34" t="s">
        <v>72</v>
      </c>
      <c r="Q297" s="33" t="n">
        <f>25495</f>
        <v>25495.0</v>
      </c>
      <c r="R297" s="34" t="s">
        <v>51</v>
      </c>
      <c r="S297" s="35" t="n">
        <f>24951.14</f>
        <v>24951.14</v>
      </c>
      <c r="T297" s="32" t="n">
        <f>889635</f>
        <v>889635.0</v>
      </c>
      <c r="U297" s="32" t="n">
        <f>80811</f>
        <v>80811.0</v>
      </c>
      <c r="V297" s="32" t="n">
        <f>22116083182</f>
        <v>2.2116083182E10</v>
      </c>
      <c r="W297" s="32" t="n">
        <f>2003615027</f>
        <v>2.003615027E9</v>
      </c>
      <c r="X297" s="36" t="n">
        <f>22</f>
        <v>22.0</v>
      </c>
    </row>
    <row r="298">
      <c r="A298" s="27" t="s">
        <v>42</v>
      </c>
      <c r="B298" s="27" t="s">
        <v>943</v>
      </c>
      <c r="C298" s="27" t="s">
        <v>944</v>
      </c>
      <c r="D298" s="27" t="s">
        <v>945</v>
      </c>
      <c r="E298" s="28" t="s">
        <v>46</v>
      </c>
      <c r="F298" s="29" t="s">
        <v>46</v>
      </c>
      <c r="G298" s="30" t="s">
        <v>46</v>
      </c>
      <c r="H298" s="31"/>
      <c r="I298" s="31" t="s">
        <v>47</v>
      </c>
      <c r="J298" s="32" t="n">
        <v>1.0</v>
      </c>
      <c r="K298" s="33" t="n">
        <f>20245</f>
        <v>20245.0</v>
      </c>
      <c r="L298" s="34" t="s">
        <v>48</v>
      </c>
      <c r="M298" s="33" t="n">
        <f>21445</f>
        <v>21445.0</v>
      </c>
      <c r="N298" s="34" t="s">
        <v>50</v>
      </c>
      <c r="O298" s="33" t="n">
        <f>19885</f>
        <v>19885.0</v>
      </c>
      <c r="P298" s="34" t="s">
        <v>72</v>
      </c>
      <c r="Q298" s="33" t="n">
        <f>21150</f>
        <v>21150.0</v>
      </c>
      <c r="R298" s="34" t="s">
        <v>51</v>
      </c>
      <c r="S298" s="35" t="n">
        <f>20869.32</f>
        <v>20869.32</v>
      </c>
      <c r="T298" s="32" t="n">
        <f>278033</f>
        <v>278033.0</v>
      </c>
      <c r="U298" s="32" t="n">
        <f>186</f>
        <v>186.0</v>
      </c>
      <c r="V298" s="32" t="n">
        <f>5798060245</f>
        <v>5.798060245E9</v>
      </c>
      <c r="W298" s="32" t="n">
        <f>3952015</f>
        <v>3952015.0</v>
      </c>
      <c r="X298" s="36" t="n">
        <f>22</f>
        <v>22.0</v>
      </c>
    </row>
    <row r="299">
      <c r="A299" s="27" t="s">
        <v>42</v>
      </c>
      <c r="B299" s="27" t="s">
        <v>946</v>
      </c>
      <c r="C299" s="27" t="s">
        <v>947</v>
      </c>
      <c r="D299" s="27" t="s">
        <v>948</v>
      </c>
      <c r="E299" s="28" t="s">
        <v>46</v>
      </c>
      <c r="F299" s="29" t="s">
        <v>46</v>
      </c>
      <c r="G299" s="30" t="s">
        <v>46</v>
      </c>
      <c r="H299" s="31"/>
      <c r="I299" s="31" t="s">
        <v>47</v>
      </c>
      <c r="J299" s="32" t="n">
        <v>1.0</v>
      </c>
      <c r="K299" s="33" t="n">
        <f>39550</f>
        <v>39550.0</v>
      </c>
      <c r="L299" s="34" t="s">
        <v>48</v>
      </c>
      <c r="M299" s="33" t="n">
        <f>39550</f>
        <v>39550.0</v>
      </c>
      <c r="N299" s="34" t="s">
        <v>48</v>
      </c>
      <c r="O299" s="33" t="n">
        <f>35320</f>
        <v>35320.0</v>
      </c>
      <c r="P299" s="34" t="s">
        <v>60</v>
      </c>
      <c r="Q299" s="33" t="n">
        <f>36180</f>
        <v>36180.0</v>
      </c>
      <c r="R299" s="34" t="s">
        <v>49</v>
      </c>
      <c r="S299" s="35" t="n">
        <f>36000</f>
        <v>36000.0</v>
      </c>
      <c r="T299" s="32" t="n">
        <f>36</f>
        <v>36.0</v>
      </c>
      <c r="U299" s="32" t="str">
        <f>"－"</f>
        <v>－</v>
      </c>
      <c r="V299" s="32" t="n">
        <f>1296360</f>
        <v>1296360.0</v>
      </c>
      <c r="W299" s="32" t="str">
        <f>"－"</f>
        <v>－</v>
      </c>
      <c r="X299" s="36" t="n">
        <f>8</f>
        <v>8.0</v>
      </c>
    </row>
    <row r="300">
      <c r="A300" s="27" t="s">
        <v>42</v>
      </c>
      <c r="B300" s="27" t="s">
        <v>949</v>
      </c>
      <c r="C300" s="27" t="s">
        <v>950</v>
      </c>
      <c r="D300" s="27" t="s">
        <v>951</v>
      </c>
      <c r="E300" s="28" t="s">
        <v>46</v>
      </c>
      <c r="F300" s="29" t="s">
        <v>46</v>
      </c>
      <c r="G300" s="30" t="s">
        <v>46</v>
      </c>
      <c r="H300" s="31"/>
      <c r="I300" s="31" t="s">
        <v>47</v>
      </c>
      <c r="J300" s="32" t="n">
        <v>1.0</v>
      </c>
      <c r="K300" s="33" t="n">
        <f>2365</f>
        <v>2365.0</v>
      </c>
      <c r="L300" s="34" t="s">
        <v>48</v>
      </c>
      <c r="M300" s="33" t="n">
        <f>2385</f>
        <v>2385.0</v>
      </c>
      <c r="N300" s="34" t="s">
        <v>72</v>
      </c>
      <c r="O300" s="33" t="n">
        <f>2341</f>
        <v>2341.0</v>
      </c>
      <c r="P300" s="34" t="s">
        <v>260</v>
      </c>
      <c r="Q300" s="33" t="n">
        <f>2350</f>
        <v>2350.0</v>
      </c>
      <c r="R300" s="34" t="s">
        <v>51</v>
      </c>
      <c r="S300" s="35" t="n">
        <f>2358.59</f>
        <v>2358.59</v>
      </c>
      <c r="T300" s="32" t="n">
        <f>934499</f>
        <v>934499.0</v>
      </c>
      <c r="U300" s="32" t="n">
        <f>530291</f>
        <v>530291.0</v>
      </c>
      <c r="V300" s="32" t="n">
        <f>2212481432</f>
        <v>2.212481432E9</v>
      </c>
      <c r="W300" s="32" t="n">
        <f>1257811877</f>
        <v>1.257811877E9</v>
      </c>
      <c r="X300" s="36" t="n">
        <f>22</f>
        <v>22.0</v>
      </c>
    </row>
    <row r="301">
      <c r="A301" s="27" t="s">
        <v>42</v>
      </c>
      <c r="B301" s="27" t="s">
        <v>952</v>
      </c>
      <c r="C301" s="27" t="s">
        <v>953</v>
      </c>
      <c r="D301" s="27" t="s">
        <v>954</v>
      </c>
      <c r="E301" s="28" t="s">
        <v>46</v>
      </c>
      <c r="F301" s="29" t="s">
        <v>46</v>
      </c>
      <c r="G301" s="30" t="s">
        <v>46</v>
      </c>
      <c r="H301" s="31"/>
      <c r="I301" s="31" t="s">
        <v>47</v>
      </c>
      <c r="J301" s="32" t="n">
        <v>10.0</v>
      </c>
      <c r="K301" s="33" t="n">
        <f>3175</f>
        <v>3175.0</v>
      </c>
      <c r="L301" s="34" t="s">
        <v>48</v>
      </c>
      <c r="M301" s="33" t="n">
        <f>3249</f>
        <v>3249.0</v>
      </c>
      <c r="N301" s="34" t="s">
        <v>235</v>
      </c>
      <c r="O301" s="33" t="n">
        <f>3143</f>
        <v>3143.0</v>
      </c>
      <c r="P301" s="34" t="s">
        <v>337</v>
      </c>
      <c r="Q301" s="33" t="n">
        <f>3145</f>
        <v>3145.0</v>
      </c>
      <c r="R301" s="34" t="s">
        <v>51</v>
      </c>
      <c r="S301" s="35" t="n">
        <f>3184.05</f>
        <v>3184.05</v>
      </c>
      <c r="T301" s="32" t="n">
        <f>1412270</f>
        <v>1412270.0</v>
      </c>
      <c r="U301" s="32" t="n">
        <f>527500</f>
        <v>527500.0</v>
      </c>
      <c r="V301" s="32" t="n">
        <f>4498093710</f>
        <v>4.49809371E9</v>
      </c>
      <c r="W301" s="32" t="n">
        <f>1666203750</f>
        <v>1.66620375E9</v>
      </c>
      <c r="X301" s="36" t="n">
        <f>22</f>
        <v>22.0</v>
      </c>
    </row>
    <row r="302">
      <c r="A302" s="27" t="s">
        <v>42</v>
      </c>
      <c r="B302" s="27" t="s">
        <v>955</v>
      </c>
      <c r="C302" s="27" t="s">
        <v>956</v>
      </c>
      <c r="D302" s="27" t="s">
        <v>957</v>
      </c>
      <c r="E302" s="28" t="s">
        <v>46</v>
      </c>
      <c r="F302" s="29" t="s">
        <v>46</v>
      </c>
      <c r="G302" s="30" t="s">
        <v>46</v>
      </c>
      <c r="H302" s="31"/>
      <c r="I302" s="31" t="s">
        <v>47</v>
      </c>
      <c r="J302" s="32" t="n">
        <v>10.0</v>
      </c>
      <c r="K302" s="33" t="n">
        <f>327.1</f>
        <v>327.1</v>
      </c>
      <c r="L302" s="34" t="s">
        <v>48</v>
      </c>
      <c r="M302" s="33" t="n">
        <f>333.7</f>
        <v>333.7</v>
      </c>
      <c r="N302" s="34" t="s">
        <v>235</v>
      </c>
      <c r="O302" s="33" t="n">
        <f>323.4</f>
        <v>323.4</v>
      </c>
      <c r="P302" s="34" t="s">
        <v>337</v>
      </c>
      <c r="Q302" s="33" t="n">
        <f>328.5</f>
        <v>328.5</v>
      </c>
      <c r="R302" s="34" t="s">
        <v>51</v>
      </c>
      <c r="S302" s="35" t="n">
        <f>329.08</f>
        <v>329.08</v>
      </c>
      <c r="T302" s="32" t="n">
        <f>44934270</f>
        <v>4.493427E7</v>
      </c>
      <c r="U302" s="32" t="n">
        <f>22362860</f>
        <v>2.236286E7</v>
      </c>
      <c r="V302" s="32" t="n">
        <f>14828278520</f>
        <v>1.482827852E10</v>
      </c>
      <c r="W302" s="32" t="n">
        <f>7400579445</f>
        <v>7.400579445E9</v>
      </c>
      <c r="X302" s="36" t="n">
        <f>22</f>
        <v>22.0</v>
      </c>
    </row>
    <row r="303">
      <c r="A303" s="27" t="s">
        <v>42</v>
      </c>
      <c r="B303" s="27" t="s">
        <v>958</v>
      </c>
      <c r="C303" s="27" t="s">
        <v>959</v>
      </c>
      <c r="D303" s="27" t="s">
        <v>960</v>
      </c>
      <c r="E303" s="28" t="s">
        <v>46</v>
      </c>
      <c r="F303" s="29" t="s">
        <v>46</v>
      </c>
      <c r="G303" s="30" t="s">
        <v>46</v>
      </c>
      <c r="H303" s="31"/>
      <c r="I303" s="31" t="s">
        <v>47</v>
      </c>
      <c r="J303" s="32" t="n">
        <v>1.0</v>
      </c>
      <c r="K303" s="33" t="n">
        <f>2811</f>
        <v>2811.0</v>
      </c>
      <c r="L303" s="34" t="s">
        <v>48</v>
      </c>
      <c r="M303" s="33" t="n">
        <f>2831</f>
        <v>2831.0</v>
      </c>
      <c r="N303" s="34" t="s">
        <v>55</v>
      </c>
      <c r="O303" s="33" t="n">
        <f>2596</f>
        <v>2596.0</v>
      </c>
      <c r="P303" s="34" t="s">
        <v>56</v>
      </c>
      <c r="Q303" s="33" t="n">
        <f>2682</f>
        <v>2682.0</v>
      </c>
      <c r="R303" s="34" t="s">
        <v>51</v>
      </c>
      <c r="S303" s="35" t="n">
        <f>2729.91</f>
        <v>2729.91</v>
      </c>
      <c r="T303" s="32" t="n">
        <f>2141531</f>
        <v>2141531.0</v>
      </c>
      <c r="U303" s="32" t="n">
        <f>1375764</f>
        <v>1375764.0</v>
      </c>
      <c r="V303" s="32" t="n">
        <f>5876713781</f>
        <v>5.876713781E9</v>
      </c>
      <c r="W303" s="32" t="n">
        <f>3791200853</f>
        <v>3.791200853E9</v>
      </c>
      <c r="X303" s="36" t="n">
        <f>22</f>
        <v>22.0</v>
      </c>
    </row>
    <row r="304">
      <c r="A304" s="27" t="s">
        <v>42</v>
      </c>
      <c r="B304" s="27" t="s">
        <v>961</v>
      </c>
      <c r="C304" s="27" t="s">
        <v>962</v>
      </c>
      <c r="D304" s="27" t="s">
        <v>963</v>
      </c>
      <c r="E304" s="28" t="s">
        <v>46</v>
      </c>
      <c r="F304" s="29" t="s">
        <v>46</v>
      </c>
      <c r="G304" s="30" t="s">
        <v>46</v>
      </c>
      <c r="H304" s="31"/>
      <c r="I304" s="31" t="s">
        <v>47</v>
      </c>
      <c r="J304" s="32" t="n">
        <v>1.0</v>
      </c>
      <c r="K304" s="33" t="n">
        <f>869</f>
        <v>869.0</v>
      </c>
      <c r="L304" s="34" t="s">
        <v>48</v>
      </c>
      <c r="M304" s="33" t="n">
        <f>869</f>
        <v>869.0</v>
      </c>
      <c r="N304" s="34" t="s">
        <v>48</v>
      </c>
      <c r="O304" s="33" t="n">
        <f>840</f>
        <v>840.0</v>
      </c>
      <c r="P304" s="34" t="s">
        <v>267</v>
      </c>
      <c r="Q304" s="33" t="n">
        <f>848</f>
        <v>848.0</v>
      </c>
      <c r="R304" s="34" t="s">
        <v>51</v>
      </c>
      <c r="S304" s="35" t="n">
        <f>853.36</f>
        <v>853.36</v>
      </c>
      <c r="T304" s="32" t="n">
        <f>780628</f>
        <v>780628.0</v>
      </c>
      <c r="U304" s="32" t="n">
        <f>100005</f>
        <v>100005.0</v>
      </c>
      <c r="V304" s="32" t="n">
        <f>665978036</f>
        <v>6.65978036E8</v>
      </c>
      <c r="W304" s="32" t="n">
        <f>84572573</f>
        <v>8.4572573E7</v>
      </c>
      <c r="X304" s="36" t="n">
        <f>22</f>
        <v>22.0</v>
      </c>
    </row>
    <row r="305">
      <c r="A305" s="27" t="s">
        <v>42</v>
      </c>
      <c r="B305" s="27" t="s">
        <v>964</v>
      </c>
      <c r="C305" s="27" t="s">
        <v>965</v>
      </c>
      <c r="D305" s="27" t="s">
        <v>966</v>
      </c>
      <c r="E305" s="28" t="s">
        <v>46</v>
      </c>
      <c r="F305" s="29" t="s">
        <v>46</v>
      </c>
      <c r="G305" s="30" t="s">
        <v>46</v>
      </c>
      <c r="H305" s="31"/>
      <c r="I305" s="31" t="s">
        <v>47</v>
      </c>
      <c r="J305" s="32" t="n">
        <v>10.0</v>
      </c>
      <c r="K305" s="33" t="n">
        <f>995.5</f>
        <v>995.5</v>
      </c>
      <c r="L305" s="34" t="s">
        <v>48</v>
      </c>
      <c r="M305" s="33" t="n">
        <f>995.5</f>
        <v>995.5</v>
      </c>
      <c r="N305" s="34" t="s">
        <v>48</v>
      </c>
      <c r="O305" s="33" t="n">
        <f>942.6</f>
        <v>942.6</v>
      </c>
      <c r="P305" s="34" t="s">
        <v>50</v>
      </c>
      <c r="Q305" s="33" t="n">
        <f>951.3</f>
        <v>951.3</v>
      </c>
      <c r="R305" s="34" t="s">
        <v>51</v>
      </c>
      <c r="S305" s="35" t="n">
        <f>957.38</f>
        <v>957.38</v>
      </c>
      <c r="T305" s="32" t="n">
        <f>154910</f>
        <v>154910.0</v>
      </c>
      <c r="U305" s="32" t="n">
        <f>30</f>
        <v>30.0</v>
      </c>
      <c r="V305" s="32" t="n">
        <f>149675816</f>
        <v>1.49675816E8</v>
      </c>
      <c r="W305" s="32" t="n">
        <f>28678</f>
        <v>28678.0</v>
      </c>
      <c r="X305" s="36" t="n">
        <f>22</f>
        <v>22.0</v>
      </c>
    </row>
    <row r="306">
      <c r="A306" s="27" t="s">
        <v>42</v>
      </c>
      <c r="B306" s="27" t="s">
        <v>967</v>
      </c>
      <c r="C306" s="27" t="s">
        <v>968</v>
      </c>
      <c r="D306" s="27" t="s">
        <v>969</v>
      </c>
      <c r="E306" s="28" t="s">
        <v>46</v>
      </c>
      <c r="F306" s="29" t="s">
        <v>46</v>
      </c>
      <c r="G306" s="30" t="s">
        <v>46</v>
      </c>
      <c r="H306" s="31"/>
      <c r="I306" s="31" t="s">
        <v>47</v>
      </c>
      <c r="J306" s="32" t="n">
        <v>10.0</v>
      </c>
      <c r="K306" s="33" t="n">
        <f>341</f>
        <v>341.0</v>
      </c>
      <c r="L306" s="34" t="s">
        <v>48</v>
      </c>
      <c r="M306" s="33" t="n">
        <f>364.1</f>
        <v>364.1</v>
      </c>
      <c r="N306" s="34" t="s">
        <v>337</v>
      </c>
      <c r="O306" s="33" t="n">
        <f>341</f>
        <v>341.0</v>
      </c>
      <c r="P306" s="34" t="s">
        <v>48</v>
      </c>
      <c r="Q306" s="33" t="n">
        <f>357.9</f>
        <v>357.9</v>
      </c>
      <c r="R306" s="34" t="s">
        <v>51</v>
      </c>
      <c r="S306" s="35" t="n">
        <f>355.59</f>
        <v>355.59</v>
      </c>
      <c r="T306" s="32" t="n">
        <f>16300</f>
        <v>16300.0</v>
      </c>
      <c r="U306" s="32" t="str">
        <f>"－"</f>
        <v>－</v>
      </c>
      <c r="V306" s="32" t="n">
        <f>5829083</f>
        <v>5829083.0</v>
      </c>
      <c r="W306" s="32" t="str">
        <f>"－"</f>
        <v>－</v>
      </c>
      <c r="X306" s="36" t="n">
        <f>19</f>
        <v>19.0</v>
      </c>
    </row>
    <row r="307">
      <c r="A307" s="27" t="s">
        <v>42</v>
      </c>
      <c r="B307" s="27" t="s">
        <v>970</v>
      </c>
      <c r="C307" s="27" t="s">
        <v>971</v>
      </c>
      <c r="D307" s="27" t="s">
        <v>972</v>
      </c>
      <c r="E307" s="28" t="s">
        <v>46</v>
      </c>
      <c r="F307" s="29" t="s">
        <v>46</v>
      </c>
      <c r="G307" s="30" t="s">
        <v>46</v>
      </c>
      <c r="H307" s="31"/>
      <c r="I307" s="31" t="s">
        <v>47</v>
      </c>
      <c r="J307" s="32" t="n">
        <v>10.0</v>
      </c>
      <c r="K307" s="33" t="n">
        <f>4946</f>
        <v>4946.0</v>
      </c>
      <c r="L307" s="34" t="s">
        <v>48</v>
      </c>
      <c r="M307" s="33" t="n">
        <f>5439</f>
        <v>5439.0</v>
      </c>
      <c r="N307" s="34" t="s">
        <v>49</v>
      </c>
      <c r="O307" s="33" t="n">
        <f>4856</f>
        <v>4856.0</v>
      </c>
      <c r="P307" s="34" t="s">
        <v>72</v>
      </c>
      <c r="Q307" s="33" t="n">
        <f>5318</f>
        <v>5318.0</v>
      </c>
      <c r="R307" s="34" t="s">
        <v>51</v>
      </c>
      <c r="S307" s="35" t="n">
        <f>5184.36</f>
        <v>5184.36</v>
      </c>
      <c r="T307" s="32" t="n">
        <f>1622040</f>
        <v>1622040.0</v>
      </c>
      <c r="U307" s="32" t="n">
        <f>830010</f>
        <v>830010.0</v>
      </c>
      <c r="V307" s="32" t="n">
        <f>8357099130</f>
        <v>8.35709913E9</v>
      </c>
      <c r="W307" s="32" t="n">
        <f>4239182650</f>
        <v>4.23918265E9</v>
      </c>
      <c r="X307" s="36" t="n">
        <f>22</f>
        <v>22.0</v>
      </c>
    </row>
    <row r="308">
      <c r="A308" s="27" t="s">
        <v>42</v>
      </c>
      <c r="B308" s="27" t="s">
        <v>973</v>
      </c>
      <c r="C308" s="27" t="s">
        <v>974</v>
      </c>
      <c r="D308" s="27" t="s">
        <v>975</v>
      </c>
      <c r="E308" s="28" t="s">
        <v>46</v>
      </c>
      <c r="F308" s="29" t="s">
        <v>46</v>
      </c>
      <c r="G308" s="30" t="s">
        <v>46</v>
      </c>
      <c r="H308" s="31"/>
      <c r="I308" s="31" t="s">
        <v>47</v>
      </c>
      <c r="J308" s="32" t="n">
        <v>10.0</v>
      </c>
      <c r="K308" s="33" t="n">
        <f>3136</f>
        <v>3136.0</v>
      </c>
      <c r="L308" s="34" t="s">
        <v>48</v>
      </c>
      <c r="M308" s="33" t="n">
        <f>3226</f>
        <v>3226.0</v>
      </c>
      <c r="N308" s="34" t="s">
        <v>49</v>
      </c>
      <c r="O308" s="33" t="n">
        <f>3082</f>
        <v>3082.0</v>
      </c>
      <c r="P308" s="34" t="s">
        <v>72</v>
      </c>
      <c r="Q308" s="33" t="n">
        <f>3164</f>
        <v>3164.0</v>
      </c>
      <c r="R308" s="34" t="s">
        <v>51</v>
      </c>
      <c r="S308" s="35" t="n">
        <f>3153.59</f>
        <v>3153.59</v>
      </c>
      <c r="T308" s="32" t="n">
        <f>3600680</f>
        <v>3600680.0</v>
      </c>
      <c r="U308" s="32" t="n">
        <f>2022510</f>
        <v>2022510.0</v>
      </c>
      <c r="V308" s="32" t="n">
        <f>11369663332</f>
        <v>1.1369663332E10</v>
      </c>
      <c r="W308" s="32" t="n">
        <f>6385909862</f>
        <v>6.385909862E9</v>
      </c>
      <c r="X308" s="36" t="n">
        <f>22</f>
        <v>22.0</v>
      </c>
    </row>
    <row r="309">
      <c r="A309" s="27" t="s">
        <v>42</v>
      </c>
      <c r="B309" s="27" t="s">
        <v>976</v>
      </c>
      <c r="C309" s="27" t="s">
        <v>977</v>
      </c>
      <c r="D309" s="27" t="s">
        <v>978</v>
      </c>
      <c r="E309" s="28" t="s">
        <v>46</v>
      </c>
      <c r="F309" s="29" t="s">
        <v>46</v>
      </c>
      <c r="G309" s="30" t="s">
        <v>46</v>
      </c>
      <c r="H309" s="31"/>
      <c r="I309" s="31" t="s">
        <v>47</v>
      </c>
      <c r="J309" s="32" t="n">
        <v>1.0</v>
      </c>
      <c r="K309" s="33" t="n">
        <f>2090</f>
        <v>2090.0</v>
      </c>
      <c r="L309" s="34" t="s">
        <v>48</v>
      </c>
      <c r="M309" s="33" t="n">
        <f>2191</f>
        <v>2191.0</v>
      </c>
      <c r="N309" s="34" t="s">
        <v>65</v>
      </c>
      <c r="O309" s="33" t="n">
        <f>1995</f>
        <v>1995.0</v>
      </c>
      <c r="P309" s="34" t="s">
        <v>56</v>
      </c>
      <c r="Q309" s="33" t="n">
        <f>2075</f>
        <v>2075.0</v>
      </c>
      <c r="R309" s="34" t="s">
        <v>51</v>
      </c>
      <c r="S309" s="35" t="n">
        <f>2074.14</f>
        <v>2074.14</v>
      </c>
      <c r="T309" s="32" t="n">
        <f>20273</f>
        <v>20273.0</v>
      </c>
      <c r="U309" s="32" t="str">
        <f>"－"</f>
        <v>－</v>
      </c>
      <c r="V309" s="32" t="n">
        <f>42083448</f>
        <v>4.2083448E7</v>
      </c>
      <c r="W309" s="32" t="str">
        <f>"－"</f>
        <v>－</v>
      </c>
      <c r="X309" s="36" t="n">
        <f>22</f>
        <v>22.0</v>
      </c>
    </row>
    <row r="310">
      <c r="A310" s="27" t="s">
        <v>42</v>
      </c>
      <c r="B310" s="27" t="s">
        <v>979</v>
      </c>
      <c r="C310" s="27" t="s">
        <v>980</v>
      </c>
      <c r="D310" s="27" t="s">
        <v>981</v>
      </c>
      <c r="E310" s="28" t="s">
        <v>46</v>
      </c>
      <c r="F310" s="29" t="s">
        <v>46</v>
      </c>
      <c r="G310" s="30" t="s">
        <v>46</v>
      </c>
      <c r="H310" s="31"/>
      <c r="I310" s="31" t="s">
        <v>47</v>
      </c>
      <c r="J310" s="32" t="n">
        <v>1.0</v>
      </c>
      <c r="K310" s="33" t="n">
        <f>1995</f>
        <v>1995.0</v>
      </c>
      <c r="L310" s="34" t="s">
        <v>48</v>
      </c>
      <c r="M310" s="33" t="n">
        <f>2014</f>
        <v>2014.0</v>
      </c>
      <c r="N310" s="34" t="s">
        <v>83</v>
      </c>
      <c r="O310" s="33" t="n">
        <f>1905</f>
        <v>1905.0</v>
      </c>
      <c r="P310" s="34" t="s">
        <v>50</v>
      </c>
      <c r="Q310" s="33" t="n">
        <f>1933</f>
        <v>1933.0</v>
      </c>
      <c r="R310" s="34" t="s">
        <v>51</v>
      </c>
      <c r="S310" s="35" t="n">
        <f>1941.82</f>
        <v>1941.82</v>
      </c>
      <c r="T310" s="32" t="n">
        <f>38540</f>
        <v>38540.0</v>
      </c>
      <c r="U310" s="32" t="str">
        <f>"－"</f>
        <v>－</v>
      </c>
      <c r="V310" s="32" t="n">
        <f>74211851</f>
        <v>7.4211851E7</v>
      </c>
      <c r="W310" s="32" t="str">
        <f>"－"</f>
        <v>－</v>
      </c>
      <c r="X310" s="36" t="n">
        <f>22</f>
        <v>22.0</v>
      </c>
    </row>
    <row r="311">
      <c r="A311" s="27" t="s">
        <v>42</v>
      </c>
      <c r="B311" s="27" t="s">
        <v>982</v>
      </c>
      <c r="C311" s="27" t="s">
        <v>983</v>
      </c>
      <c r="D311" s="27" t="s">
        <v>984</v>
      </c>
      <c r="E311" s="28" t="s">
        <v>46</v>
      </c>
      <c r="F311" s="29" t="s">
        <v>46</v>
      </c>
      <c r="G311" s="30" t="s">
        <v>46</v>
      </c>
      <c r="H311" s="31"/>
      <c r="I311" s="31" t="s">
        <v>47</v>
      </c>
      <c r="J311" s="32" t="n">
        <v>10.0</v>
      </c>
      <c r="K311" s="33" t="n">
        <f>331.4</f>
        <v>331.4</v>
      </c>
      <c r="L311" s="34" t="s">
        <v>48</v>
      </c>
      <c r="M311" s="33" t="n">
        <f>351.7</f>
        <v>351.7</v>
      </c>
      <c r="N311" s="34" t="s">
        <v>50</v>
      </c>
      <c r="O311" s="33" t="n">
        <f>331.4</f>
        <v>331.4</v>
      </c>
      <c r="P311" s="34" t="s">
        <v>48</v>
      </c>
      <c r="Q311" s="33" t="n">
        <f>349.6</f>
        <v>349.6</v>
      </c>
      <c r="R311" s="34" t="s">
        <v>51</v>
      </c>
      <c r="S311" s="35" t="n">
        <f>343.29</f>
        <v>343.29</v>
      </c>
      <c r="T311" s="32" t="n">
        <f>23759170</f>
        <v>2.375917E7</v>
      </c>
      <c r="U311" s="32" t="n">
        <f>15661950</f>
        <v>1.566195E7</v>
      </c>
      <c r="V311" s="32" t="n">
        <f>8113795216</f>
        <v>8.113795216E9</v>
      </c>
      <c r="W311" s="32" t="n">
        <f>5328946939</f>
        <v>5.328946939E9</v>
      </c>
      <c r="X311" s="36" t="n">
        <f>22</f>
        <v>22.0</v>
      </c>
    </row>
    <row r="312">
      <c r="A312" s="27" t="s">
        <v>42</v>
      </c>
      <c r="B312" s="27" t="s">
        <v>985</v>
      </c>
      <c r="C312" s="27" t="s">
        <v>986</v>
      </c>
      <c r="D312" s="27" t="s">
        <v>987</v>
      </c>
      <c r="E312" s="28" t="s">
        <v>46</v>
      </c>
      <c r="F312" s="29" t="s">
        <v>46</v>
      </c>
      <c r="G312" s="30" t="s">
        <v>46</v>
      </c>
      <c r="H312" s="31"/>
      <c r="I312" s="31" t="s">
        <v>47</v>
      </c>
      <c r="J312" s="32" t="n">
        <v>1.0</v>
      </c>
      <c r="K312" s="33" t="n">
        <f>1294</f>
        <v>1294.0</v>
      </c>
      <c r="L312" s="34" t="s">
        <v>48</v>
      </c>
      <c r="M312" s="33" t="n">
        <f>1302</f>
        <v>1302.0</v>
      </c>
      <c r="N312" s="34" t="s">
        <v>72</v>
      </c>
      <c r="O312" s="33" t="n">
        <f>1187</f>
        <v>1187.0</v>
      </c>
      <c r="P312" s="34" t="s">
        <v>50</v>
      </c>
      <c r="Q312" s="33" t="n">
        <f>1199</f>
        <v>1199.0</v>
      </c>
      <c r="R312" s="34" t="s">
        <v>51</v>
      </c>
      <c r="S312" s="35" t="n">
        <f>1231.23</f>
        <v>1231.23</v>
      </c>
      <c r="T312" s="32" t="n">
        <f>32999759</f>
        <v>3.2999759E7</v>
      </c>
      <c r="U312" s="32" t="n">
        <f>1750777</f>
        <v>1750777.0</v>
      </c>
      <c r="V312" s="32" t="n">
        <f>40560458676</f>
        <v>4.0560458676E10</v>
      </c>
      <c r="W312" s="32" t="n">
        <f>2223842649</f>
        <v>2.223842649E9</v>
      </c>
      <c r="X312" s="36" t="n">
        <f>22</f>
        <v>22.0</v>
      </c>
    </row>
    <row r="313">
      <c r="A313" s="27" t="s">
        <v>42</v>
      </c>
      <c r="B313" s="27" t="s">
        <v>988</v>
      </c>
      <c r="C313" s="27" t="s">
        <v>989</v>
      </c>
      <c r="D313" s="27" t="s">
        <v>990</v>
      </c>
      <c r="E313" s="28" t="s">
        <v>46</v>
      </c>
      <c r="F313" s="29" t="s">
        <v>46</v>
      </c>
      <c r="G313" s="30" t="s">
        <v>46</v>
      </c>
      <c r="H313" s="31"/>
      <c r="I313" s="31" t="s">
        <v>47</v>
      </c>
      <c r="J313" s="32" t="n">
        <v>1.0</v>
      </c>
      <c r="K313" s="33" t="n">
        <f>1826</f>
        <v>1826.0</v>
      </c>
      <c r="L313" s="34" t="s">
        <v>48</v>
      </c>
      <c r="M313" s="33" t="n">
        <f>1828</f>
        <v>1828.0</v>
      </c>
      <c r="N313" s="34" t="s">
        <v>64</v>
      </c>
      <c r="O313" s="33" t="n">
        <f>1747</f>
        <v>1747.0</v>
      </c>
      <c r="P313" s="34" t="s">
        <v>60</v>
      </c>
      <c r="Q313" s="33" t="n">
        <f>1758</f>
        <v>1758.0</v>
      </c>
      <c r="R313" s="34" t="s">
        <v>51</v>
      </c>
      <c r="S313" s="35" t="n">
        <f>1780.91</f>
        <v>1780.91</v>
      </c>
      <c r="T313" s="32" t="n">
        <f>69980</f>
        <v>69980.0</v>
      </c>
      <c r="U313" s="32" t="n">
        <f>10001</f>
        <v>10001.0</v>
      </c>
      <c r="V313" s="32" t="n">
        <f>125465982</f>
        <v>1.25465982E8</v>
      </c>
      <c r="W313" s="32" t="n">
        <f>18056825</f>
        <v>1.8056825E7</v>
      </c>
      <c r="X313" s="36" t="n">
        <f>22</f>
        <v>22.0</v>
      </c>
    </row>
    <row r="314">
      <c r="A314" s="27" t="s">
        <v>42</v>
      </c>
      <c r="B314" s="27" t="s">
        <v>991</v>
      </c>
      <c r="C314" s="27" t="s">
        <v>992</v>
      </c>
      <c r="D314" s="27" t="s">
        <v>993</v>
      </c>
      <c r="E314" s="28" t="s">
        <v>46</v>
      </c>
      <c r="F314" s="29" t="s">
        <v>46</v>
      </c>
      <c r="G314" s="30" t="s">
        <v>46</v>
      </c>
      <c r="H314" s="31"/>
      <c r="I314" s="31" t="s">
        <v>47</v>
      </c>
      <c r="J314" s="32" t="n">
        <v>1.0</v>
      </c>
      <c r="K314" s="33" t="n">
        <f>2105</f>
        <v>2105.0</v>
      </c>
      <c r="L314" s="34" t="s">
        <v>48</v>
      </c>
      <c r="M314" s="33" t="n">
        <f>2155</f>
        <v>2155.0</v>
      </c>
      <c r="N314" s="34" t="s">
        <v>64</v>
      </c>
      <c r="O314" s="33" t="n">
        <f>2070</f>
        <v>2070.0</v>
      </c>
      <c r="P314" s="34" t="s">
        <v>51</v>
      </c>
      <c r="Q314" s="33" t="n">
        <f>2072</f>
        <v>2072.0</v>
      </c>
      <c r="R314" s="34" t="s">
        <v>51</v>
      </c>
      <c r="S314" s="35" t="n">
        <f>2089.82</f>
        <v>2089.82</v>
      </c>
      <c r="T314" s="32" t="n">
        <f>783537</f>
        <v>783537.0</v>
      </c>
      <c r="U314" s="32" t="n">
        <f>768002</f>
        <v>768002.0</v>
      </c>
      <c r="V314" s="32" t="n">
        <f>1629144219</f>
        <v>1.629144219E9</v>
      </c>
      <c r="W314" s="32" t="n">
        <f>1596522582</f>
        <v>1.596522582E9</v>
      </c>
      <c r="X314" s="36" t="n">
        <f>22</f>
        <v>22.0</v>
      </c>
    </row>
    <row r="315">
      <c r="A315" s="27" t="s">
        <v>42</v>
      </c>
      <c r="B315" s="27" t="s">
        <v>994</v>
      </c>
      <c r="C315" s="27" t="s">
        <v>995</v>
      </c>
      <c r="D315" s="27" t="s">
        <v>996</v>
      </c>
      <c r="E315" s="28" t="s">
        <v>46</v>
      </c>
      <c r="F315" s="29" t="s">
        <v>46</v>
      </c>
      <c r="G315" s="30" t="s">
        <v>46</v>
      </c>
      <c r="H315" s="31"/>
      <c r="I315" s="31" t="s">
        <v>47</v>
      </c>
      <c r="J315" s="32" t="n">
        <v>1.0</v>
      </c>
      <c r="K315" s="33" t="n">
        <f>3860</f>
        <v>3860.0</v>
      </c>
      <c r="L315" s="34" t="s">
        <v>48</v>
      </c>
      <c r="M315" s="33" t="n">
        <f>4040</f>
        <v>4040.0</v>
      </c>
      <c r="N315" s="34" t="s">
        <v>76</v>
      </c>
      <c r="O315" s="33" t="n">
        <f>3785</f>
        <v>3785.0</v>
      </c>
      <c r="P315" s="34" t="s">
        <v>60</v>
      </c>
      <c r="Q315" s="33" t="n">
        <f>3925</f>
        <v>3925.0</v>
      </c>
      <c r="R315" s="34" t="s">
        <v>51</v>
      </c>
      <c r="S315" s="35" t="n">
        <f>3905.23</f>
        <v>3905.23</v>
      </c>
      <c r="T315" s="32" t="n">
        <f>261637</f>
        <v>261637.0</v>
      </c>
      <c r="U315" s="32" t="n">
        <f>156257</f>
        <v>156257.0</v>
      </c>
      <c r="V315" s="32" t="n">
        <f>1032787835</f>
        <v>1.032787835E9</v>
      </c>
      <c r="W315" s="32" t="n">
        <f>619527270</f>
        <v>6.1952727E8</v>
      </c>
      <c r="X315" s="36" t="n">
        <f>22</f>
        <v>22.0</v>
      </c>
    </row>
    <row r="316">
      <c r="A316" s="27" t="s">
        <v>42</v>
      </c>
      <c r="B316" s="27" t="s">
        <v>997</v>
      </c>
      <c r="C316" s="27" t="s">
        <v>998</v>
      </c>
      <c r="D316" s="27" t="s">
        <v>999</v>
      </c>
      <c r="E316" s="28" t="s">
        <v>46</v>
      </c>
      <c r="F316" s="29" t="s">
        <v>46</v>
      </c>
      <c r="G316" s="30" t="s">
        <v>46</v>
      </c>
      <c r="H316" s="31"/>
      <c r="I316" s="31" t="s">
        <v>47</v>
      </c>
      <c r="J316" s="32" t="n">
        <v>1.0</v>
      </c>
      <c r="K316" s="33" t="n">
        <f>2695</f>
        <v>2695.0</v>
      </c>
      <c r="L316" s="34" t="s">
        <v>48</v>
      </c>
      <c r="M316" s="33" t="n">
        <f>2788</f>
        <v>2788.0</v>
      </c>
      <c r="N316" s="34" t="s">
        <v>55</v>
      </c>
      <c r="O316" s="33" t="n">
        <f>2601</f>
        <v>2601.0</v>
      </c>
      <c r="P316" s="34" t="s">
        <v>50</v>
      </c>
      <c r="Q316" s="33" t="n">
        <f>2701</f>
        <v>2701.0</v>
      </c>
      <c r="R316" s="34" t="s">
        <v>51</v>
      </c>
      <c r="S316" s="35" t="n">
        <f>2696.59</f>
        <v>2696.59</v>
      </c>
      <c r="T316" s="32" t="n">
        <f>1458282</f>
        <v>1458282.0</v>
      </c>
      <c r="U316" s="32" t="n">
        <f>250002</f>
        <v>250002.0</v>
      </c>
      <c r="V316" s="32" t="n">
        <f>3951274545</f>
        <v>3.951274545E9</v>
      </c>
      <c r="W316" s="32" t="n">
        <f>681457336</f>
        <v>6.81457336E8</v>
      </c>
      <c r="X316" s="36" t="n">
        <f>22</f>
        <v>22.0</v>
      </c>
    </row>
    <row r="317">
      <c r="A317" s="27" t="s">
        <v>42</v>
      </c>
      <c r="B317" s="27" t="s">
        <v>1000</v>
      </c>
      <c r="C317" s="27" t="s">
        <v>1001</v>
      </c>
      <c r="D317" s="27" t="s">
        <v>1002</v>
      </c>
      <c r="E317" s="28" t="s">
        <v>46</v>
      </c>
      <c r="F317" s="29" t="s">
        <v>46</v>
      </c>
      <c r="G317" s="30" t="s">
        <v>46</v>
      </c>
      <c r="H317" s="31"/>
      <c r="I317" s="31" t="s">
        <v>47</v>
      </c>
      <c r="J317" s="32" t="n">
        <v>1.0</v>
      </c>
      <c r="K317" s="33" t="n">
        <f>2358</f>
        <v>2358.0</v>
      </c>
      <c r="L317" s="34" t="s">
        <v>48</v>
      </c>
      <c r="M317" s="33" t="n">
        <f>2396</f>
        <v>2396.0</v>
      </c>
      <c r="N317" s="34" t="s">
        <v>76</v>
      </c>
      <c r="O317" s="33" t="n">
        <f>2270</f>
        <v>2270.0</v>
      </c>
      <c r="P317" s="34" t="s">
        <v>56</v>
      </c>
      <c r="Q317" s="33" t="n">
        <f>2325</f>
        <v>2325.0</v>
      </c>
      <c r="R317" s="34" t="s">
        <v>51</v>
      </c>
      <c r="S317" s="35" t="n">
        <f>2338</f>
        <v>2338.0</v>
      </c>
      <c r="T317" s="32" t="n">
        <f>19207</f>
        <v>19207.0</v>
      </c>
      <c r="U317" s="32" t="str">
        <f>"－"</f>
        <v>－</v>
      </c>
      <c r="V317" s="32" t="n">
        <f>44663513</f>
        <v>4.4663513E7</v>
      </c>
      <c r="W317" s="32" t="str">
        <f>"－"</f>
        <v>－</v>
      </c>
      <c r="X317" s="36" t="n">
        <f>22</f>
        <v>22.0</v>
      </c>
    </row>
    <row r="318">
      <c r="A318" s="27" t="s">
        <v>42</v>
      </c>
      <c r="B318" s="27" t="s">
        <v>1003</v>
      </c>
      <c r="C318" s="27" t="s">
        <v>1004</v>
      </c>
      <c r="D318" s="27" t="s">
        <v>1005</v>
      </c>
      <c r="E318" s="28" t="s">
        <v>46</v>
      </c>
      <c r="F318" s="29" t="s">
        <v>46</v>
      </c>
      <c r="G318" s="30" t="s">
        <v>46</v>
      </c>
      <c r="H318" s="31"/>
      <c r="I318" s="31" t="s">
        <v>47</v>
      </c>
      <c r="J318" s="32" t="n">
        <v>1.0</v>
      </c>
      <c r="K318" s="33" t="n">
        <f>1394</f>
        <v>1394.0</v>
      </c>
      <c r="L318" s="34" t="s">
        <v>48</v>
      </c>
      <c r="M318" s="33" t="n">
        <f>1496</f>
        <v>1496.0</v>
      </c>
      <c r="N318" s="34" t="s">
        <v>260</v>
      </c>
      <c r="O318" s="33" t="n">
        <f>1357</f>
        <v>1357.0</v>
      </c>
      <c r="P318" s="34" t="s">
        <v>56</v>
      </c>
      <c r="Q318" s="33" t="n">
        <f>1393</f>
        <v>1393.0</v>
      </c>
      <c r="R318" s="34" t="s">
        <v>51</v>
      </c>
      <c r="S318" s="35" t="n">
        <f>1423.86</f>
        <v>1423.86</v>
      </c>
      <c r="T318" s="32" t="n">
        <f>29051</f>
        <v>29051.0</v>
      </c>
      <c r="U318" s="32" t="str">
        <f>"－"</f>
        <v>－</v>
      </c>
      <c r="V318" s="32" t="n">
        <f>41197228</f>
        <v>4.1197228E7</v>
      </c>
      <c r="W318" s="32" t="str">
        <f>"－"</f>
        <v>－</v>
      </c>
      <c r="X318" s="36" t="n">
        <f>22</f>
        <v>22.0</v>
      </c>
    </row>
    <row r="319">
      <c r="A319" s="27" t="s">
        <v>42</v>
      </c>
      <c r="B319" s="27" t="s">
        <v>1006</v>
      </c>
      <c r="C319" s="27" t="s">
        <v>1007</v>
      </c>
      <c r="D319" s="27" t="s">
        <v>1008</v>
      </c>
      <c r="E319" s="28" t="s">
        <v>46</v>
      </c>
      <c r="F319" s="29" t="s">
        <v>46</v>
      </c>
      <c r="G319" s="30" t="s">
        <v>46</v>
      </c>
      <c r="H319" s="31"/>
      <c r="I319" s="31" t="s">
        <v>47</v>
      </c>
      <c r="J319" s="32" t="n">
        <v>1.0</v>
      </c>
      <c r="K319" s="33" t="n">
        <f>1881</f>
        <v>1881.0</v>
      </c>
      <c r="L319" s="34" t="s">
        <v>48</v>
      </c>
      <c r="M319" s="33" t="n">
        <f>13500</f>
        <v>13500.0</v>
      </c>
      <c r="N319" s="34" t="s">
        <v>337</v>
      </c>
      <c r="O319" s="33" t="n">
        <f>1800</f>
        <v>1800.0</v>
      </c>
      <c r="P319" s="34" t="s">
        <v>72</v>
      </c>
      <c r="Q319" s="33" t="n">
        <f>2016</f>
        <v>2016.0</v>
      </c>
      <c r="R319" s="34" t="s">
        <v>51</v>
      </c>
      <c r="S319" s="35" t="n">
        <f>2852.64</f>
        <v>2852.64</v>
      </c>
      <c r="T319" s="32" t="n">
        <f>821830</f>
        <v>821830.0</v>
      </c>
      <c r="U319" s="32" t="str">
        <f>"－"</f>
        <v>－</v>
      </c>
      <c r="V319" s="32" t="n">
        <f>2845840687</f>
        <v>2.845840687E9</v>
      </c>
      <c r="W319" s="32" t="str">
        <f>"－"</f>
        <v>－</v>
      </c>
      <c r="X319" s="36" t="n">
        <f>22</f>
        <v>22.0</v>
      </c>
    </row>
    <row r="320">
      <c r="A320" s="27" t="s">
        <v>42</v>
      </c>
      <c r="B320" s="27" t="s">
        <v>1009</v>
      </c>
      <c r="C320" s="27" t="s">
        <v>1010</v>
      </c>
      <c r="D320" s="27" t="s">
        <v>1011</v>
      </c>
      <c r="E320" s="28" t="s">
        <v>46</v>
      </c>
      <c r="F320" s="29" t="s">
        <v>46</v>
      </c>
      <c r="G320" s="30" t="s">
        <v>46</v>
      </c>
      <c r="H320" s="31"/>
      <c r="I320" s="31" t="s">
        <v>47</v>
      </c>
      <c r="J320" s="32" t="n">
        <v>1.0</v>
      </c>
      <c r="K320" s="33" t="n">
        <f>2833</f>
        <v>2833.0</v>
      </c>
      <c r="L320" s="34" t="s">
        <v>48</v>
      </c>
      <c r="M320" s="33" t="n">
        <f>22510</f>
        <v>22510.0</v>
      </c>
      <c r="N320" s="34" t="s">
        <v>337</v>
      </c>
      <c r="O320" s="33" t="n">
        <f>2601</f>
        <v>2601.0</v>
      </c>
      <c r="P320" s="34" t="s">
        <v>84</v>
      </c>
      <c r="Q320" s="33" t="n">
        <f>2855</f>
        <v>2855.0</v>
      </c>
      <c r="R320" s="34" t="s">
        <v>51</v>
      </c>
      <c r="S320" s="35" t="n">
        <f>3946.09</f>
        <v>3946.09</v>
      </c>
      <c r="T320" s="32" t="n">
        <f>231061</f>
        <v>231061.0</v>
      </c>
      <c r="U320" s="32" t="str">
        <f>"－"</f>
        <v>－</v>
      </c>
      <c r="V320" s="32" t="n">
        <f>1461066392</f>
        <v>1.461066392E9</v>
      </c>
      <c r="W320" s="32" t="str">
        <f>"－"</f>
        <v>－</v>
      </c>
      <c r="X320" s="36" t="n">
        <f>22</f>
        <v>22.0</v>
      </c>
    </row>
    <row r="321">
      <c r="A321" s="27" t="s">
        <v>42</v>
      </c>
      <c r="B321" s="27" t="s">
        <v>1012</v>
      </c>
      <c r="C321" s="27" t="s">
        <v>1013</v>
      </c>
      <c r="D321" s="27" t="s">
        <v>1014</v>
      </c>
      <c r="E321" s="28" t="s">
        <v>46</v>
      </c>
      <c r="F321" s="29" t="s">
        <v>46</v>
      </c>
      <c r="G321" s="30" t="s">
        <v>46</v>
      </c>
      <c r="H321" s="31"/>
      <c r="I321" s="31" t="s">
        <v>47</v>
      </c>
      <c r="J321" s="32" t="n">
        <v>1.0</v>
      </c>
      <c r="K321" s="33" t="n">
        <f>12965</f>
        <v>12965.0</v>
      </c>
      <c r="L321" s="34" t="s">
        <v>48</v>
      </c>
      <c r="M321" s="33" t="n">
        <f>13225</f>
        <v>13225.0</v>
      </c>
      <c r="N321" s="34" t="s">
        <v>76</v>
      </c>
      <c r="O321" s="33" t="n">
        <f>12820</f>
        <v>12820.0</v>
      </c>
      <c r="P321" s="34" t="s">
        <v>72</v>
      </c>
      <c r="Q321" s="33" t="n">
        <f>13015</f>
        <v>13015.0</v>
      </c>
      <c r="R321" s="34" t="s">
        <v>51</v>
      </c>
      <c r="S321" s="35" t="n">
        <f>13044.77</f>
        <v>13044.77</v>
      </c>
      <c r="T321" s="32" t="n">
        <f>261324</f>
        <v>261324.0</v>
      </c>
      <c r="U321" s="32" t="n">
        <f>116097</f>
        <v>116097.0</v>
      </c>
      <c r="V321" s="32" t="n">
        <f>3401992792</f>
        <v>3.401992792E9</v>
      </c>
      <c r="W321" s="32" t="n">
        <f>1508803192</f>
        <v>1.508803192E9</v>
      </c>
      <c r="X321" s="36" t="n">
        <f>22</f>
        <v>22.0</v>
      </c>
    </row>
    <row r="322">
      <c r="A322" s="27" t="s">
        <v>42</v>
      </c>
      <c r="B322" s="27" t="s">
        <v>1015</v>
      </c>
      <c r="C322" s="27" t="s">
        <v>1016</v>
      </c>
      <c r="D322" s="27" t="s">
        <v>1017</v>
      </c>
      <c r="E322" s="28" t="s">
        <v>46</v>
      </c>
      <c r="F322" s="29" t="s">
        <v>46</v>
      </c>
      <c r="G322" s="30" t="s">
        <v>46</v>
      </c>
      <c r="H322" s="31"/>
      <c r="I322" s="31" t="s">
        <v>47</v>
      </c>
      <c r="J322" s="32" t="n">
        <v>1.0</v>
      </c>
      <c r="K322" s="33" t="n">
        <f>20660</f>
        <v>20660.0</v>
      </c>
      <c r="L322" s="34" t="s">
        <v>48</v>
      </c>
      <c r="M322" s="33" t="n">
        <f>22720</f>
        <v>22720.0</v>
      </c>
      <c r="N322" s="34" t="s">
        <v>49</v>
      </c>
      <c r="O322" s="33" t="n">
        <f>20290</f>
        <v>20290.0</v>
      </c>
      <c r="P322" s="34" t="s">
        <v>72</v>
      </c>
      <c r="Q322" s="33" t="n">
        <f>22230</f>
        <v>22230.0</v>
      </c>
      <c r="R322" s="34" t="s">
        <v>51</v>
      </c>
      <c r="S322" s="35" t="n">
        <f>21662.73</f>
        <v>21662.73</v>
      </c>
      <c r="T322" s="32" t="n">
        <f>350689</f>
        <v>350689.0</v>
      </c>
      <c r="U322" s="32" t="n">
        <f>19534</f>
        <v>19534.0</v>
      </c>
      <c r="V322" s="32" t="n">
        <f>7533932795</f>
        <v>7.533932795E9</v>
      </c>
      <c r="W322" s="32" t="n">
        <f>413242330</f>
        <v>4.1324233E8</v>
      </c>
      <c r="X322" s="36" t="n">
        <f>22</f>
        <v>22.0</v>
      </c>
    </row>
    <row r="323">
      <c r="A323" s="27" t="s">
        <v>42</v>
      </c>
      <c r="B323" s="27" t="s">
        <v>1018</v>
      </c>
      <c r="C323" s="27" t="s">
        <v>1019</v>
      </c>
      <c r="D323" s="27" t="s">
        <v>1020</v>
      </c>
      <c r="E323" s="28" t="s">
        <v>46</v>
      </c>
      <c r="F323" s="29" t="s">
        <v>46</v>
      </c>
      <c r="G323" s="30" t="s">
        <v>46</v>
      </c>
      <c r="H323" s="31"/>
      <c r="I323" s="31" t="s">
        <v>47</v>
      </c>
      <c r="J323" s="32" t="n">
        <v>1.0</v>
      </c>
      <c r="K323" s="33" t="n">
        <f>13125</f>
        <v>13125.0</v>
      </c>
      <c r="L323" s="34" t="s">
        <v>48</v>
      </c>
      <c r="M323" s="33" t="n">
        <f>13500</f>
        <v>13500.0</v>
      </c>
      <c r="N323" s="34" t="s">
        <v>49</v>
      </c>
      <c r="O323" s="33" t="n">
        <f>12890</f>
        <v>12890.0</v>
      </c>
      <c r="P323" s="34" t="s">
        <v>72</v>
      </c>
      <c r="Q323" s="33" t="n">
        <f>13220</f>
        <v>13220.0</v>
      </c>
      <c r="R323" s="34" t="s">
        <v>51</v>
      </c>
      <c r="S323" s="35" t="n">
        <f>13187.73</f>
        <v>13187.73</v>
      </c>
      <c r="T323" s="32" t="n">
        <f>286422</f>
        <v>286422.0</v>
      </c>
      <c r="U323" s="32" t="n">
        <f>98615</f>
        <v>98615.0</v>
      </c>
      <c r="V323" s="32" t="n">
        <f>3779022245</f>
        <v>3.779022245E9</v>
      </c>
      <c r="W323" s="32" t="n">
        <f>1304164745</f>
        <v>1.304164745E9</v>
      </c>
      <c r="X323" s="36" t="n">
        <f>22</f>
        <v>22.0</v>
      </c>
    </row>
    <row r="324">
      <c r="A324" s="27" t="s">
        <v>42</v>
      </c>
      <c r="B324" s="27" t="s">
        <v>1021</v>
      </c>
      <c r="C324" s="27" t="s">
        <v>1022</v>
      </c>
      <c r="D324" s="27" t="s">
        <v>1023</v>
      </c>
      <c r="E324" s="28" t="s">
        <v>46</v>
      </c>
      <c r="F324" s="29" t="s">
        <v>46</v>
      </c>
      <c r="G324" s="30" t="s">
        <v>46</v>
      </c>
      <c r="H324" s="31"/>
      <c r="I324" s="31" t="s">
        <v>47</v>
      </c>
      <c r="J324" s="32" t="n">
        <v>10.0</v>
      </c>
      <c r="K324" s="33" t="n">
        <f>380.8</f>
        <v>380.8</v>
      </c>
      <c r="L324" s="34" t="s">
        <v>48</v>
      </c>
      <c r="M324" s="33" t="n">
        <f>414.2</f>
        <v>414.2</v>
      </c>
      <c r="N324" s="34" t="s">
        <v>50</v>
      </c>
      <c r="O324" s="33" t="n">
        <f>376.4</f>
        <v>376.4</v>
      </c>
      <c r="P324" s="34" t="s">
        <v>72</v>
      </c>
      <c r="Q324" s="33" t="n">
        <f>408.4</f>
        <v>408.4</v>
      </c>
      <c r="R324" s="34" t="s">
        <v>51</v>
      </c>
      <c r="S324" s="35" t="n">
        <f>399.47</f>
        <v>399.47</v>
      </c>
      <c r="T324" s="32" t="n">
        <f>7149890</f>
        <v>7149890.0</v>
      </c>
      <c r="U324" s="32" t="n">
        <f>650</f>
        <v>650.0</v>
      </c>
      <c r="V324" s="32" t="n">
        <f>2848184891</f>
        <v>2.848184891E9</v>
      </c>
      <c r="W324" s="32" t="n">
        <f>259711</f>
        <v>259711.0</v>
      </c>
      <c r="X324" s="36" t="n">
        <f>22</f>
        <v>22.0</v>
      </c>
    </row>
    <row r="325">
      <c r="A325" s="27" t="s">
        <v>42</v>
      </c>
      <c r="B325" s="27" t="s">
        <v>1024</v>
      </c>
      <c r="C325" s="27" t="s">
        <v>1025</v>
      </c>
      <c r="D325" s="27" t="s">
        <v>1026</v>
      </c>
      <c r="E325" s="28" t="s">
        <v>46</v>
      </c>
      <c r="F325" s="29" t="s">
        <v>46</v>
      </c>
      <c r="G325" s="30" t="s">
        <v>46</v>
      </c>
      <c r="H325" s="31"/>
      <c r="I325" s="31" t="s">
        <v>47</v>
      </c>
      <c r="J325" s="32" t="n">
        <v>10.0</v>
      </c>
      <c r="K325" s="33" t="n">
        <f>2547.5</f>
        <v>2547.5</v>
      </c>
      <c r="L325" s="34" t="s">
        <v>48</v>
      </c>
      <c r="M325" s="33" t="n">
        <f>2597</f>
        <v>2597.0</v>
      </c>
      <c r="N325" s="34" t="s">
        <v>235</v>
      </c>
      <c r="O325" s="33" t="n">
        <f>2517</f>
        <v>2517.0</v>
      </c>
      <c r="P325" s="34" t="s">
        <v>72</v>
      </c>
      <c r="Q325" s="33" t="n">
        <f>2554.5</f>
        <v>2554.5</v>
      </c>
      <c r="R325" s="34" t="s">
        <v>51</v>
      </c>
      <c r="S325" s="35" t="n">
        <f>2560.52</f>
        <v>2560.52</v>
      </c>
      <c r="T325" s="32" t="n">
        <f>1970680</f>
        <v>1970680.0</v>
      </c>
      <c r="U325" s="32" t="n">
        <f>1464480</f>
        <v>1464480.0</v>
      </c>
      <c r="V325" s="32" t="n">
        <f>5039426923</f>
        <v>5.039426923E9</v>
      </c>
      <c r="W325" s="32" t="n">
        <f>3744959998</f>
        <v>3.744959998E9</v>
      </c>
      <c r="X325" s="36" t="n">
        <f>22</f>
        <v>22.0</v>
      </c>
    </row>
    <row r="326">
      <c r="A326" s="27" t="s">
        <v>42</v>
      </c>
      <c r="B326" s="27" t="s">
        <v>1027</v>
      </c>
      <c r="C326" s="27" t="s">
        <v>1028</v>
      </c>
      <c r="D326" s="27" t="s">
        <v>1029</v>
      </c>
      <c r="E326" s="28" t="s">
        <v>46</v>
      </c>
      <c r="F326" s="29" t="s">
        <v>46</v>
      </c>
      <c r="G326" s="30" t="s">
        <v>46</v>
      </c>
      <c r="H326" s="31"/>
      <c r="I326" s="31" t="s">
        <v>47</v>
      </c>
      <c r="J326" s="32" t="n">
        <v>10.0</v>
      </c>
      <c r="K326" s="33" t="n">
        <f>3961</f>
        <v>3961.0</v>
      </c>
      <c r="L326" s="34" t="s">
        <v>48</v>
      </c>
      <c r="M326" s="33" t="n">
        <f>4297</f>
        <v>4297.0</v>
      </c>
      <c r="N326" s="34" t="s">
        <v>50</v>
      </c>
      <c r="O326" s="33" t="n">
        <f>3899</f>
        <v>3899.0</v>
      </c>
      <c r="P326" s="34" t="s">
        <v>72</v>
      </c>
      <c r="Q326" s="33" t="n">
        <f>4231</f>
        <v>4231.0</v>
      </c>
      <c r="R326" s="34" t="s">
        <v>51</v>
      </c>
      <c r="S326" s="35" t="n">
        <f>4136.23</f>
        <v>4136.23</v>
      </c>
      <c r="T326" s="32" t="n">
        <f>95710</f>
        <v>95710.0</v>
      </c>
      <c r="U326" s="32" t="str">
        <f>"－"</f>
        <v>－</v>
      </c>
      <c r="V326" s="32" t="n">
        <f>393202630</f>
        <v>3.9320263E8</v>
      </c>
      <c r="W326" s="32" t="str">
        <f>"－"</f>
        <v>－</v>
      </c>
      <c r="X326" s="36" t="n">
        <f>22</f>
        <v>22.0</v>
      </c>
    </row>
    <row r="327">
      <c r="A327" s="27" t="s">
        <v>42</v>
      </c>
      <c r="B327" s="27" t="s">
        <v>1030</v>
      </c>
      <c r="C327" s="27" t="s">
        <v>1031</v>
      </c>
      <c r="D327" s="27" t="s">
        <v>1032</v>
      </c>
      <c r="E327" s="28" t="s">
        <v>46</v>
      </c>
      <c r="F327" s="29" t="s">
        <v>46</v>
      </c>
      <c r="G327" s="30" t="s">
        <v>46</v>
      </c>
      <c r="H327" s="31"/>
      <c r="I327" s="31" t="s">
        <v>47</v>
      </c>
      <c r="J327" s="32" t="n">
        <v>1.0</v>
      </c>
      <c r="K327" s="33" t="n">
        <f>3305</f>
        <v>3305.0</v>
      </c>
      <c r="L327" s="34" t="s">
        <v>48</v>
      </c>
      <c r="M327" s="33" t="n">
        <f>3420</f>
        <v>3420.0</v>
      </c>
      <c r="N327" s="34" t="s">
        <v>55</v>
      </c>
      <c r="O327" s="33" t="n">
        <f>3210</f>
        <v>3210.0</v>
      </c>
      <c r="P327" s="34" t="s">
        <v>56</v>
      </c>
      <c r="Q327" s="33" t="n">
        <f>3325</f>
        <v>3325.0</v>
      </c>
      <c r="R327" s="34" t="s">
        <v>51</v>
      </c>
      <c r="S327" s="35" t="n">
        <f>3301.59</f>
        <v>3301.59</v>
      </c>
      <c r="T327" s="32" t="n">
        <f>72537</f>
        <v>72537.0</v>
      </c>
      <c r="U327" s="32" t="n">
        <f>70000</f>
        <v>70000.0</v>
      </c>
      <c r="V327" s="32" t="n">
        <f>239061128</f>
        <v>2.39061128E8</v>
      </c>
      <c r="W327" s="32" t="n">
        <f>230693988</f>
        <v>2.30693988E8</v>
      </c>
      <c r="X327" s="36" t="n">
        <f>22</f>
        <v>22.0</v>
      </c>
    </row>
    <row r="328">
      <c r="A328" s="27" t="s">
        <v>42</v>
      </c>
      <c r="B328" s="27" t="s">
        <v>1033</v>
      </c>
      <c r="C328" s="27" t="s">
        <v>1034</v>
      </c>
      <c r="D328" s="27" t="s">
        <v>1035</v>
      </c>
      <c r="E328" s="28" t="s">
        <v>46</v>
      </c>
      <c r="F328" s="29" t="s">
        <v>46</v>
      </c>
      <c r="G328" s="30" t="s">
        <v>46</v>
      </c>
      <c r="H328" s="31"/>
      <c r="I328" s="31" t="s">
        <v>47</v>
      </c>
      <c r="J328" s="32" t="n">
        <v>1.0</v>
      </c>
      <c r="K328" s="33" t="n">
        <f>1627</f>
        <v>1627.0</v>
      </c>
      <c r="L328" s="34" t="s">
        <v>48</v>
      </c>
      <c r="M328" s="33" t="n">
        <f>1627</f>
        <v>1627.0</v>
      </c>
      <c r="N328" s="34" t="s">
        <v>48</v>
      </c>
      <c r="O328" s="33" t="n">
        <f>1457</f>
        <v>1457.0</v>
      </c>
      <c r="P328" s="34" t="s">
        <v>50</v>
      </c>
      <c r="Q328" s="33" t="n">
        <f>1520</f>
        <v>1520.0</v>
      </c>
      <c r="R328" s="34" t="s">
        <v>51</v>
      </c>
      <c r="S328" s="35" t="n">
        <f>1555.55</f>
        <v>1555.55</v>
      </c>
      <c r="T328" s="32" t="n">
        <f>5740</f>
        <v>5740.0</v>
      </c>
      <c r="U328" s="32" t="str">
        <f>"－"</f>
        <v>－</v>
      </c>
      <c r="V328" s="32" t="n">
        <f>8913554</f>
        <v>8913554.0</v>
      </c>
      <c r="W328" s="32" t="str">
        <f>"－"</f>
        <v>－</v>
      </c>
      <c r="X328" s="36" t="n">
        <f>22</f>
        <v>22.0</v>
      </c>
    </row>
    <row r="329">
      <c r="A329" s="27" t="s">
        <v>42</v>
      </c>
      <c r="B329" s="27" t="s">
        <v>1036</v>
      </c>
      <c r="C329" s="27" t="s">
        <v>1037</v>
      </c>
      <c r="D329" s="27" t="s">
        <v>1038</v>
      </c>
      <c r="E329" s="28" t="s">
        <v>46</v>
      </c>
      <c r="F329" s="29" t="s">
        <v>46</v>
      </c>
      <c r="G329" s="30" t="s">
        <v>46</v>
      </c>
      <c r="H329" s="31"/>
      <c r="I329" s="31" t="s">
        <v>47</v>
      </c>
      <c r="J329" s="32" t="n">
        <v>1.0</v>
      </c>
      <c r="K329" s="33" t="n">
        <f>2080</f>
        <v>2080.0</v>
      </c>
      <c r="L329" s="34" t="s">
        <v>48</v>
      </c>
      <c r="M329" s="33" t="n">
        <f>2116</f>
        <v>2116.0</v>
      </c>
      <c r="N329" s="34" t="s">
        <v>76</v>
      </c>
      <c r="O329" s="33" t="n">
        <f>1935</f>
        <v>1935.0</v>
      </c>
      <c r="P329" s="34" t="s">
        <v>60</v>
      </c>
      <c r="Q329" s="33" t="n">
        <f>2027</f>
        <v>2027.0</v>
      </c>
      <c r="R329" s="34" t="s">
        <v>51</v>
      </c>
      <c r="S329" s="35" t="n">
        <f>2028.55</f>
        <v>2028.55</v>
      </c>
      <c r="T329" s="32" t="n">
        <f>83397</f>
        <v>83397.0</v>
      </c>
      <c r="U329" s="32" t="n">
        <f>10</f>
        <v>10.0</v>
      </c>
      <c r="V329" s="32" t="n">
        <f>169383491</f>
        <v>1.69383491E8</v>
      </c>
      <c r="W329" s="32" t="n">
        <f>20310</f>
        <v>20310.0</v>
      </c>
      <c r="X329" s="36" t="n">
        <f>22</f>
        <v>22.0</v>
      </c>
    </row>
    <row r="330">
      <c r="A330" s="27" t="s">
        <v>42</v>
      </c>
      <c r="B330" s="27" t="s">
        <v>1039</v>
      </c>
      <c r="C330" s="27" t="s">
        <v>1040</v>
      </c>
      <c r="D330" s="27" t="s">
        <v>1041</v>
      </c>
      <c r="E330" s="28" t="s">
        <v>46</v>
      </c>
      <c r="F330" s="29" t="s">
        <v>46</v>
      </c>
      <c r="G330" s="30" t="s">
        <v>46</v>
      </c>
      <c r="H330" s="31"/>
      <c r="I330" s="31" t="s">
        <v>47</v>
      </c>
      <c r="J330" s="32" t="n">
        <v>1.0</v>
      </c>
      <c r="K330" s="33" t="n">
        <f>1730</f>
        <v>1730.0</v>
      </c>
      <c r="L330" s="34" t="s">
        <v>48</v>
      </c>
      <c r="M330" s="33" t="n">
        <f>1861</f>
        <v>1861.0</v>
      </c>
      <c r="N330" s="34" t="s">
        <v>55</v>
      </c>
      <c r="O330" s="33" t="n">
        <f>1728</f>
        <v>1728.0</v>
      </c>
      <c r="P330" s="34" t="s">
        <v>48</v>
      </c>
      <c r="Q330" s="33" t="n">
        <f>1767</f>
        <v>1767.0</v>
      </c>
      <c r="R330" s="34" t="s">
        <v>51</v>
      </c>
      <c r="S330" s="35" t="n">
        <f>1776.86</f>
        <v>1776.86</v>
      </c>
      <c r="T330" s="32" t="n">
        <f>22492</f>
        <v>22492.0</v>
      </c>
      <c r="U330" s="32" t="str">
        <f>"－"</f>
        <v>－</v>
      </c>
      <c r="V330" s="32" t="n">
        <f>39936873</f>
        <v>3.9936873E7</v>
      </c>
      <c r="W330" s="32" t="str">
        <f>"－"</f>
        <v>－</v>
      </c>
      <c r="X330" s="36" t="n">
        <f>22</f>
        <v>22.0</v>
      </c>
    </row>
    <row r="331">
      <c r="A331" s="27" t="s">
        <v>42</v>
      </c>
      <c r="B331" s="27" t="s">
        <v>1042</v>
      </c>
      <c r="C331" s="27" t="s">
        <v>1043</v>
      </c>
      <c r="D331" s="27" t="s">
        <v>1044</v>
      </c>
      <c r="E331" s="28" t="s">
        <v>46</v>
      </c>
      <c r="F331" s="29" t="s">
        <v>46</v>
      </c>
      <c r="G331" s="30" t="s">
        <v>46</v>
      </c>
      <c r="H331" s="31"/>
      <c r="I331" s="31" t="s">
        <v>47</v>
      </c>
      <c r="J331" s="32" t="n">
        <v>1.0</v>
      </c>
      <c r="K331" s="33" t="n">
        <f>3310</f>
        <v>3310.0</v>
      </c>
      <c r="L331" s="34" t="s">
        <v>48</v>
      </c>
      <c r="M331" s="33" t="n">
        <f>3350</f>
        <v>3350.0</v>
      </c>
      <c r="N331" s="34" t="s">
        <v>181</v>
      </c>
      <c r="O331" s="33" t="n">
        <f>3150</f>
        <v>3150.0</v>
      </c>
      <c r="P331" s="34" t="s">
        <v>56</v>
      </c>
      <c r="Q331" s="33" t="n">
        <f>3245</f>
        <v>3245.0</v>
      </c>
      <c r="R331" s="34" t="s">
        <v>51</v>
      </c>
      <c r="S331" s="35" t="n">
        <f>3245.68</f>
        <v>3245.68</v>
      </c>
      <c r="T331" s="32" t="n">
        <f>61271</f>
        <v>61271.0</v>
      </c>
      <c r="U331" s="32" t="n">
        <f>760</f>
        <v>760.0</v>
      </c>
      <c r="V331" s="32" t="n">
        <f>197363780</f>
        <v>1.9736378E8</v>
      </c>
      <c r="W331" s="32" t="n">
        <f>2451965</f>
        <v>2451965.0</v>
      </c>
      <c r="X331" s="36" t="n">
        <f>22</f>
        <v>22.0</v>
      </c>
    </row>
    <row r="332">
      <c r="A332" s="27" t="s">
        <v>42</v>
      </c>
      <c r="B332" s="27" t="s">
        <v>1045</v>
      </c>
      <c r="C332" s="27" t="s">
        <v>1046</v>
      </c>
      <c r="D332" s="27" t="s">
        <v>1047</v>
      </c>
      <c r="E332" s="28" t="s">
        <v>46</v>
      </c>
      <c r="F332" s="29" t="s">
        <v>46</v>
      </c>
      <c r="G332" s="30" t="s">
        <v>46</v>
      </c>
      <c r="H332" s="31"/>
      <c r="I332" s="31" t="s">
        <v>47</v>
      </c>
      <c r="J332" s="32" t="n">
        <v>1.0</v>
      </c>
      <c r="K332" s="33" t="n">
        <f>3095</f>
        <v>3095.0</v>
      </c>
      <c r="L332" s="34" t="s">
        <v>48</v>
      </c>
      <c r="M332" s="33" t="n">
        <f>3205</f>
        <v>3205.0</v>
      </c>
      <c r="N332" s="34" t="s">
        <v>55</v>
      </c>
      <c r="O332" s="33" t="n">
        <f>3025</f>
        <v>3025.0</v>
      </c>
      <c r="P332" s="34" t="s">
        <v>60</v>
      </c>
      <c r="Q332" s="33" t="n">
        <f>3090</f>
        <v>3090.0</v>
      </c>
      <c r="R332" s="34" t="s">
        <v>51</v>
      </c>
      <c r="S332" s="35" t="n">
        <f>3112.27</f>
        <v>3112.27</v>
      </c>
      <c r="T332" s="32" t="n">
        <f>2906593</f>
        <v>2906593.0</v>
      </c>
      <c r="U332" s="32" t="n">
        <f>938079</f>
        <v>938079.0</v>
      </c>
      <c r="V332" s="32" t="n">
        <f>9044201016</f>
        <v>9.044201016E9</v>
      </c>
      <c r="W332" s="32" t="n">
        <f>2910865301</f>
        <v>2.910865301E9</v>
      </c>
      <c r="X332" s="36" t="n">
        <f>22</f>
        <v>22.0</v>
      </c>
    </row>
    <row r="333">
      <c r="A333" s="27" t="s">
        <v>42</v>
      </c>
      <c r="B333" s="27" t="s">
        <v>1048</v>
      </c>
      <c r="C333" s="27" t="s">
        <v>1049</v>
      </c>
      <c r="D333" s="27" t="s">
        <v>1050</v>
      </c>
      <c r="E333" s="28" t="s">
        <v>46</v>
      </c>
      <c r="F333" s="29" t="s">
        <v>46</v>
      </c>
      <c r="G333" s="30" t="s">
        <v>46</v>
      </c>
      <c r="H333" s="31"/>
      <c r="I333" s="31" t="s">
        <v>47</v>
      </c>
      <c r="J333" s="32" t="n">
        <v>1.0</v>
      </c>
      <c r="K333" s="33" t="n">
        <f>35500</f>
        <v>35500.0</v>
      </c>
      <c r="L333" s="34" t="s">
        <v>48</v>
      </c>
      <c r="M333" s="33" t="n">
        <f>36580</f>
        <v>36580.0</v>
      </c>
      <c r="N333" s="34" t="s">
        <v>55</v>
      </c>
      <c r="O333" s="33" t="n">
        <f>34780</f>
        <v>34780.0</v>
      </c>
      <c r="P333" s="34" t="s">
        <v>56</v>
      </c>
      <c r="Q333" s="33" t="n">
        <f>35950</f>
        <v>35950.0</v>
      </c>
      <c r="R333" s="34" t="s">
        <v>51</v>
      </c>
      <c r="S333" s="35" t="n">
        <f>35747.89</f>
        <v>35747.89</v>
      </c>
      <c r="T333" s="32" t="n">
        <f>31</f>
        <v>31.0</v>
      </c>
      <c r="U333" s="32" t="str">
        <f>"－"</f>
        <v>－</v>
      </c>
      <c r="V333" s="32" t="n">
        <f>1110020</f>
        <v>1110020.0</v>
      </c>
      <c r="W333" s="32" t="str">
        <f>"－"</f>
        <v>－</v>
      </c>
      <c r="X333" s="36" t="n">
        <f>19</f>
        <v>19.0</v>
      </c>
    </row>
    <row r="334">
      <c r="A334" s="27" t="s">
        <v>42</v>
      </c>
      <c r="B334" s="27" t="s">
        <v>1051</v>
      </c>
      <c r="C334" s="27" t="s">
        <v>1052</v>
      </c>
      <c r="D334" s="27" t="s">
        <v>1053</v>
      </c>
      <c r="E334" s="28" t="s">
        <v>46</v>
      </c>
      <c r="F334" s="29" t="s">
        <v>46</v>
      </c>
      <c r="G334" s="30" t="s">
        <v>46</v>
      </c>
      <c r="H334" s="31"/>
      <c r="I334" s="31" t="s">
        <v>47</v>
      </c>
      <c r="J334" s="32" t="n">
        <v>1.0</v>
      </c>
      <c r="K334" s="33" t="n">
        <f>2897</f>
        <v>2897.0</v>
      </c>
      <c r="L334" s="34" t="s">
        <v>48</v>
      </c>
      <c r="M334" s="33" t="n">
        <f>2935</f>
        <v>2935.0</v>
      </c>
      <c r="N334" s="34" t="s">
        <v>55</v>
      </c>
      <c r="O334" s="33" t="n">
        <f>2744</f>
        <v>2744.0</v>
      </c>
      <c r="P334" s="34" t="s">
        <v>50</v>
      </c>
      <c r="Q334" s="33" t="n">
        <f>2835</f>
        <v>2835.0</v>
      </c>
      <c r="R334" s="34" t="s">
        <v>51</v>
      </c>
      <c r="S334" s="35" t="n">
        <f>2828.82</f>
        <v>2828.82</v>
      </c>
      <c r="T334" s="32" t="n">
        <f>19120</f>
        <v>19120.0</v>
      </c>
      <c r="U334" s="32" t="n">
        <f>2</f>
        <v>2.0</v>
      </c>
      <c r="V334" s="32" t="n">
        <f>54498163</f>
        <v>5.4498163E7</v>
      </c>
      <c r="W334" s="32" t="n">
        <f>5728</f>
        <v>5728.0</v>
      </c>
      <c r="X334" s="36" t="n">
        <f>22</f>
        <v>22.0</v>
      </c>
    </row>
    <row r="335">
      <c r="A335" s="27" t="s">
        <v>42</v>
      </c>
      <c r="B335" s="27" t="s">
        <v>1054</v>
      </c>
      <c r="C335" s="27" t="s">
        <v>1055</v>
      </c>
      <c r="D335" s="27" t="s">
        <v>1056</v>
      </c>
      <c r="E335" s="28" t="s">
        <v>1057</v>
      </c>
      <c r="F335" s="29" t="s">
        <v>1058</v>
      </c>
      <c r="G335" s="30" t="s">
        <v>46</v>
      </c>
      <c r="H335" s="31"/>
      <c r="I335" s="31" t="s">
        <v>47</v>
      </c>
      <c r="J335" s="32" t="n">
        <v>1.0</v>
      </c>
      <c r="K335" s="33" t="n">
        <f>3685</f>
        <v>3685.0</v>
      </c>
      <c r="L335" s="34" t="s">
        <v>48</v>
      </c>
      <c r="M335" s="33" t="n">
        <f>3840</f>
        <v>3840.0</v>
      </c>
      <c r="N335" s="34" t="s">
        <v>55</v>
      </c>
      <c r="O335" s="33" t="n">
        <f>3595</f>
        <v>3595.0</v>
      </c>
      <c r="P335" s="34" t="s">
        <v>72</v>
      </c>
      <c r="Q335" s="33" t="n">
        <f>3725</f>
        <v>3725.0</v>
      </c>
      <c r="R335" s="34" t="s">
        <v>337</v>
      </c>
      <c r="S335" s="35" t="n">
        <f>3721.67</f>
        <v>3721.67</v>
      </c>
      <c r="T335" s="32" t="n">
        <f>1998308</f>
        <v>1998308.0</v>
      </c>
      <c r="U335" s="32" t="n">
        <f>116818</f>
        <v>116818.0</v>
      </c>
      <c r="V335" s="32" t="n">
        <f>7456838062</f>
        <v>7.456838062E9</v>
      </c>
      <c r="W335" s="32" t="n">
        <f>437145052</f>
        <v>4.37145052E8</v>
      </c>
      <c r="X335" s="36" t="n">
        <f>6</f>
        <v>6.0</v>
      </c>
    </row>
    <row r="336">
      <c r="A336" s="27" t="s">
        <v>42</v>
      </c>
      <c r="B336" s="27" t="s">
        <v>1054</v>
      </c>
      <c r="C336" s="27" t="s">
        <v>1055</v>
      </c>
      <c r="D336" s="27" t="s">
        <v>1056</v>
      </c>
      <c r="E336" s="28" t="s">
        <v>1057</v>
      </c>
      <c r="F336" s="29" t="s">
        <v>1058</v>
      </c>
      <c r="G336" s="30" t="s">
        <v>46</v>
      </c>
      <c r="H336" s="31"/>
      <c r="I336" s="31" t="s">
        <v>47</v>
      </c>
      <c r="J336" s="32" t="n">
        <v>1.0</v>
      </c>
      <c r="K336" s="33" t="n">
        <f>1896</f>
        <v>1896.0</v>
      </c>
      <c r="L336" s="34" t="s">
        <v>181</v>
      </c>
      <c r="M336" s="33" t="n">
        <f>1962</f>
        <v>1962.0</v>
      </c>
      <c r="N336" s="34" t="s">
        <v>76</v>
      </c>
      <c r="O336" s="33" t="n">
        <f>1763</f>
        <v>1763.0</v>
      </c>
      <c r="P336" s="34" t="s">
        <v>60</v>
      </c>
      <c r="Q336" s="33" t="n">
        <f>1916</f>
        <v>1916.0</v>
      </c>
      <c r="R336" s="34" t="s">
        <v>51</v>
      </c>
      <c r="S336" s="35" t="n">
        <f>1860</f>
        <v>1860.0</v>
      </c>
      <c r="T336" s="32" t="n">
        <f>9865497</f>
        <v>9865497.0</v>
      </c>
      <c r="U336" s="32" t="n">
        <f>1339588</f>
        <v>1339588.0</v>
      </c>
      <c r="V336" s="32" t="n">
        <f>18428046250</f>
        <v>1.842804625E10</v>
      </c>
      <c r="W336" s="32" t="n">
        <f>2501176213</f>
        <v>2.501176213E9</v>
      </c>
      <c r="X336" s="36" t="n">
        <f>16</f>
        <v>16.0</v>
      </c>
    </row>
    <row r="337">
      <c r="A337" s="27" t="s">
        <v>42</v>
      </c>
      <c r="B337" s="27" t="s">
        <v>1059</v>
      </c>
      <c r="C337" s="27" t="s">
        <v>1060</v>
      </c>
      <c r="D337" s="27" t="s">
        <v>1061</v>
      </c>
      <c r="E337" s="28" t="s">
        <v>46</v>
      </c>
      <c r="F337" s="29" t="s">
        <v>46</v>
      </c>
      <c r="G337" s="30" t="s">
        <v>46</v>
      </c>
      <c r="H337" s="31"/>
      <c r="I337" s="31" t="s">
        <v>47</v>
      </c>
      <c r="J337" s="32" t="n">
        <v>1.0</v>
      </c>
      <c r="K337" s="33" t="n">
        <f>2260</f>
        <v>2260.0</v>
      </c>
      <c r="L337" s="34" t="s">
        <v>48</v>
      </c>
      <c r="M337" s="33" t="n">
        <f>2350</f>
        <v>2350.0</v>
      </c>
      <c r="N337" s="34" t="s">
        <v>49</v>
      </c>
      <c r="O337" s="33" t="n">
        <f>2218</f>
        <v>2218.0</v>
      </c>
      <c r="P337" s="34" t="s">
        <v>56</v>
      </c>
      <c r="Q337" s="33" t="n">
        <f>2311</f>
        <v>2311.0</v>
      </c>
      <c r="R337" s="34" t="s">
        <v>51</v>
      </c>
      <c r="S337" s="35" t="n">
        <f>2292.27</f>
        <v>2292.27</v>
      </c>
      <c r="T337" s="32" t="n">
        <f>18350</f>
        <v>18350.0</v>
      </c>
      <c r="U337" s="32" t="str">
        <f>"－"</f>
        <v>－</v>
      </c>
      <c r="V337" s="32" t="n">
        <f>42187178</f>
        <v>4.2187178E7</v>
      </c>
      <c r="W337" s="32" t="str">
        <f>"－"</f>
        <v>－</v>
      </c>
      <c r="X337" s="36" t="n">
        <f>22</f>
        <v>22.0</v>
      </c>
    </row>
    <row r="338">
      <c r="A338" s="27" t="s">
        <v>42</v>
      </c>
      <c r="B338" s="27" t="s">
        <v>1062</v>
      </c>
      <c r="C338" s="27" t="s">
        <v>1063</v>
      </c>
      <c r="D338" s="27" t="s">
        <v>1064</v>
      </c>
      <c r="E338" s="28" t="s">
        <v>46</v>
      </c>
      <c r="F338" s="29" t="s">
        <v>46</v>
      </c>
      <c r="G338" s="30" t="s">
        <v>46</v>
      </c>
      <c r="H338" s="31"/>
      <c r="I338" s="31" t="s">
        <v>47</v>
      </c>
      <c r="J338" s="32" t="n">
        <v>1.0</v>
      </c>
      <c r="K338" s="33" t="n">
        <f>1708</f>
        <v>1708.0</v>
      </c>
      <c r="L338" s="34" t="s">
        <v>48</v>
      </c>
      <c r="M338" s="33" t="n">
        <f>1783</f>
        <v>1783.0</v>
      </c>
      <c r="N338" s="34" t="s">
        <v>55</v>
      </c>
      <c r="O338" s="33" t="n">
        <f>1628</f>
        <v>1628.0</v>
      </c>
      <c r="P338" s="34" t="s">
        <v>50</v>
      </c>
      <c r="Q338" s="33" t="n">
        <f>1663</f>
        <v>1663.0</v>
      </c>
      <c r="R338" s="34" t="s">
        <v>51</v>
      </c>
      <c r="S338" s="35" t="n">
        <f>1708.68</f>
        <v>1708.68</v>
      </c>
      <c r="T338" s="32" t="n">
        <f>17882</f>
        <v>17882.0</v>
      </c>
      <c r="U338" s="32" t="str">
        <f>"－"</f>
        <v>－</v>
      </c>
      <c r="V338" s="32" t="n">
        <f>30316575</f>
        <v>3.0316575E7</v>
      </c>
      <c r="W338" s="32" t="str">
        <f>"－"</f>
        <v>－</v>
      </c>
      <c r="X338" s="36" t="n">
        <f>22</f>
        <v>22.0</v>
      </c>
    </row>
    <row r="339">
      <c r="A339" s="27" t="s">
        <v>42</v>
      </c>
      <c r="B339" s="27" t="s">
        <v>1065</v>
      </c>
      <c r="C339" s="27" t="s">
        <v>1066</v>
      </c>
      <c r="D339" s="27" t="s">
        <v>1067</v>
      </c>
      <c r="E339" s="28" t="s">
        <v>46</v>
      </c>
      <c r="F339" s="29" t="s">
        <v>46</v>
      </c>
      <c r="G339" s="30" t="s">
        <v>46</v>
      </c>
      <c r="H339" s="31"/>
      <c r="I339" s="31" t="s">
        <v>47</v>
      </c>
      <c r="J339" s="32" t="n">
        <v>10.0</v>
      </c>
      <c r="K339" s="33" t="n">
        <f>5545</f>
        <v>5545.0</v>
      </c>
      <c r="L339" s="34" t="s">
        <v>48</v>
      </c>
      <c r="M339" s="33" t="n">
        <f>5718</f>
        <v>5718.0</v>
      </c>
      <c r="N339" s="34" t="s">
        <v>50</v>
      </c>
      <c r="O339" s="33" t="n">
        <f>5545</f>
        <v>5545.0</v>
      </c>
      <c r="P339" s="34" t="s">
        <v>48</v>
      </c>
      <c r="Q339" s="33" t="n">
        <f>5690</f>
        <v>5690.0</v>
      </c>
      <c r="R339" s="34" t="s">
        <v>51</v>
      </c>
      <c r="S339" s="35" t="n">
        <f>5644.86</f>
        <v>5644.86</v>
      </c>
      <c r="T339" s="32" t="n">
        <f>784470</f>
        <v>784470.0</v>
      </c>
      <c r="U339" s="32" t="n">
        <f>781900</f>
        <v>781900.0</v>
      </c>
      <c r="V339" s="32" t="n">
        <f>4435148327</f>
        <v>4.435148327E9</v>
      </c>
      <c r="W339" s="32" t="n">
        <f>4420574957</f>
        <v>4.420574957E9</v>
      </c>
      <c r="X339" s="36" t="n">
        <f>21</f>
        <v>21.0</v>
      </c>
    </row>
    <row r="340">
      <c r="A340" s="27" t="s">
        <v>42</v>
      </c>
      <c r="B340" s="27" t="s">
        <v>1068</v>
      </c>
      <c r="C340" s="27" t="s">
        <v>1069</v>
      </c>
      <c r="D340" s="27" t="s">
        <v>1070</v>
      </c>
      <c r="E340" s="28" t="s">
        <v>46</v>
      </c>
      <c r="F340" s="29" t="s">
        <v>46</v>
      </c>
      <c r="G340" s="30" t="s">
        <v>46</v>
      </c>
      <c r="H340" s="31"/>
      <c r="I340" s="31" t="s">
        <v>47</v>
      </c>
      <c r="J340" s="32" t="n">
        <v>10.0</v>
      </c>
      <c r="K340" s="33" t="n">
        <f>3796</f>
        <v>3796.0</v>
      </c>
      <c r="L340" s="34" t="s">
        <v>48</v>
      </c>
      <c r="M340" s="33" t="n">
        <f>3810</f>
        <v>3810.0</v>
      </c>
      <c r="N340" s="34" t="s">
        <v>72</v>
      </c>
      <c r="O340" s="33" t="n">
        <f>3642</f>
        <v>3642.0</v>
      </c>
      <c r="P340" s="34" t="s">
        <v>51</v>
      </c>
      <c r="Q340" s="33" t="n">
        <f>3648</f>
        <v>3648.0</v>
      </c>
      <c r="R340" s="34" t="s">
        <v>51</v>
      </c>
      <c r="S340" s="35" t="n">
        <f>3711.77</f>
        <v>3711.77</v>
      </c>
      <c r="T340" s="32" t="n">
        <f>3231860</f>
        <v>3231860.0</v>
      </c>
      <c r="U340" s="32" t="n">
        <f>3203950</f>
        <v>3203950.0</v>
      </c>
      <c r="V340" s="32" t="n">
        <f>12098864112</f>
        <v>1.2098864112E10</v>
      </c>
      <c r="W340" s="32" t="n">
        <f>11995072502</f>
        <v>1.1995072502E10</v>
      </c>
      <c r="X340" s="36" t="n">
        <f>22</f>
        <v>22.0</v>
      </c>
    </row>
    <row r="341">
      <c r="A341" s="27" t="s">
        <v>42</v>
      </c>
      <c r="B341" s="27" t="s">
        <v>1071</v>
      </c>
      <c r="C341" s="27" t="s">
        <v>1072</v>
      </c>
      <c r="D341" s="27" t="s">
        <v>1073</v>
      </c>
      <c r="E341" s="28" t="s">
        <v>46</v>
      </c>
      <c r="F341" s="29" t="s">
        <v>46</v>
      </c>
      <c r="G341" s="30" t="s">
        <v>46</v>
      </c>
      <c r="H341" s="31"/>
      <c r="I341" s="31" t="s">
        <v>47</v>
      </c>
      <c r="J341" s="32" t="n">
        <v>10.0</v>
      </c>
      <c r="K341" s="33" t="n">
        <f>639.1</f>
        <v>639.1</v>
      </c>
      <c r="L341" s="34" t="s">
        <v>48</v>
      </c>
      <c r="M341" s="33" t="n">
        <f>641.7</f>
        <v>641.7</v>
      </c>
      <c r="N341" s="34" t="s">
        <v>72</v>
      </c>
      <c r="O341" s="33" t="n">
        <f>615</f>
        <v>615.0</v>
      </c>
      <c r="P341" s="34" t="s">
        <v>50</v>
      </c>
      <c r="Q341" s="33" t="n">
        <f>615.7</f>
        <v>615.7</v>
      </c>
      <c r="R341" s="34" t="s">
        <v>51</v>
      </c>
      <c r="S341" s="35" t="n">
        <f>625.78</f>
        <v>625.78</v>
      </c>
      <c r="T341" s="32" t="n">
        <f>286260</f>
        <v>286260.0</v>
      </c>
      <c r="U341" s="32" t="n">
        <f>239000</f>
        <v>239000.0</v>
      </c>
      <c r="V341" s="32" t="n">
        <f>179632171</f>
        <v>1.79632171E8</v>
      </c>
      <c r="W341" s="32" t="n">
        <f>150133747</f>
        <v>1.50133747E8</v>
      </c>
      <c r="X341" s="36" t="n">
        <f>22</f>
        <v>22.0</v>
      </c>
    </row>
    <row r="342">
      <c r="A342" s="27" t="s">
        <v>42</v>
      </c>
      <c r="B342" s="27" t="s">
        <v>1074</v>
      </c>
      <c r="C342" s="27" t="s">
        <v>1075</v>
      </c>
      <c r="D342" s="27" t="s">
        <v>1076</v>
      </c>
      <c r="E342" s="28" t="s">
        <v>1077</v>
      </c>
      <c r="F342" s="29" t="s">
        <v>1078</v>
      </c>
      <c r="G342" s="30" t="s">
        <v>1079</v>
      </c>
      <c r="H342" s="31"/>
      <c r="I342" s="31" t="s">
        <v>47</v>
      </c>
      <c r="J342" s="32" t="n">
        <v>1.0</v>
      </c>
      <c r="K342" s="33" t="n">
        <f>10100</f>
        <v>10100.0</v>
      </c>
      <c r="L342" s="34" t="s">
        <v>51</v>
      </c>
      <c r="M342" s="33" t="n">
        <f>11125</f>
        <v>11125.0</v>
      </c>
      <c r="N342" s="34" t="s">
        <v>51</v>
      </c>
      <c r="O342" s="33" t="n">
        <f>10070</f>
        <v>10070.0</v>
      </c>
      <c r="P342" s="34" t="s">
        <v>51</v>
      </c>
      <c r="Q342" s="33" t="n">
        <f>11125</f>
        <v>11125.0</v>
      </c>
      <c r="R342" s="34" t="s">
        <v>51</v>
      </c>
      <c r="S342" s="35" t="n">
        <f>11125</f>
        <v>11125.0</v>
      </c>
      <c r="T342" s="32" t="n">
        <f>3456</f>
        <v>3456.0</v>
      </c>
      <c r="U342" s="32" t="str">
        <f>"－"</f>
        <v>－</v>
      </c>
      <c r="V342" s="32" t="n">
        <f>34883545</f>
        <v>3.4883545E7</v>
      </c>
      <c r="W342" s="32" t="str">
        <f>"－"</f>
        <v>－</v>
      </c>
      <c r="X342" s="36" t="n">
        <f>1</f>
        <v>1.0</v>
      </c>
    </row>
    <row r="343">
      <c r="A343" s="27" t="s">
        <v>42</v>
      </c>
      <c r="B343" s="27" t="s">
        <v>1080</v>
      </c>
      <c r="C343" s="27" t="s">
        <v>1081</v>
      </c>
      <c r="D343" s="27" t="s">
        <v>1082</v>
      </c>
      <c r="E343" s="28" t="s">
        <v>46</v>
      </c>
      <c r="F343" s="29" t="s">
        <v>46</v>
      </c>
      <c r="G343" s="30" t="s">
        <v>46</v>
      </c>
      <c r="H343" s="31"/>
      <c r="I343" s="31" t="s">
        <v>47</v>
      </c>
      <c r="J343" s="32" t="n">
        <v>1.0</v>
      </c>
      <c r="K343" s="33" t="n">
        <f>2485</f>
        <v>2485.0</v>
      </c>
      <c r="L343" s="34" t="s">
        <v>48</v>
      </c>
      <c r="M343" s="33" t="n">
        <f>2585</f>
        <v>2585.0</v>
      </c>
      <c r="N343" s="34" t="s">
        <v>76</v>
      </c>
      <c r="O343" s="33" t="n">
        <f>2376</f>
        <v>2376.0</v>
      </c>
      <c r="P343" s="34" t="s">
        <v>56</v>
      </c>
      <c r="Q343" s="33" t="n">
        <f>2499</f>
        <v>2499.0</v>
      </c>
      <c r="R343" s="34" t="s">
        <v>51</v>
      </c>
      <c r="S343" s="35" t="n">
        <f>2492.86</f>
        <v>2492.86</v>
      </c>
      <c r="T343" s="32" t="n">
        <f>4397</f>
        <v>4397.0</v>
      </c>
      <c r="U343" s="32" t="str">
        <f>"－"</f>
        <v>－</v>
      </c>
      <c r="V343" s="32" t="n">
        <f>11033147</f>
        <v>1.1033147E7</v>
      </c>
      <c r="W343" s="32" t="str">
        <f>"－"</f>
        <v>－</v>
      </c>
      <c r="X343" s="36" t="n">
        <f>22</f>
        <v>22.0</v>
      </c>
    </row>
    <row r="344">
      <c r="A344" s="27" t="s">
        <v>42</v>
      </c>
      <c r="B344" s="27" t="s">
        <v>1083</v>
      </c>
      <c r="C344" s="27" t="s">
        <v>1084</v>
      </c>
      <c r="D344" s="27" t="s">
        <v>1085</v>
      </c>
      <c r="E344" s="28" t="s">
        <v>46</v>
      </c>
      <c r="F344" s="29" t="s">
        <v>46</v>
      </c>
      <c r="G344" s="30" t="s">
        <v>46</v>
      </c>
      <c r="H344" s="31"/>
      <c r="I344" s="31" t="s">
        <v>47</v>
      </c>
      <c r="J344" s="32" t="n">
        <v>1.0</v>
      </c>
      <c r="K344" s="33" t="n">
        <f>2322</f>
        <v>2322.0</v>
      </c>
      <c r="L344" s="34" t="s">
        <v>48</v>
      </c>
      <c r="M344" s="33" t="n">
        <f>2390</f>
        <v>2390.0</v>
      </c>
      <c r="N344" s="34" t="s">
        <v>84</v>
      </c>
      <c r="O344" s="33" t="n">
        <f>2197</f>
        <v>2197.0</v>
      </c>
      <c r="P344" s="34" t="s">
        <v>56</v>
      </c>
      <c r="Q344" s="33" t="n">
        <f>2267</f>
        <v>2267.0</v>
      </c>
      <c r="R344" s="34" t="s">
        <v>51</v>
      </c>
      <c r="S344" s="35" t="n">
        <f>2291.32</f>
        <v>2291.32</v>
      </c>
      <c r="T344" s="32" t="n">
        <f>2463309</f>
        <v>2463309.0</v>
      </c>
      <c r="U344" s="32" t="n">
        <f>160001</f>
        <v>160001.0</v>
      </c>
      <c r="V344" s="32" t="n">
        <f>5659478686</f>
        <v>5.659478686E9</v>
      </c>
      <c r="W344" s="32" t="n">
        <f>360218305</f>
        <v>3.60218305E8</v>
      </c>
      <c r="X344" s="36" t="n">
        <f>22</f>
        <v>22.0</v>
      </c>
    </row>
    <row r="345">
      <c r="A345" s="27" t="s">
        <v>42</v>
      </c>
      <c r="B345" s="27" t="s">
        <v>1086</v>
      </c>
      <c r="C345" s="27" t="s">
        <v>1087</v>
      </c>
      <c r="D345" s="27" t="s">
        <v>1088</v>
      </c>
      <c r="E345" s="28" t="s">
        <v>46</v>
      </c>
      <c r="F345" s="29" t="s">
        <v>46</v>
      </c>
      <c r="G345" s="30" t="s">
        <v>46</v>
      </c>
      <c r="H345" s="31"/>
      <c r="I345" s="31" t="s">
        <v>47</v>
      </c>
      <c r="J345" s="32" t="n">
        <v>1.0</v>
      </c>
      <c r="K345" s="33" t="n">
        <f>8293</f>
        <v>8293.0</v>
      </c>
      <c r="L345" s="34" t="s">
        <v>48</v>
      </c>
      <c r="M345" s="33" t="n">
        <f>8570</f>
        <v>8570.0</v>
      </c>
      <c r="N345" s="34" t="s">
        <v>49</v>
      </c>
      <c r="O345" s="33" t="n">
        <f>8176</f>
        <v>8176.0</v>
      </c>
      <c r="P345" s="34" t="s">
        <v>64</v>
      </c>
      <c r="Q345" s="33" t="n">
        <f>8530</f>
        <v>8530.0</v>
      </c>
      <c r="R345" s="34" t="s">
        <v>51</v>
      </c>
      <c r="S345" s="35" t="n">
        <f>8450</f>
        <v>8450.0</v>
      </c>
      <c r="T345" s="32" t="n">
        <f>852053</f>
        <v>852053.0</v>
      </c>
      <c r="U345" s="32" t="n">
        <f>837840</f>
        <v>837840.0</v>
      </c>
      <c r="V345" s="32" t="n">
        <f>7206257536</f>
        <v>7.206257536E9</v>
      </c>
      <c r="W345" s="32" t="n">
        <f>7085847443</f>
        <v>7.085847443E9</v>
      </c>
      <c r="X345" s="36" t="n">
        <f>22</f>
        <v>22.0</v>
      </c>
    </row>
    <row r="346">
      <c r="A346" s="27" t="s">
        <v>42</v>
      </c>
      <c r="B346" s="27" t="s">
        <v>1089</v>
      </c>
      <c r="C346" s="27" t="s">
        <v>1090</v>
      </c>
      <c r="D346" s="27" t="s">
        <v>1091</v>
      </c>
      <c r="E346" s="28" t="s">
        <v>46</v>
      </c>
      <c r="F346" s="29" t="s">
        <v>46</v>
      </c>
      <c r="G346" s="30" t="s">
        <v>46</v>
      </c>
      <c r="H346" s="31"/>
      <c r="I346" s="31" t="s">
        <v>47</v>
      </c>
      <c r="J346" s="32" t="n">
        <v>1.0</v>
      </c>
      <c r="K346" s="33" t="n">
        <f>5678</f>
        <v>5678.0</v>
      </c>
      <c r="L346" s="34" t="s">
        <v>48</v>
      </c>
      <c r="M346" s="33" t="n">
        <f>5700</f>
        <v>5700.0</v>
      </c>
      <c r="N346" s="34" t="s">
        <v>72</v>
      </c>
      <c r="O346" s="33" t="n">
        <f>5440</f>
        <v>5440.0</v>
      </c>
      <c r="P346" s="34" t="s">
        <v>51</v>
      </c>
      <c r="Q346" s="33" t="n">
        <f>5473</f>
        <v>5473.0</v>
      </c>
      <c r="R346" s="34" t="s">
        <v>51</v>
      </c>
      <c r="S346" s="35" t="n">
        <f>5542.82</f>
        <v>5542.82</v>
      </c>
      <c r="T346" s="32" t="n">
        <f>500451</f>
        <v>500451.0</v>
      </c>
      <c r="U346" s="32" t="n">
        <f>489341</f>
        <v>489341.0</v>
      </c>
      <c r="V346" s="32" t="n">
        <f>2758702888</f>
        <v>2.758702888E9</v>
      </c>
      <c r="W346" s="32" t="n">
        <f>2696998858</f>
        <v>2.696998858E9</v>
      </c>
      <c r="X346" s="36" t="n">
        <f>22</f>
        <v>22.0</v>
      </c>
    </row>
    <row r="347">
      <c r="A347" s="27" t="s">
        <v>42</v>
      </c>
      <c r="B347" s="27" t="s">
        <v>1092</v>
      </c>
      <c r="C347" s="27" t="s">
        <v>1093</v>
      </c>
      <c r="D347" s="27" t="s">
        <v>1094</v>
      </c>
      <c r="E347" s="28" t="s">
        <v>46</v>
      </c>
      <c r="F347" s="29" t="s">
        <v>46</v>
      </c>
      <c r="G347" s="30" t="s">
        <v>46</v>
      </c>
      <c r="H347" s="31"/>
      <c r="I347" s="31" t="s">
        <v>47</v>
      </c>
      <c r="J347" s="32" t="n">
        <v>1.0</v>
      </c>
      <c r="K347" s="33" t="n">
        <f>26615</f>
        <v>26615.0</v>
      </c>
      <c r="L347" s="34" t="s">
        <v>48</v>
      </c>
      <c r="M347" s="33" t="n">
        <f>29240</f>
        <v>29240.0</v>
      </c>
      <c r="N347" s="34" t="s">
        <v>49</v>
      </c>
      <c r="O347" s="33" t="n">
        <f>26150</f>
        <v>26150.0</v>
      </c>
      <c r="P347" s="34" t="s">
        <v>72</v>
      </c>
      <c r="Q347" s="33" t="n">
        <f>28600</f>
        <v>28600.0</v>
      </c>
      <c r="R347" s="34" t="s">
        <v>51</v>
      </c>
      <c r="S347" s="35" t="n">
        <f>27881.14</f>
        <v>27881.14</v>
      </c>
      <c r="T347" s="32" t="n">
        <f>297620</f>
        <v>297620.0</v>
      </c>
      <c r="U347" s="32" t="n">
        <f>80200</f>
        <v>80200.0</v>
      </c>
      <c r="V347" s="32" t="n">
        <f>8284245860</f>
        <v>8.28424586E9</v>
      </c>
      <c r="W347" s="32" t="n">
        <f>2140778600</f>
        <v>2.1407786E9</v>
      </c>
      <c r="X347" s="36" t="n">
        <f>22</f>
        <v>22.0</v>
      </c>
    </row>
    <row r="348">
      <c r="A348" s="27" t="s">
        <v>42</v>
      </c>
      <c r="B348" s="27" t="s">
        <v>1095</v>
      </c>
      <c r="C348" s="27" t="s">
        <v>1096</v>
      </c>
      <c r="D348" s="27" t="s">
        <v>1097</v>
      </c>
      <c r="E348" s="28" t="s">
        <v>46</v>
      </c>
      <c r="F348" s="29" t="s">
        <v>46</v>
      </c>
      <c r="G348" s="30" t="s">
        <v>46</v>
      </c>
      <c r="H348" s="31"/>
      <c r="I348" s="31" t="s">
        <v>47</v>
      </c>
      <c r="J348" s="32" t="n">
        <v>1.0</v>
      </c>
      <c r="K348" s="33" t="n">
        <f>12325</f>
        <v>12325.0</v>
      </c>
      <c r="L348" s="34" t="s">
        <v>48</v>
      </c>
      <c r="M348" s="33" t="n">
        <f>12670</f>
        <v>12670.0</v>
      </c>
      <c r="N348" s="34" t="s">
        <v>49</v>
      </c>
      <c r="O348" s="33" t="n">
        <f>12095</f>
        <v>12095.0</v>
      </c>
      <c r="P348" s="34" t="s">
        <v>72</v>
      </c>
      <c r="Q348" s="33" t="n">
        <f>12425</f>
        <v>12425.0</v>
      </c>
      <c r="R348" s="34" t="s">
        <v>51</v>
      </c>
      <c r="S348" s="35" t="n">
        <f>12385</f>
        <v>12385.0</v>
      </c>
      <c r="T348" s="32" t="n">
        <f>364397</f>
        <v>364397.0</v>
      </c>
      <c r="U348" s="32" t="n">
        <f>95311</f>
        <v>95311.0</v>
      </c>
      <c r="V348" s="32" t="n">
        <f>4527049330</f>
        <v>4.52704933E9</v>
      </c>
      <c r="W348" s="32" t="n">
        <f>1200296055</f>
        <v>1.200296055E9</v>
      </c>
      <c r="X348" s="36" t="n">
        <f>22</f>
        <v>22.0</v>
      </c>
    </row>
    <row r="349">
      <c r="A349" s="27" t="s">
        <v>42</v>
      </c>
      <c r="B349" s="27" t="s">
        <v>1098</v>
      </c>
      <c r="C349" s="27" t="s">
        <v>1099</v>
      </c>
      <c r="D349" s="27" t="s">
        <v>1100</v>
      </c>
      <c r="E349" s="28" t="s">
        <v>46</v>
      </c>
      <c r="F349" s="29" t="s">
        <v>46</v>
      </c>
      <c r="G349" s="30" t="s">
        <v>46</v>
      </c>
      <c r="H349" s="31"/>
      <c r="I349" s="31" t="s">
        <v>47</v>
      </c>
      <c r="J349" s="32" t="n">
        <v>1.0</v>
      </c>
      <c r="K349" s="33" t="n">
        <f>18410</f>
        <v>18410.0</v>
      </c>
      <c r="L349" s="34" t="s">
        <v>48</v>
      </c>
      <c r="M349" s="33" t="n">
        <f>18735</f>
        <v>18735.0</v>
      </c>
      <c r="N349" s="34" t="s">
        <v>72</v>
      </c>
      <c r="O349" s="33" t="n">
        <f>17895</f>
        <v>17895.0</v>
      </c>
      <c r="P349" s="34" t="s">
        <v>49</v>
      </c>
      <c r="Q349" s="33" t="n">
        <f>18235</f>
        <v>18235.0</v>
      </c>
      <c r="R349" s="34" t="s">
        <v>51</v>
      </c>
      <c r="S349" s="35" t="n">
        <f>18311.59</f>
        <v>18311.59</v>
      </c>
      <c r="T349" s="32" t="n">
        <f>84938</f>
        <v>84938.0</v>
      </c>
      <c r="U349" s="32" t="n">
        <f>30411</f>
        <v>30411.0</v>
      </c>
      <c r="V349" s="32" t="n">
        <f>1555087037</f>
        <v>1.555087037E9</v>
      </c>
      <c r="W349" s="32" t="n">
        <f>556938557</f>
        <v>5.56938557E8</v>
      </c>
      <c r="X349" s="36" t="n">
        <f>22</f>
        <v>22.0</v>
      </c>
    </row>
    <row r="350">
      <c r="A350" s="27" t="s">
        <v>42</v>
      </c>
      <c r="B350" s="27" t="s">
        <v>1101</v>
      </c>
      <c r="C350" s="27" t="s">
        <v>1102</v>
      </c>
      <c r="D350" s="27" t="s">
        <v>1103</v>
      </c>
      <c r="E350" s="28" t="s">
        <v>46</v>
      </c>
      <c r="F350" s="29" t="s">
        <v>46</v>
      </c>
      <c r="G350" s="30" t="s">
        <v>46</v>
      </c>
      <c r="H350" s="31"/>
      <c r="I350" s="31" t="s">
        <v>47</v>
      </c>
      <c r="J350" s="32" t="n">
        <v>10.0</v>
      </c>
      <c r="K350" s="33" t="n">
        <f>4143</f>
        <v>4143.0</v>
      </c>
      <c r="L350" s="34" t="s">
        <v>48</v>
      </c>
      <c r="M350" s="33" t="n">
        <f>4199</f>
        <v>4199.0</v>
      </c>
      <c r="N350" s="34" t="s">
        <v>64</v>
      </c>
      <c r="O350" s="33" t="n">
        <f>3999</f>
        <v>3999.0</v>
      </c>
      <c r="P350" s="34" t="s">
        <v>51</v>
      </c>
      <c r="Q350" s="33" t="n">
        <f>3999</f>
        <v>3999.0</v>
      </c>
      <c r="R350" s="34" t="s">
        <v>51</v>
      </c>
      <c r="S350" s="35" t="n">
        <f>4067</f>
        <v>4067.0</v>
      </c>
      <c r="T350" s="32" t="n">
        <f>210640</f>
        <v>210640.0</v>
      </c>
      <c r="U350" s="32" t="n">
        <f>207010</f>
        <v>207010.0</v>
      </c>
      <c r="V350" s="32" t="n">
        <f>846607980</f>
        <v>8.4660798E8</v>
      </c>
      <c r="W350" s="32" t="n">
        <f>831687190</f>
        <v>8.3168719E8</v>
      </c>
      <c r="X350" s="36" t="n">
        <f>16</f>
        <v>16.0</v>
      </c>
    </row>
    <row r="351">
      <c r="A351" s="27" t="s">
        <v>42</v>
      </c>
      <c r="B351" s="27" t="s">
        <v>1104</v>
      </c>
      <c r="C351" s="27" t="s">
        <v>1105</v>
      </c>
      <c r="D351" s="27" t="s">
        <v>1106</v>
      </c>
      <c r="E351" s="28" t="s">
        <v>46</v>
      </c>
      <c r="F351" s="29" t="s">
        <v>46</v>
      </c>
      <c r="G351" s="30" t="s">
        <v>46</v>
      </c>
      <c r="H351" s="31"/>
      <c r="I351" s="31" t="s">
        <v>47</v>
      </c>
      <c r="J351" s="32" t="n">
        <v>10.0</v>
      </c>
      <c r="K351" s="33" t="n">
        <f>5354</f>
        <v>5354.0</v>
      </c>
      <c r="L351" s="34" t="s">
        <v>48</v>
      </c>
      <c r="M351" s="33" t="n">
        <f>5404</f>
        <v>5404.0</v>
      </c>
      <c r="N351" s="34" t="s">
        <v>55</v>
      </c>
      <c r="O351" s="33" t="n">
        <f>5188</f>
        <v>5188.0</v>
      </c>
      <c r="P351" s="34" t="s">
        <v>51</v>
      </c>
      <c r="Q351" s="33" t="n">
        <f>5199</f>
        <v>5199.0</v>
      </c>
      <c r="R351" s="34" t="s">
        <v>51</v>
      </c>
      <c r="S351" s="35" t="n">
        <f>5268.91</f>
        <v>5268.91</v>
      </c>
      <c r="T351" s="32" t="n">
        <f>74540</f>
        <v>74540.0</v>
      </c>
      <c r="U351" s="32" t="n">
        <f>33020</f>
        <v>33020.0</v>
      </c>
      <c r="V351" s="32" t="n">
        <f>392500750</f>
        <v>3.9250075E8</v>
      </c>
      <c r="W351" s="32" t="n">
        <f>174882850</f>
        <v>1.7488285E8</v>
      </c>
      <c r="X351" s="36" t="n">
        <f>22</f>
        <v>22.0</v>
      </c>
    </row>
    <row r="352">
      <c r="A352" s="27" t="s">
        <v>42</v>
      </c>
      <c r="B352" s="27" t="s">
        <v>1107</v>
      </c>
      <c r="C352" s="27" t="s">
        <v>1108</v>
      </c>
      <c r="D352" s="27" t="s">
        <v>1109</v>
      </c>
      <c r="E352" s="28" t="s">
        <v>46</v>
      </c>
      <c r="F352" s="29" t="s">
        <v>46</v>
      </c>
      <c r="G352" s="30" t="s">
        <v>46</v>
      </c>
      <c r="H352" s="31"/>
      <c r="I352" s="31" t="s">
        <v>47</v>
      </c>
      <c r="J352" s="32" t="n">
        <v>10.0</v>
      </c>
      <c r="K352" s="33" t="n">
        <f>2575</f>
        <v>2575.0</v>
      </c>
      <c r="L352" s="34" t="s">
        <v>48</v>
      </c>
      <c r="M352" s="33" t="n">
        <f>2652.5</f>
        <v>2652.5</v>
      </c>
      <c r="N352" s="34" t="s">
        <v>49</v>
      </c>
      <c r="O352" s="33" t="n">
        <f>2532.5</f>
        <v>2532.5</v>
      </c>
      <c r="P352" s="34" t="s">
        <v>72</v>
      </c>
      <c r="Q352" s="33" t="n">
        <f>2609</f>
        <v>2609.0</v>
      </c>
      <c r="R352" s="34" t="s">
        <v>51</v>
      </c>
      <c r="S352" s="35" t="n">
        <f>2594.61</f>
        <v>2594.61</v>
      </c>
      <c r="T352" s="32" t="n">
        <f>796660</f>
        <v>796660.0</v>
      </c>
      <c r="U352" s="32" t="n">
        <f>300</f>
        <v>300.0</v>
      </c>
      <c r="V352" s="32" t="n">
        <f>2068400110</f>
        <v>2.06840011E9</v>
      </c>
      <c r="W352" s="32" t="n">
        <f>794400</f>
        <v>794400.0</v>
      </c>
      <c r="X352" s="36" t="n">
        <f>22</f>
        <v>22.0</v>
      </c>
    </row>
    <row r="353">
      <c r="A353" s="27" t="s">
        <v>42</v>
      </c>
      <c r="B353" s="27" t="s">
        <v>1110</v>
      </c>
      <c r="C353" s="27" t="s">
        <v>1111</v>
      </c>
      <c r="D353" s="27" t="s">
        <v>1112</v>
      </c>
      <c r="E353" s="28" t="s">
        <v>46</v>
      </c>
      <c r="F353" s="29" t="s">
        <v>46</v>
      </c>
      <c r="G353" s="30" t="s">
        <v>46</v>
      </c>
      <c r="H353" s="31"/>
      <c r="I353" s="31" t="s">
        <v>47</v>
      </c>
      <c r="J353" s="32" t="n">
        <v>10.0</v>
      </c>
      <c r="K353" s="33" t="n">
        <f>2196</f>
        <v>2196.0</v>
      </c>
      <c r="L353" s="34" t="s">
        <v>48</v>
      </c>
      <c r="M353" s="33" t="n">
        <f>2246</f>
        <v>2246.0</v>
      </c>
      <c r="N353" s="34" t="s">
        <v>235</v>
      </c>
      <c r="O353" s="33" t="n">
        <f>2171</f>
        <v>2171.0</v>
      </c>
      <c r="P353" s="34" t="s">
        <v>337</v>
      </c>
      <c r="Q353" s="33" t="n">
        <f>2176</f>
        <v>2176.0</v>
      </c>
      <c r="R353" s="34" t="s">
        <v>51</v>
      </c>
      <c r="S353" s="35" t="n">
        <f>2200.95</f>
        <v>2200.95</v>
      </c>
      <c r="T353" s="32" t="n">
        <f>447520</f>
        <v>447520.0</v>
      </c>
      <c r="U353" s="32" t="n">
        <f>240060</f>
        <v>240060.0</v>
      </c>
      <c r="V353" s="32" t="n">
        <f>995325673</f>
        <v>9.95325673E8</v>
      </c>
      <c r="W353" s="32" t="n">
        <f>537365988</f>
        <v>5.37365988E8</v>
      </c>
      <c r="X353" s="36" t="n">
        <f>22</f>
        <v>22.0</v>
      </c>
    </row>
    <row r="354">
      <c r="A354" s="27" t="s">
        <v>42</v>
      </c>
      <c r="B354" s="27" t="s">
        <v>1113</v>
      </c>
      <c r="C354" s="27" t="s">
        <v>1114</v>
      </c>
      <c r="D354" s="27" t="s">
        <v>1115</v>
      </c>
      <c r="E354" s="28" t="s">
        <v>46</v>
      </c>
      <c r="F354" s="29" t="s">
        <v>46</v>
      </c>
      <c r="G354" s="30" t="s">
        <v>46</v>
      </c>
      <c r="H354" s="31"/>
      <c r="I354" s="31" t="s">
        <v>47</v>
      </c>
      <c r="J354" s="32" t="n">
        <v>1.0</v>
      </c>
      <c r="K354" s="33" t="n">
        <f>1916</f>
        <v>1916.0</v>
      </c>
      <c r="L354" s="34" t="s">
        <v>48</v>
      </c>
      <c r="M354" s="33" t="n">
        <f>1965</f>
        <v>1965.0</v>
      </c>
      <c r="N354" s="34" t="s">
        <v>64</v>
      </c>
      <c r="O354" s="33" t="n">
        <f>1839</f>
        <v>1839.0</v>
      </c>
      <c r="P354" s="34" t="s">
        <v>60</v>
      </c>
      <c r="Q354" s="33" t="n">
        <f>1891</f>
        <v>1891.0</v>
      </c>
      <c r="R354" s="34" t="s">
        <v>51</v>
      </c>
      <c r="S354" s="35" t="n">
        <f>1908.45</f>
        <v>1908.45</v>
      </c>
      <c r="T354" s="32" t="n">
        <f>3559</f>
        <v>3559.0</v>
      </c>
      <c r="U354" s="32" t="str">
        <f>"－"</f>
        <v>－</v>
      </c>
      <c r="V354" s="32" t="n">
        <f>6879000</f>
        <v>6879000.0</v>
      </c>
      <c r="W354" s="32" t="str">
        <f>"－"</f>
        <v>－</v>
      </c>
      <c r="X354" s="36" t="n">
        <f>22</f>
        <v>22.0</v>
      </c>
    </row>
    <row r="355">
      <c r="A355" s="27" t="s">
        <v>42</v>
      </c>
      <c r="B355" s="27" t="s">
        <v>1116</v>
      </c>
      <c r="C355" s="27" t="s">
        <v>1117</v>
      </c>
      <c r="D355" s="27" t="s">
        <v>1118</v>
      </c>
      <c r="E355" s="28" t="s">
        <v>46</v>
      </c>
      <c r="F355" s="29" t="s">
        <v>46</v>
      </c>
      <c r="G355" s="30" t="s">
        <v>46</v>
      </c>
      <c r="H355" s="31"/>
      <c r="I355" s="31" t="s">
        <v>47</v>
      </c>
      <c r="J355" s="32" t="n">
        <v>1.0</v>
      </c>
      <c r="K355" s="33" t="n">
        <f>2060</f>
        <v>2060.0</v>
      </c>
      <c r="L355" s="34" t="s">
        <v>48</v>
      </c>
      <c r="M355" s="33" t="n">
        <f>2200</f>
        <v>2200.0</v>
      </c>
      <c r="N355" s="34" t="s">
        <v>534</v>
      </c>
      <c r="O355" s="33" t="n">
        <f>2019</f>
        <v>2019.0</v>
      </c>
      <c r="P355" s="34" t="s">
        <v>60</v>
      </c>
      <c r="Q355" s="33" t="n">
        <f>2083</f>
        <v>2083.0</v>
      </c>
      <c r="R355" s="34" t="s">
        <v>51</v>
      </c>
      <c r="S355" s="35" t="n">
        <f>2079.59</f>
        <v>2079.59</v>
      </c>
      <c r="T355" s="32" t="n">
        <f>22463</f>
        <v>22463.0</v>
      </c>
      <c r="U355" s="32" t="str">
        <f>"－"</f>
        <v>－</v>
      </c>
      <c r="V355" s="32" t="n">
        <f>46692061</f>
        <v>4.6692061E7</v>
      </c>
      <c r="W355" s="32" t="str">
        <f>"－"</f>
        <v>－</v>
      </c>
      <c r="X355" s="36" t="n">
        <f>22</f>
        <v>22.0</v>
      </c>
    </row>
    <row r="356">
      <c r="A356" s="27" t="s">
        <v>42</v>
      </c>
      <c r="B356" s="27" t="s">
        <v>1119</v>
      </c>
      <c r="C356" s="27" t="s">
        <v>1120</v>
      </c>
      <c r="D356" s="27" t="s">
        <v>1121</v>
      </c>
      <c r="E356" s="28" t="s">
        <v>46</v>
      </c>
      <c r="F356" s="29" t="s">
        <v>46</v>
      </c>
      <c r="G356" s="30" t="s">
        <v>46</v>
      </c>
      <c r="H356" s="31"/>
      <c r="I356" s="31" t="s">
        <v>47</v>
      </c>
      <c r="J356" s="32" t="n">
        <v>1.0</v>
      </c>
      <c r="K356" s="33" t="n">
        <f>4430</f>
        <v>4430.0</v>
      </c>
      <c r="L356" s="34" t="s">
        <v>48</v>
      </c>
      <c r="M356" s="33" t="n">
        <f>4495</f>
        <v>4495.0</v>
      </c>
      <c r="N356" s="34" t="s">
        <v>337</v>
      </c>
      <c r="O356" s="33" t="n">
        <f>4230</f>
        <v>4230.0</v>
      </c>
      <c r="P356" s="34" t="s">
        <v>60</v>
      </c>
      <c r="Q356" s="33" t="n">
        <f>4330</f>
        <v>4330.0</v>
      </c>
      <c r="R356" s="34" t="s">
        <v>51</v>
      </c>
      <c r="S356" s="35" t="n">
        <f>4357.95</f>
        <v>4357.95</v>
      </c>
      <c r="T356" s="32" t="n">
        <f>97844</f>
        <v>97844.0</v>
      </c>
      <c r="U356" s="32" t="n">
        <f>55212</f>
        <v>55212.0</v>
      </c>
      <c r="V356" s="32" t="n">
        <f>421009330</f>
        <v>4.2100933E8</v>
      </c>
      <c r="W356" s="32" t="n">
        <f>237292585</f>
        <v>2.37292585E8</v>
      </c>
      <c r="X356" s="36" t="n">
        <f>22</f>
        <v>22.0</v>
      </c>
    </row>
    <row r="357">
      <c r="A357" s="27" t="s">
        <v>42</v>
      </c>
      <c r="B357" s="27" t="s">
        <v>1122</v>
      </c>
      <c r="C357" s="27" t="s">
        <v>1123</v>
      </c>
      <c r="D357" s="27" t="s">
        <v>1124</v>
      </c>
      <c r="E357" s="28" t="s">
        <v>46</v>
      </c>
      <c r="F357" s="29" t="s">
        <v>46</v>
      </c>
      <c r="G357" s="30" t="s">
        <v>46</v>
      </c>
      <c r="H357" s="31"/>
      <c r="I357" s="31" t="s">
        <v>47</v>
      </c>
      <c r="J357" s="32" t="n">
        <v>10.0</v>
      </c>
      <c r="K357" s="33" t="n">
        <f>2723.5</f>
        <v>2723.5</v>
      </c>
      <c r="L357" s="34" t="s">
        <v>48</v>
      </c>
      <c r="M357" s="33" t="n">
        <f>2822</f>
        <v>2822.0</v>
      </c>
      <c r="N357" s="34" t="s">
        <v>76</v>
      </c>
      <c r="O357" s="33" t="n">
        <f>2692</f>
        <v>2692.0</v>
      </c>
      <c r="P357" s="34" t="s">
        <v>60</v>
      </c>
      <c r="Q357" s="33" t="n">
        <f>2775.5</f>
        <v>2775.5</v>
      </c>
      <c r="R357" s="34" t="s">
        <v>51</v>
      </c>
      <c r="S357" s="35" t="n">
        <f>2761.05</f>
        <v>2761.05</v>
      </c>
      <c r="T357" s="32" t="n">
        <f>14480</f>
        <v>14480.0</v>
      </c>
      <c r="U357" s="32" t="str">
        <f>"－"</f>
        <v>－</v>
      </c>
      <c r="V357" s="32" t="n">
        <f>40319750</f>
        <v>4.031975E7</v>
      </c>
      <c r="W357" s="32" t="str">
        <f>"－"</f>
        <v>－</v>
      </c>
      <c r="X357" s="36" t="n">
        <f>22</f>
        <v>22.0</v>
      </c>
    </row>
    <row r="358">
      <c r="A358" s="27" t="s">
        <v>42</v>
      </c>
      <c r="B358" s="27" t="s">
        <v>1125</v>
      </c>
      <c r="C358" s="27" t="s">
        <v>1126</v>
      </c>
      <c r="D358" s="27" t="s">
        <v>1127</v>
      </c>
      <c r="E358" s="28" t="s">
        <v>46</v>
      </c>
      <c r="F358" s="29" t="s">
        <v>46</v>
      </c>
      <c r="G358" s="30" t="s">
        <v>46</v>
      </c>
      <c r="H358" s="31"/>
      <c r="I358" s="31" t="s">
        <v>47</v>
      </c>
      <c r="J358" s="32" t="n">
        <v>10.0</v>
      </c>
      <c r="K358" s="33" t="n">
        <f>269.8</f>
        <v>269.8</v>
      </c>
      <c r="L358" s="34" t="s">
        <v>48</v>
      </c>
      <c r="M358" s="33" t="n">
        <f>277.7</f>
        <v>277.7</v>
      </c>
      <c r="N358" s="34" t="s">
        <v>76</v>
      </c>
      <c r="O358" s="33" t="n">
        <f>262.1</f>
        <v>262.1</v>
      </c>
      <c r="P358" s="34" t="s">
        <v>60</v>
      </c>
      <c r="Q358" s="33" t="n">
        <f>268.5</f>
        <v>268.5</v>
      </c>
      <c r="R358" s="34" t="s">
        <v>51</v>
      </c>
      <c r="S358" s="35" t="n">
        <f>269.66</f>
        <v>269.66</v>
      </c>
      <c r="T358" s="32" t="n">
        <f>8500</f>
        <v>8500.0</v>
      </c>
      <c r="U358" s="32" t="str">
        <f>"－"</f>
        <v>－</v>
      </c>
      <c r="V358" s="32" t="n">
        <f>2303164</f>
        <v>2303164.0</v>
      </c>
      <c r="W358" s="32" t="str">
        <f>"－"</f>
        <v>－</v>
      </c>
      <c r="X358" s="36" t="n">
        <f>22</f>
        <v>22.0</v>
      </c>
    </row>
    <row r="359">
      <c r="A359" s="27" t="s">
        <v>42</v>
      </c>
      <c r="B359" s="27" t="s">
        <v>1128</v>
      </c>
      <c r="C359" s="27" t="s">
        <v>1129</v>
      </c>
      <c r="D359" s="27" t="s">
        <v>1130</v>
      </c>
      <c r="E359" s="28" t="s">
        <v>46</v>
      </c>
      <c r="F359" s="29" t="s">
        <v>46</v>
      </c>
      <c r="G359" s="30" t="s">
        <v>46</v>
      </c>
      <c r="H359" s="31"/>
      <c r="I359" s="31" t="s">
        <v>47</v>
      </c>
      <c r="J359" s="32" t="n">
        <v>10.0</v>
      </c>
      <c r="K359" s="33" t="n">
        <f>171.6</f>
        <v>171.6</v>
      </c>
      <c r="L359" s="34" t="s">
        <v>48</v>
      </c>
      <c r="M359" s="33" t="n">
        <f>171.6</f>
        <v>171.6</v>
      </c>
      <c r="N359" s="34" t="s">
        <v>48</v>
      </c>
      <c r="O359" s="33" t="n">
        <f>165.5</f>
        <v>165.5</v>
      </c>
      <c r="P359" s="34" t="s">
        <v>56</v>
      </c>
      <c r="Q359" s="33" t="n">
        <f>166.9</f>
        <v>166.9</v>
      </c>
      <c r="R359" s="34" t="s">
        <v>51</v>
      </c>
      <c r="S359" s="35" t="n">
        <f>167.57</f>
        <v>167.57</v>
      </c>
      <c r="T359" s="32" t="n">
        <f>2113430</f>
        <v>2113430.0</v>
      </c>
      <c r="U359" s="32" t="n">
        <f>1788570</f>
        <v>1788570.0</v>
      </c>
      <c r="V359" s="32" t="n">
        <f>354527481</f>
        <v>3.54527481E8</v>
      </c>
      <c r="W359" s="32" t="n">
        <f>300002802</f>
        <v>3.00002802E8</v>
      </c>
      <c r="X359" s="36" t="n">
        <f>22</f>
        <v>22.0</v>
      </c>
    </row>
    <row r="360">
      <c r="A360" s="27" t="s">
        <v>42</v>
      </c>
      <c r="B360" s="27" t="s">
        <v>1131</v>
      </c>
      <c r="C360" s="27" t="s">
        <v>1132</v>
      </c>
      <c r="D360" s="27" t="s">
        <v>1133</v>
      </c>
      <c r="E360" s="28" t="s">
        <v>46</v>
      </c>
      <c r="F360" s="29" t="s">
        <v>46</v>
      </c>
      <c r="G360" s="30" t="s">
        <v>46</v>
      </c>
      <c r="H360" s="31"/>
      <c r="I360" s="31" t="s">
        <v>47</v>
      </c>
      <c r="J360" s="32" t="n">
        <v>10.0</v>
      </c>
      <c r="K360" s="33" t="n">
        <f>683.3</f>
        <v>683.3</v>
      </c>
      <c r="L360" s="34" t="s">
        <v>48</v>
      </c>
      <c r="M360" s="33" t="n">
        <f>683.3</f>
        <v>683.3</v>
      </c>
      <c r="N360" s="34" t="s">
        <v>48</v>
      </c>
      <c r="O360" s="33" t="n">
        <f>659.9</f>
        <v>659.9</v>
      </c>
      <c r="P360" s="34" t="s">
        <v>51</v>
      </c>
      <c r="Q360" s="33" t="n">
        <f>659.9</f>
        <v>659.9</v>
      </c>
      <c r="R360" s="34" t="s">
        <v>51</v>
      </c>
      <c r="S360" s="35" t="n">
        <f>670.6</f>
        <v>670.6</v>
      </c>
      <c r="T360" s="32" t="n">
        <f>20720</f>
        <v>20720.0</v>
      </c>
      <c r="U360" s="32" t="str">
        <f>"－"</f>
        <v>－</v>
      </c>
      <c r="V360" s="32" t="n">
        <f>13883461</f>
        <v>1.3883461E7</v>
      </c>
      <c r="W360" s="32" t="str">
        <f>"－"</f>
        <v>－</v>
      </c>
      <c r="X360" s="36" t="n">
        <f>10</f>
        <v>10.0</v>
      </c>
    </row>
    <row r="361">
      <c r="A361" s="27" t="s">
        <v>42</v>
      </c>
      <c r="B361" s="27" t="s">
        <v>1134</v>
      </c>
      <c r="C361" s="27" t="s">
        <v>1135</v>
      </c>
      <c r="D361" s="27" t="s">
        <v>1136</v>
      </c>
      <c r="E361" s="28" t="s">
        <v>46</v>
      </c>
      <c r="F361" s="29" t="s">
        <v>46</v>
      </c>
      <c r="G361" s="30" t="s">
        <v>46</v>
      </c>
      <c r="H361" s="31"/>
      <c r="I361" s="31" t="s">
        <v>47</v>
      </c>
      <c r="J361" s="32" t="n">
        <v>1.0</v>
      </c>
      <c r="K361" s="33" t="n">
        <f>1518</f>
        <v>1518.0</v>
      </c>
      <c r="L361" s="34" t="s">
        <v>48</v>
      </c>
      <c r="M361" s="33" t="n">
        <f>1572</f>
        <v>1572.0</v>
      </c>
      <c r="N361" s="34" t="s">
        <v>76</v>
      </c>
      <c r="O361" s="33" t="n">
        <f>1436</f>
        <v>1436.0</v>
      </c>
      <c r="P361" s="34" t="s">
        <v>50</v>
      </c>
      <c r="Q361" s="33" t="n">
        <f>1531</f>
        <v>1531.0</v>
      </c>
      <c r="R361" s="34" t="s">
        <v>51</v>
      </c>
      <c r="S361" s="35" t="n">
        <f>1515.09</f>
        <v>1515.09</v>
      </c>
      <c r="T361" s="32" t="n">
        <f>516247</f>
        <v>516247.0</v>
      </c>
      <c r="U361" s="32" t="n">
        <f>294</f>
        <v>294.0</v>
      </c>
      <c r="V361" s="32" t="n">
        <f>781709725</f>
        <v>7.81709725E8</v>
      </c>
      <c r="W361" s="32" t="n">
        <f>446917</f>
        <v>446917.0</v>
      </c>
      <c r="X361" s="36" t="n">
        <f>22</f>
        <v>22.0</v>
      </c>
    </row>
    <row r="362">
      <c r="A362" s="27" t="s">
        <v>42</v>
      </c>
      <c r="B362" s="27" t="s">
        <v>1137</v>
      </c>
      <c r="C362" s="27" t="s">
        <v>1138</v>
      </c>
      <c r="D362" s="27" t="s">
        <v>1139</v>
      </c>
      <c r="E362" s="28" t="s">
        <v>46</v>
      </c>
      <c r="F362" s="29" t="s">
        <v>46</v>
      </c>
      <c r="G362" s="30" t="s">
        <v>46</v>
      </c>
      <c r="H362" s="31"/>
      <c r="I362" s="31" t="s">
        <v>47</v>
      </c>
      <c r="J362" s="32" t="n">
        <v>1.0</v>
      </c>
      <c r="K362" s="33" t="n">
        <f>912</f>
        <v>912.0</v>
      </c>
      <c r="L362" s="34" t="s">
        <v>48</v>
      </c>
      <c r="M362" s="33" t="n">
        <f>912</f>
        <v>912.0</v>
      </c>
      <c r="N362" s="34" t="s">
        <v>48</v>
      </c>
      <c r="O362" s="33" t="n">
        <f>872</f>
        <v>872.0</v>
      </c>
      <c r="P362" s="34" t="s">
        <v>56</v>
      </c>
      <c r="Q362" s="33" t="n">
        <f>878</f>
        <v>878.0</v>
      </c>
      <c r="R362" s="34" t="s">
        <v>51</v>
      </c>
      <c r="S362" s="35" t="n">
        <f>886.23</f>
        <v>886.23</v>
      </c>
      <c r="T362" s="32" t="n">
        <f>73022</f>
        <v>73022.0</v>
      </c>
      <c r="U362" s="32" t="str">
        <f>"－"</f>
        <v>－</v>
      </c>
      <c r="V362" s="32" t="n">
        <f>65565447</f>
        <v>6.5565447E7</v>
      </c>
      <c r="W362" s="32" t="str">
        <f>"－"</f>
        <v>－</v>
      </c>
      <c r="X362" s="36" t="n">
        <f>22</f>
        <v>22.0</v>
      </c>
    </row>
    <row r="363">
      <c r="A363" s="27" t="s">
        <v>42</v>
      </c>
      <c r="B363" s="27" t="s">
        <v>1140</v>
      </c>
      <c r="C363" s="27" t="s">
        <v>1141</v>
      </c>
      <c r="D363" s="27" t="s">
        <v>1142</v>
      </c>
      <c r="E363" s="28" t="s">
        <v>46</v>
      </c>
      <c r="F363" s="29" t="s">
        <v>46</v>
      </c>
      <c r="G363" s="30" t="s">
        <v>46</v>
      </c>
      <c r="H363" s="31"/>
      <c r="I363" s="31" t="s">
        <v>47</v>
      </c>
      <c r="J363" s="32" t="n">
        <v>10.0</v>
      </c>
      <c r="K363" s="33" t="n">
        <f>717.6</f>
        <v>717.6</v>
      </c>
      <c r="L363" s="34" t="s">
        <v>48</v>
      </c>
      <c r="M363" s="33" t="n">
        <f>718.7</f>
        <v>718.7</v>
      </c>
      <c r="N363" s="34" t="s">
        <v>72</v>
      </c>
      <c r="O363" s="33" t="n">
        <f>690.8</f>
        <v>690.8</v>
      </c>
      <c r="P363" s="34" t="s">
        <v>51</v>
      </c>
      <c r="Q363" s="33" t="n">
        <f>691.3</f>
        <v>691.3</v>
      </c>
      <c r="R363" s="34" t="s">
        <v>51</v>
      </c>
      <c r="S363" s="35" t="n">
        <f>701.56</f>
        <v>701.56</v>
      </c>
      <c r="T363" s="32" t="n">
        <f>11486790</f>
        <v>1.148679E7</v>
      </c>
      <c r="U363" s="32" t="n">
        <f>7285240</f>
        <v>7285240.0</v>
      </c>
      <c r="V363" s="32" t="n">
        <f>8103600007</f>
        <v>8.103600007E9</v>
      </c>
      <c r="W363" s="32" t="n">
        <f>5136929344</f>
        <v>5.136929344E9</v>
      </c>
      <c r="X363" s="36" t="n">
        <f>22</f>
        <v>22.0</v>
      </c>
    </row>
    <row r="364">
      <c r="A364" s="27" t="s">
        <v>42</v>
      </c>
      <c r="B364" s="27" t="s">
        <v>1143</v>
      </c>
      <c r="C364" s="27" t="s">
        <v>1144</v>
      </c>
      <c r="D364" s="27" t="s">
        <v>1145</v>
      </c>
      <c r="E364" s="28" t="s">
        <v>46</v>
      </c>
      <c r="F364" s="29" t="s">
        <v>46</v>
      </c>
      <c r="G364" s="30" t="s">
        <v>46</v>
      </c>
      <c r="H364" s="31"/>
      <c r="I364" s="31" t="s">
        <v>47</v>
      </c>
      <c r="J364" s="32" t="n">
        <v>10.0</v>
      </c>
      <c r="K364" s="33" t="n">
        <f>699.9</f>
        <v>699.9</v>
      </c>
      <c r="L364" s="34" t="s">
        <v>48</v>
      </c>
      <c r="M364" s="33" t="n">
        <f>700.8</f>
        <v>700.8</v>
      </c>
      <c r="N364" s="34" t="s">
        <v>72</v>
      </c>
      <c r="O364" s="33" t="n">
        <f>679.6</f>
        <v>679.6</v>
      </c>
      <c r="P364" s="34" t="s">
        <v>51</v>
      </c>
      <c r="Q364" s="33" t="n">
        <f>681.1</f>
        <v>681.1</v>
      </c>
      <c r="R364" s="34" t="s">
        <v>51</v>
      </c>
      <c r="S364" s="35" t="n">
        <f>689.58</f>
        <v>689.58</v>
      </c>
      <c r="T364" s="32" t="n">
        <f>8946990</f>
        <v>8946990.0</v>
      </c>
      <c r="U364" s="32" t="n">
        <f>8785500</f>
        <v>8785500.0</v>
      </c>
      <c r="V364" s="32" t="n">
        <f>6157007901</f>
        <v>6.157007901E9</v>
      </c>
      <c r="W364" s="32" t="n">
        <f>6046350464</f>
        <v>6.046350464E9</v>
      </c>
      <c r="X364" s="36" t="n">
        <f>22</f>
        <v>22.0</v>
      </c>
    </row>
    <row r="365">
      <c r="A365" s="27" t="s">
        <v>42</v>
      </c>
      <c r="B365" s="27" t="s">
        <v>1146</v>
      </c>
      <c r="C365" s="27" t="s">
        <v>1147</v>
      </c>
      <c r="D365" s="27" t="s">
        <v>1148</v>
      </c>
      <c r="E365" s="28" t="s">
        <v>46</v>
      </c>
      <c r="F365" s="29" t="s">
        <v>46</v>
      </c>
      <c r="G365" s="30" t="s">
        <v>46</v>
      </c>
      <c r="H365" s="31"/>
      <c r="I365" s="31" t="s">
        <v>47</v>
      </c>
      <c r="J365" s="32" t="n">
        <v>1.0</v>
      </c>
      <c r="K365" s="33" t="n">
        <f>1159</f>
        <v>1159.0</v>
      </c>
      <c r="L365" s="34" t="s">
        <v>48</v>
      </c>
      <c r="M365" s="33" t="n">
        <f>1184</f>
        <v>1184.0</v>
      </c>
      <c r="N365" s="34" t="s">
        <v>64</v>
      </c>
      <c r="O365" s="33" t="n">
        <f>1120</f>
        <v>1120.0</v>
      </c>
      <c r="P365" s="34" t="s">
        <v>60</v>
      </c>
      <c r="Q365" s="33" t="n">
        <f>1153</f>
        <v>1153.0</v>
      </c>
      <c r="R365" s="34" t="s">
        <v>51</v>
      </c>
      <c r="S365" s="35" t="n">
        <f>1154.14</f>
        <v>1154.14</v>
      </c>
      <c r="T365" s="32" t="n">
        <f>58596</f>
        <v>58596.0</v>
      </c>
      <c r="U365" s="32" t="str">
        <f>"－"</f>
        <v>－</v>
      </c>
      <c r="V365" s="32" t="n">
        <f>67742042</f>
        <v>6.7742042E7</v>
      </c>
      <c r="W365" s="32" t="str">
        <f>"－"</f>
        <v>－</v>
      </c>
      <c r="X365" s="36" t="n">
        <f>22</f>
        <v>22.0</v>
      </c>
    </row>
    <row r="366">
      <c r="A366" s="27" t="s">
        <v>42</v>
      </c>
      <c r="B366" s="27" t="s">
        <v>1149</v>
      </c>
      <c r="C366" s="27" t="s">
        <v>1150</v>
      </c>
      <c r="D366" s="27" t="s">
        <v>1151</v>
      </c>
      <c r="E366" s="28" t="s">
        <v>46</v>
      </c>
      <c r="F366" s="29" t="s">
        <v>46</v>
      </c>
      <c r="G366" s="30" t="s">
        <v>46</v>
      </c>
      <c r="H366" s="31"/>
      <c r="I366" s="31" t="s">
        <v>47</v>
      </c>
      <c r="J366" s="32" t="n">
        <v>10.0</v>
      </c>
      <c r="K366" s="33" t="n">
        <f>2618</f>
        <v>2618.0</v>
      </c>
      <c r="L366" s="34" t="s">
        <v>48</v>
      </c>
      <c r="M366" s="33" t="n">
        <f>2667</f>
        <v>2667.0</v>
      </c>
      <c r="N366" s="34" t="s">
        <v>72</v>
      </c>
      <c r="O366" s="33" t="n">
        <f>2527.5</f>
        <v>2527.5</v>
      </c>
      <c r="P366" s="34" t="s">
        <v>51</v>
      </c>
      <c r="Q366" s="33" t="n">
        <f>2532</f>
        <v>2532.0</v>
      </c>
      <c r="R366" s="34" t="s">
        <v>51</v>
      </c>
      <c r="S366" s="35" t="n">
        <f>2580</f>
        <v>2580.0</v>
      </c>
      <c r="T366" s="32" t="n">
        <f>108040</f>
        <v>108040.0</v>
      </c>
      <c r="U366" s="32" t="str">
        <f>"－"</f>
        <v>－</v>
      </c>
      <c r="V366" s="32" t="n">
        <f>278981660</f>
        <v>2.7898166E8</v>
      </c>
      <c r="W366" s="32" t="str">
        <f>"－"</f>
        <v>－</v>
      </c>
      <c r="X366" s="36" t="n">
        <f>22</f>
        <v>22.0</v>
      </c>
    </row>
    <row r="367">
      <c r="A367" s="27" t="s">
        <v>42</v>
      </c>
      <c r="B367" s="27" t="s">
        <v>1152</v>
      </c>
      <c r="C367" s="27" t="s">
        <v>1153</v>
      </c>
      <c r="D367" s="27" t="s">
        <v>1154</v>
      </c>
      <c r="E367" s="28" t="s">
        <v>46</v>
      </c>
      <c r="F367" s="29" t="s">
        <v>46</v>
      </c>
      <c r="G367" s="30" t="s">
        <v>46</v>
      </c>
      <c r="H367" s="31"/>
      <c r="I367" s="31" t="s">
        <v>47</v>
      </c>
      <c r="J367" s="32" t="n">
        <v>10.0</v>
      </c>
      <c r="K367" s="33" t="n">
        <f>2682</f>
        <v>2682.0</v>
      </c>
      <c r="L367" s="34" t="s">
        <v>48</v>
      </c>
      <c r="M367" s="33" t="n">
        <f>2686</f>
        <v>2686.0</v>
      </c>
      <c r="N367" s="34" t="s">
        <v>235</v>
      </c>
      <c r="O367" s="33" t="n">
        <f>2587</f>
        <v>2587.0</v>
      </c>
      <c r="P367" s="34" t="s">
        <v>337</v>
      </c>
      <c r="Q367" s="33" t="n">
        <f>2611.5</f>
        <v>2611.5</v>
      </c>
      <c r="R367" s="34" t="s">
        <v>51</v>
      </c>
      <c r="S367" s="35" t="n">
        <f>2639.8</f>
        <v>2639.8</v>
      </c>
      <c r="T367" s="32" t="n">
        <f>25970</f>
        <v>25970.0</v>
      </c>
      <c r="U367" s="32" t="str">
        <f>"－"</f>
        <v>－</v>
      </c>
      <c r="V367" s="32" t="n">
        <f>68497345</f>
        <v>6.8497345E7</v>
      </c>
      <c r="W367" s="32" t="str">
        <f>"－"</f>
        <v>－</v>
      </c>
      <c r="X367" s="36" t="n">
        <f>22</f>
        <v>22.0</v>
      </c>
    </row>
    <row r="368">
      <c r="A368" s="27" t="s">
        <v>42</v>
      </c>
      <c r="B368" s="27" t="s">
        <v>1155</v>
      </c>
      <c r="C368" s="27" t="s">
        <v>1156</v>
      </c>
      <c r="D368" s="27" t="s">
        <v>1157</v>
      </c>
      <c r="E368" s="28" t="s">
        <v>46</v>
      </c>
      <c r="F368" s="29" t="s">
        <v>46</v>
      </c>
      <c r="G368" s="30" t="s">
        <v>46</v>
      </c>
      <c r="H368" s="31"/>
      <c r="I368" s="31" t="s">
        <v>47</v>
      </c>
      <c r="J368" s="32" t="n">
        <v>10.0</v>
      </c>
      <c r="K368" s="33" t="n">
        <f>5365</f>
        <v>5365.0</v>
      </c>
      <c r="L368" s="34" t="s">
        <v>48</v>
      </c>
      <c r="M368" s="33" t="n">
        <f>5578</f>
        <v>5578.0</v>
      </c>
      <c r="N368" s="34" t="s">
        <v>50</v>
      </c>
      <c r="O368" s="33" t="n">
        <f>5330</f>
        <v>5330.0</v>
      </c>
      <c r="P368" s="34" t="s">
        <v>337</v>
      </c>
      <c r="Q368" s="33" t="n">
        <f>5578</f>
        <v>5578.0</v>
      </c>
      <c r="R368" s="34" t="s">
        <v>50</v>
      </c>
      <c r="S368" s="35" t="n">
        <f>5430.45</f>
        <v>5430.45</v>
      </c>
      <c r="T368" s="32" t="n">
        <f>123500</f>
        <v>123500.0</v>
      </c>
      <c r="U368" s="32" t="n">
        <f>120000</f>
        <v>120000.0</v>
      </c>
      <c r="V368" s="32" t="n">
        <f>668698560</f>
        <v>6.6869856E8</v>
      </c>
      <c r="W368" s="32" t="n">
        <f>649824000</f>
        <v>6.49824E8</v>
      </c>
      <c r="X368" s="36" t="n">
        <f>11</f>
        <v>11.0</v>
      </c>
    </row>
    <row r="369">
      <c r="A369" s="27" t="s">
        <v>42</v>
      </c>
      <c r="B369" s="27" t="s">
        <v>1158</v>
      </c>
      <c r="C369" s="27" t="s">
        <v>1159</v>
      </c>
      <c r="D369" s="27" t="s">
        <v>1160</v>
      </c>
      <c r="E369" s="28" t="s">
        <v>46</v>
      </c>
      <c r="F369" s="29" t="s">
        <v>46</v>
      </c>
      <c r="G369" s="30" t="s">
        <v>46</v>
      </c>
      <c r="H369" s="31"/>
      <c r="I369" s="31" t="s">
        <v>47</v>
      </c>
      <c r="J369" s="32" t="n">
        <v>10.0</v>
      </c>
      <c r="K369" s="33" t="n">
        <f>4258</f>
        <v>4258.0</v>
      </c>
      <c r="L369" s="34" t="s">
        <v>48</v>
      </c>
      <c r="M369" s="33" t="n">
        <f>4294</f>
        <v>4294.0</v>
      </c>
      <c r="N369" s="34" t="s">
        <v>72</v>
      </c>
      <c r="O369" s="33" t="n">
        <f>4157</f>
        <v>4157.0</v>
      </c>
      <c r="P369" s="34" t="s">
        <v>56</v>
      </c>
      <c r="Q369" s="33" t="n">
        <f>4203</f>
        <v>4203.0</v>
      </c>
      <c r="R369" s="34" t="s">
        <v>50</v>
      </c>
      <c r="S369" s="35" t="n">
        <f>4241.36</f>
        <v>4241.36</v>
      </c>
      <c r="T369" s="32" t="n">
        <f>21140</f>
        <v>21140.0</v>
      </c>
      <c r="U369" s="32" t="str">
        <f>"－"</f>
        <v>－</v>
      </c>
      <c r="V369" s="32" t="n">
        <f>89611450</f>
        <v>8.961145E7</v>
      </c>
      <c r="W369" s="32" t="str">
        <f>"－"</f>
        <v>－</v>
      </c>
      <c r="X369" s="36" t="n">
        <f>11</f>
        <v>11.0</v>
      </c>
    </row>
    <row r="370">
      <c r="A370" s="27" t="s">
        <v>42</v>
      </c>
      <c r="B370" s="27" t="s">
        <v>1161</v>
      </c>
      <c r="C370" s="27" t="s">
        <v>1162</v>
      </c>
      <c r="D370" s="27" t="s">
        <v>1163</v>
      </c>
      <c r="E370" s="28" t="s">
        <v>46</v>
      </c>
      <c r="F370" s="29" t="s">
        <v>46</v>
      </c>
      <c r="G370" s="30" t="s">
        <v>46</v>
      </c>
      <c r="H370" s="31"/>
      <c r="I370" s="31" t="s">
        <v>47</v>
      </c>
      <c r="J370" s="32" t="n">
        <v>10.0</v>
      </c>
      <c r="K370" s="33" t="n">
        <f>1974.5</f>
        <v>1974.5</v>
      </c>
      <c r="L370" s="34" t="s">
        <v>48</v>
      </c>
      <c r="M370" s="33" t="n">
        <f>1975</f>
        <v>1975.0</v>
      </c>
      <c r="N370" s="34" t="s">
        <v>64</v>
      </c>
      <c r="O370" s="33" t="n">
        <f>1923.5</f>
        <v>1923.5</v>
      </c>
      <c r="P370" s="34" t="s">
        <v>50</v>
      </c>
      <c r="Q370" s="33" t="n">
        <f>1923.5</f>
        <v>1923.5</v>
      </c>
      <c r="R370" s="34" t="s">
        <v>50</v>
      </c>
      <c r="S370" s="35" t="n">
        <f>1943.13</f>
        <v>1943.13</v>
      </c>
      <c r="T370" s="32" t="n">
        <f>1610</f>
        <v>1610.0</v>
      </c>
      <c r="U370" s="32" t="str">
        <f>"－"</f>
        <v>－</v>
      </c>
      <c r="V370" s="32" t="n">
        <f>3129965</f>
        <v>3129965.0</v>
      </c>
      <c r="W370" s="32" t="str">
        <f>"－"</f>
        <v>－</v>
      </c>
      <c r="X370" s="36" t="n">
        <f>12</f>
        <v>12.0</v>
      </c>
    </row>
    <row r="371">
      <c r="A371" s="27" t="s">
        <v>42</v>
      </c>
      <c r="B371" s="27" t="s">
        <v>1164</v>
      </c>
      <c r="C371" s="27" t="s">
        <v>1165</v>
      </c>
      <c r="D371" s="27" t="s">
        <v>1166</v>
      </c>
      <c r="E371" s="28" t="s">
        <v>46</v>
      </c>
      <c r="F371" s="29" t="s">
        <v>46</v>
      </c>
      <c r="G371" s="30" t="s">
        <v>46</v>
      </c>
      <c r="H371" s="31"/>
      <c r="I371" s="31" t="s">
        <v>47</v>
      </c>
      <c r="J371" s="32" t="n">
        <v>1.0</v>
      </c>
      <c r="K371" s="33" t="n">
        <f>1388</f>
        <v>1388.0</v>
      </c>
      <c r="L371" s="34" t="s">
        <v>48</v>
      </c>
      <c r="M371" s="33" t="n">
        <f>1432</f>
        <v>1432.0</v>
      </c>
      <c r="N371" s="34" t="s">
        <v>260</v>
      </c>
      <c r="O371" s="33" t="n">
        <f>1320</f>
        <v>1320.0</v>
      </c>
      <c r="P371" s="34" t="s">
        <v>76</v>
      </c>
      <c r="Q371" s="33" t="n">
        <f>1369</f>
        <v>1369.0</v>
      </c>
      <c r="R371" s="34" t="s">
        <v>51</v>
      </c>
      <c r="S371" s="35" t="n">
        <f>1380.77</f>
        <v>1380.77</v>
      </c>
      <c r="T371" s="32" t="n">
        <f>24576</f>
        <v>24576.0</v>
      </c>
      <c r="U371" s="32" t="str">
        <f>"－"</f>
        <v>－</v>
      </c>
      <c r="V371" s="32" t="n">
        <f>33912317</f>
        <v>3.3912317E7</v>
      </c>
      <c r="W371" s="32" t="str">
        <f>"－"</f>
        <v>－</v>
      </c>
      <c r="X371" s="36" t="n">
        <f>22</f>
        <v>22.0</v>
      </c>
    </row>
    <row r="372">
      <c r="A372" s="27" t="s">
        <v>42</v>
      </c>
      <c r="B372" s="27" t="s">
        <v>1167</v>
      </c>
      <c r="C372" s="27" t="s">
        <v>1168</v>
      </c>
      <c r="D372" s="27" t="s">
        <v>1169</v>
      </c>
      <c r="E372" s="28" t="s">
        <v>46</v>
      </c>
      <c r="F372" s="29" t="s">
        <v>46</v>
      </c>
      <c r="G372" s="30" t="s">
        <v>46</v>
      </c>
      <c r="H372" s="31"/>
      <c r="I372" s="31" t="s">
        <v>47</v>
      </c>
      <c r="J372" s="32" t="n">
        <v>1.0</v>
      </c>
      <c r="K372" s="33" t="n">
        <f>1138</f>
        <v>1138.0</v>
      </c>
      <c r="L372" s="34" t="s">
        <v>48</v>
      </c>
      <c r="M372" s="33" t="n">
        <f>1229</f>
        <v>1229.0</v>
      </c>
      <c r="N372" s="34" t="s">
        <v>49</v>
      </c>
      <c r="O372" s="33" t="n">
        <f>1128</f>
        <v>1128.0</v>
      </c>
      <c r="P372" s="34" t="s">
        <v>72</v>
      </c>
      <c r="Q372" s="33" t="n">
        <f>1221</f>
        <v>1221.0</v>
      </c>
      <c r="R372" s="34" t="s">
        <v>51</v>
      </c>
      <c r="S372" s="35" t="n">
        <f>1186.09</f>
        <v>1186.09</v>
      </c>
      <c r="T372" s="32" t="n">
        <f>4154471</f>
        <v>4154471.0</v>
      </c>
      <c r="U372" s="32" t="n">
        <f>18681</f>
        <v>18681.0</v>
      </c>
      <c r="V372" s="32" t="n">
        <f>4918275953</f>
        <v>4.918275953E9</v>
      </c>
      <c r="W372" s="32" t="n">
        <f>21796572</f>
        <v>2.1796572E7</v>
      </c>
      <c r="X372" s="36" t="n">
        <f>22</f>
        <v>22.0</v>
      </c>
    </row>
    <row r="373">
      <c r="A373" s="27" t="s">
        <v>42</v>
      </c>
      <c r="B373" s="27" t="s">
        <v>1170</v>
      </c>
      <c r="C373" s="27" t="s">
        <v>1171</v>
      </c>
      <c r="D373" s="27" t="s">
        <v>1172</v>
      </c>
      <c r="E373" s="28" t="s">
        <v>46</v>
      </c>
      <c r="F373" s="29" t="s">
        <v>46</v>
      </c>
      <c r="G373" s="30" t="s">
        <v>46</v>
      </c>
      <c r="H373" s="31"/>
      <c r="I373" s="31" t="s">
        <v>47</v>
      </c>
      <c r="J373" s="32" t="n">
        <v>1.0</v>
      </c>
      <c r="K373" s="33" t="n">
        <f>1006</f>
        <v>1006.0</v>
      </c>
      <c r="L373" s="34" t="s">
        <v>48</v>
      </c>
      <c r="M373" s="33" t="n">
        <f>1062</f>
        <v>1062.0</v>
      </c>
      <c r="N373" s="34" t="s">
        <v>50</v>
      </c>
      <c r="O373" s="33" t="n">
        <f>1001</f>
        <v>1001.0</v>
      </c>
      <c r="P373" s="34" t="s">
        <v>48</v>
      </c>
      <c r="Q373" s="33" t="n">
        <f>1051</f>
        <v>1051.0</v>
      </c>
      <c r="R373" s="34" t="s">
        <v>51</v>
      </c>
      <c r="S373" s="35" t="n">
        <f>1041.73</f>
        <v>1041.73</v>
      </c>
      <c r="T373" s="32" t="n">
        <f>862805</f>
        <v>862805.0</v>
      </c>
      <c r="U373" s="32" t="n">
        <f>15</f>
        <v>15.0</v>
      </c>
      <c r="V373" s="32" t="n">
        <f>894653886</f>
        <v>8.94653886E8</v>
      </c>
      <c r="W373" s="32" t="n">
        <f>15850</f>
        <v>15850.0</v>
      </c>
      <c r="X373" s="36" t="n">
        <f>22</f>
        <v>22.0</v>
      </c>
    </row>
    <row r="374">
      <c r="A374" s="27" t="s">
        <v>42</v>
      </c>
      <c r="B374" s="27" t="s">
        <v>1173</v>
      </c>
      <c r="C374" s="27" t="s">
        <v>1174</v>
      </c>
      <c r="D374" s="27" t="s">
        <v>1175</v>
      </c>
      <c r="E374" s="28" t="s">
        <v>46</v>
      </c>
      <c r="F374" s="29" t="s">
        <v>46</v>
      </c>
      <c r="G374" s="30" t="s">
        <v>46</v>
      </c>
      <c r="H374" s="31"/>
      <c r="I374" s="31" t="s">
        <v>47</v>
      </c>
      <c r="J374" s="32" t="n">
        <v>1.0</v>
      </c>
      <c r="K374" s="33" t="n">
        <f>1069</f>
        <v>1069.0</v>
      </c>
      <c r="L374" s="34" t="s">
        <v>48</v>
      </c>
      <c r="M374" s="33" t="n">
        <f>1143</f>
        <v>1143.0</v>
      </c>
      <c r="N374" s="34" t="s">
        <v>49</v>
      </c>
      <c r="O374" s="33" t="n">
        <f>1044</f>
        <v>1044.0</v>
      </c>
      <c r="P374" s="34" t="s">
        <v>83</v>
      </c>
      <c r="Q374" s="33" t="n">
        <f>1079</f>
        <v>1079.0</v>
      </c>
      <c r="R374" s="34" t="s">
        <v>51</v>
      </c>
      <c r="S374" s="35" t="n">
        <f>1079.45</f>
        <v>1079.45</v>
      </c>
      <c r="T374" s="32" t="n">
        <f>7071</f>
        <v>7071.0</v>
      </c>
      <c r="U374" s="32" t="str">
        <f>"－"</f>
        <v>－</v>
      </c>
      <c r="V374" s="32" t="n">
        <f>7661519</f>
        <v>7661519.0</v>
      </c>
      <c r="W374" s="32" t="str">
        <f>"－"</f>
        <v>－</v>
      </c>
      <c r="X374" s="36" t="n">
        <f>22</f>
        <v>22.0</v>
      </c>
    </row>
    <row r="375">
      <c r="A375" s="27" t="s">
        <v>42</v>
      </c>
      <c r="B375" s="27" t="s">
        <v>1176</v>
      </c>
      <c r="C375" s="27" t="s">
        <v>1177</v>
      </c>
      <c r="D375" s="27" t="s">
        <v>1178</v>
      </c>
      <c r="E375" s="28" t="s">
        <v>46</v>
      </c>
      <c r="F375" s="29" t="s">
        <v>46</v>
      </c>
      <c r="G375" s="30" t="s">
        <v>46</v>
      </c>
      <c r="H375" s="31"/>
      <c r="I375" s="31" t="s">
        <v>47</v>
      </c>
      <c r="J375" s="32" t="n">
        <v>1.0</v>
      </c>
      <c r="K375" s="33" t="n">
        <f>1030</f>
        <v>1030.0</v>
      </c>
      <c r="L375" s="34" t="s">
        <v>48</v>
      </c>
      <c r="M375" s="33" t="n">
        <f>1104</f>
        <v>1104.0</v>
      </c>
      <c r="N375" s="34" t="s">
        <v>50</v>
      </c>
      <c r="O375" s="33" t="n">
        <f>1025</f>
        <v>1025.0</v>
      </c>
      <c r="P375" s="34" t="s">
        <v>72</v>
      </c>
      <c r="Q375" s="33" t="n">
        <f>1095</f>
        <v>1095.0</v>
      </c>
      <c r="R375" s="34" t="s">
        <v>51</v>
      </c>
      <c r="S375" s="35" t="n">
        <f>1072.82</f>
        <v>1072.82</v>
      </c>
      <c r="T375" s="32" t="n">
        <f>849455</f>
        <v>849455.0</v>
      </c>
      <c r="U375" s="32" t="n">
        <f>74</f>
        <v>74.0</v>
      </c>
      <c r="V375" s="32" t="n">
        <f>910415789</f>
        <v>9.10415789E8</v>
      </c>
      <c r="W375" s="32" t="n">
        <f>81096</f>
        <v>81096.0</v>
      </c>
      <c r="X375" s="36" t="n">
        <f>22</f>
        <v>22.0</v>
      </c>
    </row>
    <row r="376">
      <c r="A376" s="27" t="s">
        <v>42</v>
      </c>
      <c r="B376" s="27" t="s">
        <v>1179</v>
      </c>
      <c r="C376" s="27" t="s">
        <v>1180</v>
      </c>
      <c r="D376" s="27" t="s">
        <v>1181</v>
      </c>
      <c r="E376" s="28" t="s">
        <v>46</v>
      </c>
      <c r="F376" s="29" t="s">
        <v>46</v>
      </c>
      <c r="G376" s="30" t="s">
        <v>46</v>
      </c>
      <c r="H376" s="31"/>
      <c r="I376" s="31" t="s">
        <v>47</v>
      </c>
      <c r="J376" s="32" t="n">
        <v>1.0</v>
      </c>
      <c r="K376" s="33" t="n">
        <f>43970</f>
        <v>43970.0</v>
      </c>
      <c r="L376" s="34" t="s">
        <v>48</v>
      </c>
      <c r="M376" s="33" t="n">
        <f>46260</f>
        <v>46260.0</v>
      </c>
      <c r="N376" s="34" t="s">
        <v>49</v>
      </c>
      <c r="O376" s="33" t="n">
        <f>42370</f>
        <v>42370.0</v>
      </c>
      <c r="P376" s="34" t="s">
        <v>72</v>
      </c>
      <c r="Q376" s="33" t="n">
        <f>44530</f>
        <v>44530.0</v>
      </c>
      <c r="R376" s="34" t="s">
        <v>51</v>
      </c>
      <c r="S376" s="35" t="n">
        <f>44365.45</f>
        <v>44365.45</v>
      </c>
      <c r="T376" s="32" t="n">
        <f>239831</f>
        <v>239831.0</v>
      </c>
      <c r="U376" s="32" t="n">
        <f>1160</f>
        <v>1160.0</v>
      </c>
      <c r="V376" s="32" t="n">
        <f>10667957044</f>
        <v>1.0667957044E10</v>
      </c>
      <c r="W376" s="32" t="n">
        <f>49395364</f>
        <v>4.9395364E7</v>
      </c>
      <c r="X376" s="36" t="n">
        <f>22</f>
        <v>22.0</v>
      </c>
    </row>
    <row r="377">
      <c r="A377" s="27" t="s">
        <v>42</v>
      </c>
      <c r="B377" s="27" t="s">
        <v>1182</v>
      </c>
      <c r="C377" s="27" t="s">
        <v>1183</v>
      </c>
      <c r="D377" s="27" t="s">
        <v>1184</v>
      </c>
      <c r="E377" s="28" t="s">
        <v>46</v>
      </c>
      <c r="F377" s="29" t="s">
        <v>46</v>
      </c>
      <c r="G377" s="30" t="s">
        <v>46</v>
      </c>
      <c r="H377" s="31"/>
      <c r="I377" s="31" t="s">
        <v>47</v>
      </c>
      <c r="J377" s="32" t="n">
        <v>1.0</v>
      </c>
      <c r="K377" s="33" t="n">
        <f>19400</f>
        <v>19400.0</v>
      </c>
      <c r="L377" s="34" t="s">
        <v>48</v>
      </c>
      <c r="M377" s="33" t="n">
        <f>20100</f>
        <v>20100.0</v>
      </c>
      <c r="N377" s="34" t="s">
        <v>72</v>
      </c>
      <c r="O377" s="33" t="n">
        <f>18295</f>
        <v>18295.0</v>
      </c>
      <c r="P377" s="34" t="s">
        <v>49</v>
      </c>
      <c r="Q377" s="33" t="n">
        <f>18995</f>
        <v>18995.0</v>
      </c>
      <c r="R377" s="34" t="s">
        <v>51</v>
      </c>
      <c r="S377" s="35" t="n">
        <f>19172.27</f>
        <v>19172.27</v>
      </c>
      <c r="T377" s="32" t="n">
        <f>204023</f>
        <v>204023.0</v>
      </c>
      <c r="U377" s="32" t="n">
        <f>154</f>
        <v>154.0</v>
      </c>
      <c r="V377" s="32" t="n">
        <f>3908169945</f>
        <v>3.908169945E9</v>
      </c>
      <c r="W377" s="32" t="n">
        <f>2911750</f>
        <v>2911750.0</v>
      </c>
      <c r="X377" s="36" t="n">
        <f>22</f>
        <v>22.0</v>
      </c>
    </row>
    <row r="378">
      <c r="A378" s="27" t="s">
        <v>42</v>
      </c>
      <c r="B378" s="27" t="s">
        <v>1185</v>
      </c>
      <c r="C378" s="27" t="s">
        <v>1186</v>
      </c>
      <c r="D378" s="27" t="s">
        <v>1187</v>
      </c>
      <c r="E378" s="28" t="s">
        <v>46</v>
      </c>
      <c r="F378" s="29" t="s">
        <v>46</v>
      </c>
      <c r="G378" s="30" t="s">
        <v>46</v>
      </c>
      <c r="H378" s="31"/>
      <c r="I378" s="31" t="s">
        <v>47</v>
      </c>
      <c r="J378" s="32" t="n">
        <v>1.0</v>
      </c>
      <c r="K378" s="33" t="n">
        <f>122800</f>
        <v>122800.0</v>
      </c>
      <c r="L378" s="34" t="s">
        <v>48</v>
      </c>
      <c r="M378" s="33" t="n">
        <f>122800</f>
        <v>122800.0</v>
      </c>
      <c r="N378" s="34" t="s">
        <v>48</v>
      </c>
      <c r="O378" s="33" t="n">
        <f>115100</f>
        <v>115100.0</v>
      </c>
      <c r="P378" s="34" t="s">
        <v>60</v>
      </c>
      <c r="Q378" s="33" t="n">
        <f>116000</f>
        <v>116000.0</v>
      </c>
      <c r="R378" s="34" t="s">
        <v>51</v>
      </c>
      <c r="S378" s="35" t="n">
        <f>118009.09</f>
        <v>118009.09</v>
      </c>
      <c r="T378" s="32" t="n">
        <f>11219</f>
        <v>11219.0</v>
      </c>
      <c r="U378" s="32" t="n">
        <f>2679</f>
        <v>2679.0</v>
      </c>
      <c r="V378" s="32" t="n">
        <f>1324305979</f>
        <v>1.324305979E9</v>
      </c>
      <c r="W378" s="32" t="n">
        <f>316713179</f>
        <v>3.16713179E8</v>
      </c>
      <c r="X378" s="36" t="n">
        <f>22</f>
        <v>22.0</v>
      </c>
    </row>
    <row r="379">
      <c r="A379" s="27" t="s">
        <v>42</v>
      </c>
      <c r="B379" s="27" t="s">
        <v>1188</v>
      </c>
      <c r="C379" s="27" t="s">
        <v>1189</v>
      </c>
      <c r="D379" s="27" t="s">
        <v>1190</v>
      </c>
      <c r="E379" s="28" t="s">
        <v>46</v>
      </c>
      <c r="F379" s="29" t="s">
        <v>46</v>
      </c>
      <c r="G379" s="30" t="s">
        <v>46</v>
      </c>
      <c r="H379" s="31"/>
      <c r="I379" s="31" t="s">
        <v>428</v>
      </c>
      <c r="J379" s="32" t="n">
        <v>1.0</v>
      </c>
      <c r="K379" s="33" t="n">
        <f>84000</f>
        <v>84000.0</v>
      </c>
      <c r="L379" s="34" t="s">
        <v>48</v>
      </c>
      <c r="M379" s="33" t="n">
        <f>84500</f>
        <v>84500.0</v>
      </c>
      <c r="N379" s="34" t="s">
        <v>83</v>
      </c>
      <c r="O379" s="33" t="n">
        <f>78400</f>
        <v>78400.0</v>
      </c>
      <c r="P379" s="34" t="s">
        <v>50</v>
      </c>
      <c r="Q379" s="33" t="n">
        <f>79100</f>
        <v>79100.0</v>
      </c>
      <c r="R379" s="34" t="s">
        <v>51</v>
      </c>
      <c r="S379" s="35" t="n">
        <f>81104.55</f>
        <v>81104.55</v>
      </c>
      <c r="T379" s="32" t="n">
        <f>25290</f>
        <v>25290.0</v>
      </c>
      <c r="U379" s="32" t="n">
        <f>4824</f>
        <v>4824.0</v>
      </c>
      <c r="V379" s="32" t="n">
        <f>2056514257</f>
        <v>2.056514257E9</v>
      </c>
      <c r="W379" s="32" t="n">
        <f>393784757</f>
        <v>3.93784757E8</v>
      </c>
      <c r="X379" s="36" t="n">
        <f>22</f>
        <v>22.0</v>
      </c>
    </row>
    <row r="380">
      <c r="A380" s="27" t="s">
        <v>42</v>
      </c>
      <c r="B380" s="27" t="s">
        <v>1191</v>
      </c>
      <c r="C380" s="27" t="s">
        <v>1192</v>
      </c>
      <c r="D380" s="27" t="s">
        <v>1193</v>
      </c>
      <c r="E380" s="28" t="s">
        <v>46</v>
      </c>
      <c r="F380" s="29" t="s">
        <v>46</v>
      </c>
      <c r="G380" s="30" t="s">
        <v>46</v>
      </c>
      <c r="H380" s="31"/>
      <c r="I380" s="31" t="s">
        <v>47</v>
      </c>
      <c r="J380" s="32" t="n">
        <v>1.0</v>
      </c>
      <c r="K380" s="33" t="n">
        <f>115800</f>
        <v>115800.0</v>
      </c>
      <c r="L380" s="34" t="s">
        <v>48</v>
      </c>
      <c r="M380" s="33" t="n">
        <f>115800</f>
        <v>115800.0</v>
      </c>
      <c r="N380" s="34" t="s">
        <v>48</v>
      </c>
      <c r="O380" s="33" t="n">
        <f>109100</f>
        <v>109100.0</v>
      </c>
      <c r="P380" s="34" t="s">
        <v>56</v>
      </c>
      <c r="Q380" s="33" t="n">
        <f>110000</f>
        <v>110000.0</v>
      </c>
      <c r="R380" s="34" t="s">
        <v>51</v>
      </c>
      <c r="S380" s="35" t="n">
        <f>111718.18</f>
        <v>111718.18</v>
      </c>
      <c r="T380" s="32" t="n">
        <f>37750</f>
        <v>37750.0</v>
      </c>
      <c r="U380" s="32" t="n">
        <f>7396</f>
        <v>7396.0</v>
      </c>
      <c r="V380" s="32" t="n">
        <f>4213671599</f>
        <v>4.213671599E9</v>
      </c>
      <c r="W380" s="32" t="n">
        <f>827377599</f>
        <v>8.27377599E8</v>
      </c>
      <c r="X380" s="36" t="n">
        <f>22</f>
        <v>22.0</v>
      </c>
    </row>
    <row r="381">
      <c r="A381" s="27" t="s">
        <v>42</v>
      </c>
      <c r="B381" s="27" t="s">
        <v>1194</v>
      </c>
      <c r="C381" s="27" t="s">
        <v>1195</v>
      </c>
      <c r="D381" s="27" t="s">
        <v>1196</v>
      </c>
      <c r="E381" s="28" t="s">
        <v>46</v>
      </c>
      <c r="F381" s="29" t="s">
        <v>46</v>
      </c>
      <c r="G381" s="30" t="s">
        <v>46</v>
      </c>
      <c r="H381" s="31"/>
      <c r="I381" s="31" t="s">
        <v>428</v>
      </c>
      <c r="J381" s="32" t="n">
        <v>1.0</v>
      </c>
      <c r="K381" s="33" t="n">
        <f>113600</f>
        <v>113600.0</v>
      </c>
      <c r="L381" s="34" t="s">
        <v>48</v>
      </c>
      <c r="M381" s="33" t="n">
        <f>113600</f>
        <v>113600.0</v>
      </c>
      <c r="N381" s="34" t="s">
        <v>48</v>
      </c>
      <c r="O381" s="33" t="n">
        <f>105200</f>
        <v>105200.0</v>
      </c>
      <c r="P381" s="34" t="s">
        <v>60</v>
      </c>
      <c r="Q381" s="33" t="n">
        <f>107400</f>
        <v>107400.0</v>
      </c>
      <c r="R381" s="34" t="s">
        <v>51</v>
      </c>
      <c r="S381" s="35" t="n">
        <f>108972.73</f>
        <v>108972.73</v>
      </c>
      <c r="T381" s="32" t="n">
        <f>23155</f>
        <v>23155.0</v>
      </c>
      <c r="U381" s="32" t="n">
        <f>1972</f>
        <v>1972.0</v>
      </c>
      <c r="V381" s="32" t="n">
        <f>2511896520</f>
        <v>2.51189652E9</v>
      </c>
      <c r="W381" s="32" t="n">
        <f>214022920</f>
        <v>2.1402292E8</v>
      </c>
      <c r="X381" s="36" t="n">
        <f>22</f>
        <v>22.0</v>
      </c>
    </row>
    <row r="382">
      <c r="A382" s="27" t="s">
        <v>42</v>
      </c>
      <c r="B382" s="27" t="s">
        <v>1197</v>
      </c>
      <c r="C382" s="27" t="s">
        <v>1198</v>
      </c>
      <c r="D382" s="27" t="s">
        <v>1199</v>
      </c>
      <c r="E382" s="28" t="s">
        <v>46</v>
      </c>
      <c r="F382" s="29" t="s">
        <v>46</v>
      </c>
      <c r="G382" s="30" t="s">
        <v>46</v>
      </c>
      <c r="H382" s="31"/>
      <c r="I382" s="31" t="s">
        <v>47</v>
      </c>
      <c r="J382" s="32" t="n">
        <v>1.0</v>
      </c>
      <c r="K382" s="33" t="n">
        <f>640000</f>
        <v>640000.0</v>
      </c>
      <c r="L382" s="34" t="s">
        <v>48</v>
      </c>
      <c r="M382" s="33" t="n">
        <f>645000</f>
        <v>645000.0</v>
      </c>
      <c r="N382" s="34" t="s">
        <v>534</v>
      </c>
      <c r="O382" s="33" t="n">
        <f>602000</f>
        <v>602000.0</v>
      </c>
      <c r="P382" s="34" t="s">
        <v>92</v>
      </c>
      <c r="Q382" s="33" t="n">
        <f>610000</f>
        <v>610000.0</v>
      </c>
      <c r="R382" s="34" t="s">
        <v>51</v>
      </c>
      <c r="S382" s="35" t="n">
        <f>623909.09</f>
        <v>623909.09</v>
      </c>
      <c r="T382" s="32" t="n">
        <f>38273</f>
        <v>38273.0</v>
      </c>
      <c r="U382" s="32" t="n">
        <f>12151</f>
        <v>12151.0</v>
      </c>
      <c r="V382" s="32" t="n">
        <f>23954039883</f>
        <v>2.3954039883E10</v>
      </c>
      <c r="W382" s="32" t="n">
        <f>7650362883</f>
        <v>7.650362883E9</v>
      </c>
      <c r="X382" s="36" t="n">
        <f>22</f>
        <v>22.0</v>
      </c>
    </row>
    <row r="383">
      <c r="A383" s="27" t="s">
        <v>42</v>
      </c>
      <c r="B383" s="27" t="s">
        <v>1200</v>
      </c>
      <c r="C383" s="27" t="s">
        <v>1201</v>
      </c>
      <c r="D383" s="27" t="s">
        <v>1202</v>
      </c>
      <c r="E383" s="28" t="s">
        <v>46</v>
      </c>
      <c r="F383" s="29" t="s">
        <v>46</v>
      </c>
      <c r="G383" s="30" t="s">
        <v>46</v>
      </c>
      <c r="H383" s="31"/>
      <c r="I383" s="31" t="s">
        <v>47</v>
      </c>
      <c r="J383" s="32" t="n">
        <v>1.0</v>
      </c>
      <c r="K383" s="33" t="n">
        <f>128500</f>
        <v>128500.0</v>
      </c>
      <c r="L383" s="34" t="s">
        <v>48</v>
      </c>
      <c r="M383" s="33" t="n">
        <f>129400</f>
        <v>129400.0</v>
      </c>
      <c r="N383" s="34" t="s">
        <v>337</v>
      </c>
      <c r="O383" s="33" t="n">
        <f>126400</f>
        <v>126400.0</v>
      </c>
      <c r="P383" s="34" t="s">
        <v>50</v>
      </c>
      <c r="Q383" s="33" t="n">
        <f>126800</f>
        <v>126800.0</v>
      </c>
      <c r="R383" s="34" t="s">
        <v>51</v>
      </c>
      <c r="S383" s="35" t="n">
        <f>127759.09</f>
        <v>127759.09</v>
      </c>
      <c r="T383" s="32" t="n">
        <f>116357</f>
        <v>116357.0</v>
      </c>
      <c r="U383" s="32" t="n">
        <f>22852</f>
        <v>22852.0</v>
      </c>
      <c r="V383" s="32" t="n">
        <f>14867992657</f>
        <v>1.4867992657E10</v>
      </c>
      <c r="W383" s="32" t="n">
        <f>2921326357</f>
        <v>2.921326357E9</v>
      </c>
      <c r="X383" s="36" t="n">
        <f>22</f>
        <v>22.0</v>
      </c>
    </row>
    <row r="384">
      <c r="A384" s="27" t="s">
        <v>42</v>
      </c>
      <c r="B384" s="27" t="s">
        <v>1203</v>
      </c>
      <c r="C384" s="27" t="s">
        <v>1204</v>
      </c>
      <c r="D384" s="27" t="s">
        <v>1205</v>
      </c>
      <c r="E384" s="28" t="s">
        <v>46</v>
      </c>
      <c r="F384" s="29" t="s">
        <v>46</v>
      </c>
      <c r="G384" s="30" t="s">
        <v>46</v>
      </c>
      <c r="H384" s="31"/>
      <c r="I384" s="31" t="s">
        <v>47</v>
      </c>
      <c r="J384" s="32" t="n">
        <v>1.0</v>
      </c>
      <c r="K384" s="33" t="n">
        <f>119300</f>
        <v>119300.0</v>
      </c>
      <c r="L384" s="34" t="s">
        <v>48</v>
      </c>
      <c r="M384" s="33" t="n">
        <f>120500</f>
        <v>120500.0</v>
      </c>
      <c r="N384" s="34" t="s">
        <v>64</v>
      </c>
      <c r="O384" s="33" t="n">
        <f>114000</f>
        <v>114000.0</v>
      </c>
      <c r="P384" s="34" t="s">
        <v>56</v>
      </c>
      <c r="Q384" s="33" t="n">
        <f>115200</f>
        <v>115200.0</v>
      </c>
      <c r="R384" s="34" t="s">
        <v>51</v>
      </c>
      <c r="S384" s="35" t="n">
        <f>116490.91</f>
        <v>116490.91</v>
      </c>
      <c r="T384" s="32" t="n">
        <f>199158</f>
        <v>199158.0</v>
      </c>
      <c r="U384" s="32" t="n">
        <f>27166</f>
        <v>27166.0</v>
      </c>
      <c r="V384" s="32" t="n">
        <f>23213481544</f>
        <v>2.3213481544E10</v>
      </c>
      <c r="W384" s="32" t="n">
        <f>3172495944</f>
        <v>3.172495944E9</v>
      </c>
      <c r="X384" s="36" t="n">
        <f>22</f>
        <v>22.0</v>
      </c>
    </row>
    <row r="385">
      <c r="A385" s="27" t="s">
        <v>42</v>
      </c>
      <c r="B385" s="27" t="s">
        <v>1206</v>
      </c>
      <c r="C385" s="27" t="s">
        <v>1207</v>
      </c>
      <c r="D385" s="27" t="s">
        <v>1208</v>
      </c>
      <c r="E385" s="28" t="s">
        <v>46</v>
      </c>
      <c r="F385" s="29" t="s">
        <v>46</v>
      </c>
      <c r="G385" s="30" t="s">
        <v>46</v>
      </c>
      <c r="H385" s="31"/>
      <c r="I385" s="31" t="s">
        <v>47</v>
      </c>
      <c r="J385" s="32" t="n">
        <v>1.0</v>
      </c>
      <c r="K385" s="33" t="n">
        <f>337000</f>
        <v>337000.0</v>
      </c>
      <c r="L385" s="34" t="s">
        <v>48</v>
      </c>
      <c r="M385" s="33" t="n">
        <f>337500</f>
        <v>337500.0</v>
      </c>
      <c r="N385" s="34" t="s">
        <v>48</v>
      </c>
      <c r="O385" s="33" t="n">
        <f>305000</f>
        <v>305000.0</v>
      </c>
      <c r="P385" s="34" t="s">
        <v>51</v>
      </c>
      <c r="Q385" s="33" t="n">
        <f>306000</f>
        <v>306000.0</v>
      </c>
      <c r="R385" s="34" t="s">
        <v>51</v>
      </c>
      <c r="S385" s="35" t="n">
        <f>317227.27</f>
        <v>317227.27</v>
      </c>
      <c r="T385" s="32" t="n">
        <f>82157</f>
        <v>82157.0</v>
      </c>
      <c r="U385" s="32" t="n">
        <f>23840</f>
        <v>23840.0</v>
      </c>
      <c r="V385" s="32" t="n">
        <f>26015734404</f>
        <v>2.6015734404E10</v>
      </c>
      <c r="W385" s="32" t="n">
        <f>7543715404</f>
        <v>7.543715404E9</v>
      </c>
      <c r="X385" s="36" t="n">
        <f>22</f>
        <v>22.0</v>
      </c>
    </row>
    <row r="386">
      <c r="A386" s="27" t="s">
        <v>42</v>
      </c>
      <c r="B386" s="27" t="s">
        <v>1209</v>
      </c>
      <c r="C386" s="27" t="s">
        <v>1210</v>
      </c>
      <c r="D386" s="27" t="s">
        <v>1211</v>
      </c>
      <c r="E386" s="28" t="s">
        <v>46</v>
      </c>
      <c r="F386" s="29" t="s">
        <v>46</v>
      </c>
      <c r="G386" s="30" t="s">
        <v>46</v>
      </c>
      <c r="H386" s="31"/>
      <c r="I386" s="31" t="s">
        <v>47</v>
      </c>
      <c r="J386" s="32" t="n">
        <v>1.0</v>
      </c>
      <c r="K386" s="33" t="n">
        <f>329000</f>
        <v>329000.0</v>
      </c>
      <c r="L386" s="34" t="s">
        <v>48</v>
      </c>
      <c r="M386" s="33" t="n">
        <f>334000</f>
        <v>334000.0</v>
      </c>
      <c r="N386" s="34" t="s">
        <v>83</v>
      </c>
      <c r="O386" s="33" t="n">
        <f>323000</f>
        <v>323000.0</v>
      </c>
      <c r="P386" s="34" t="s">
        <v>267</v>
      </c>
      <c r="Q386" s="33" t="n">
        <f>325000</f>
        <v>325000.0</v>
      </c>
      <c r="R386" s="34" t="s">
        <v>51</v>
      </c>
      <c r="S386" s="35" t="n">
        <f>327681.82</f>
        <v>327681.82</v>
      </c>
      <c r="T386" s="32" t="n">
        <f>55329</f>
        <v>55329.0</v>
      </c>
      <c r="U386" s="32" t="n">
        <f>12858</f>
        <v>12858.0</v>
      </c>
      <c r="V386" s="32" t="n">
        <f>18143033651</f>
        <v>1.8143033651E10</v>
      </c>
      <c r="W386" s="32" t="n">
        <f>4221575151</f>
        <v>4.221575151E9</v>
      </c>
      <c r="X386" s="36" t="n">
        <f>22</f>
        <v>22.0</v>
      </c>
    </row>
    <row r="387">
      <c r="A387" s="27" t="s">
        <v>42</v>
      </c>
      <c r="B387" s="27" t="s">
        <v>1212</v>
      </c>
      <c r="C387" s="27" t="s">
        <v>1213</v>
      </c>
      <c r="D387" s="27" t="s">
        <v>1214</v>
      </c>
      <c r="E387" s="28" t="s">
        <v>46</v>
      </c>
      <c r="F387" s="29" t="s">
        <v>46</v>
      </c>
      <c r="G387" s="30" t="s">
        <v>46</v>
      </c>
      <c r="H387" s="31"/>
      <c r="I387" s="31" t="s">
        <v>47</v>
      </c>
      <c r="J387" s="32" t="n">
        <v>1.0</v>
      </c>
      <c r="K387" s="33" t="n">
        <f>133600</f>
        <v>133600.0</v>
      </c>
      <c r="L387" s="34" t="s">
        <v>48</v>
      </c>
      <c r="M387" s="33" t="n">
        <f>136600</f>
        <v>136600.0</v>
      </c>
      <c r="N387" s="34" t="s">
        <v>219</v>
      </c>
      <c r="O387" s="33" t="n">
        <f>128600</f>
        <v>128600.0</v>
      </c>
      <c r="P387" s="34" t="s">
        <v>194</v>
      </c>
      <c r="Q387" s="33" t="n">
        <f>134100</f>
        <v>134100.0</v>
      </c>
      <c r="R387" s="34" t="s">
        <v>51</v>
      </c>
      <c r="S387" s="35" t="n">
        <f>132286.36</f>
        <v>132286.36</v>
      </c>
      <c r="T387" s="32" t="n">
        <f>353156</f>
        <v>353156.0</v>
      </c>
      <c r="U387" s="32" t="n">
        <f>91125</f>
        <v>91125.0</v>
      </c>
      <c r="V387" s="32" t="n">
        <f>46858339310</f>
        <v>4.685833931E10</v>
      </c>
      <c r="W387" s="32" t="n">
        <f>12094742410</f>
        <v>1.209474241E10</v>
      </c>
      <c r="X387" s="36" t="n">
        <f>22</f>
        <v>22.0</v>
      </c>
    </row>
    <row r="388">
      <c r="A388" s="27" t="s">
        <v>42</v>
      </c>
      <c r="B388" s="27" t="s">
        <v>1215</v>
      </c>
      <c r="C388" s="27" t="s">
        <v>1216</v>
      </c>
      <c r="D388" s="27" t="s">
        <v>1217</v>
      </c>
      <c r="E388" s="28" t="s">
        <v>46</v>
      </c>
      <c r="F388" s="29" t="s">
        <v>46</v>
      </c>
      <c r="G388" s="30" t="s">
        <v>46</v>
      </c>
      <c r="H388" s="31"/>
      <c r="I388" s="31" t="s">
        <v>47</v>
      </c>
      <c r="J388" s="32" t="n">
        <v>1.0</v>
      </c>
      <c r="K388" s="33" t="n">
        <f>323000</f>
        <v>323000.0</v>
      </c>
      <c r="L388" s="34" t="s">
        <v>48</v>
      </c>
      <c r="M388" s="33" t="n">
        <f>324000</f>
        <v>324000.0</v>
      </c>
      <c r="N388" s="34" t="s">
        <v>48</v>
      </c>
      <c r="O388" s="33" t="n">
        <f>297300</f>
        <v>297300.0</v>
      </c>
      <c r="P388" s="34" t="s">
        <v>51</v>
      </c>
      <c r="Q388" s="33" t="n">
        <f>298900</f>
        <v>298900.0</v>
      </c>
      <c r="R388" s="34" t="s">
        <v>51</v>
      </c>
      <c r="S388" s="35" t="n">
        <f>307177.27</f>
        <v>307177.27</v>
      </c>
      <c r="T388" s="32" t="n">
        <f>46094</f>
        <v>46094.0</v>
      </c>
      <c r="U388" s="32" t="n">
        <f>12344</f>
        <v>12344.0</v>
      </c>
      <c r="V388" s="32" t="n">
        <f>14143955906</f>
        <v>1.4143955906E10</v>
      </c>
      <c r="W388" s="32" t="n">
        <f>3795051306</f>
        <v>3.795051306E9</v>
      </c>
      <c r="X388" s="36" t="n">
        <f>22</f>
        <v>22.0</v>
      </c>
    </row>
    <row r="389">
      <c r="A389" s="27" t="s">
        <v>42</v>
      </c>
      <c r="B389" s="27" t="s">
        <v>1218</v>
      </c>
      <c r="C389" s="27" t="s">
        <v>1219</v>
      </c>
      <c r="D389" s="27" t="s">
        <v>1220</v>
      </c>
      <c r="E389" s="28" t="s">
        <v>46</v>
      </c>
      <c r="F389" s="29" t="s">
        <v>46</v>
      </c>
      <c r="G389" s="30" t="s">
        <v>46</v>
      </c>
      <c r="H389" s="31"/>
      <c r="I389" s="31" t="s">
        <v>47</v>
      </c>
      <c r="J389" s="32" t="n">
        <v>1.0</v>
      </c>
      <c r="K389" s="33" t="n">
        <f>246200</f>
        <v>246200.0</v>
      </c>
      <c r="L389" s="34" t="s">
        <v>48</v>
      </c>
      <c r="M389" s="33" t="n">
        <f>248500</f>
        <v>248500.0</v>
      </c>
      <c r="N389" s="34" t="s">
        <v>534</v>
      </c>
      <c r="O389" s="33" t="n">
        <f>238500</f>
        <v>238500.0</v>
      </c>
      <c r="P389" s="34" t="s">
        <v>92</v>
      </c>
      <c r="Q389" s="33" t="n">
        <f>245000</f>
        <v>245000.0</v>
      </c>
      <c r="R389" s="34" t="s">
        <v>51</v>
      </c>
      <c r="S389" s="35" t="n">
        <f>244209.09</f>
        <v>244209.09</v>
      </c>
      <c r="T389" s="32" t="n">
        <f>195058</f>
        <v>195058.0</v>
      </c>
      <c r="U389" s="32" t="n">
        <f>35291</f>
        <v>35291.0</v>
      </c>
      <c r="V389" s="32" t="n">
        <f>47586190725</f>
        <v>4.7586190725E10</v>
      </c>
      <c r="W389" s="32" t="n">
        <f>8611121725</f>
        <v>8.611121725E9</v>
      </c>
      <c r="X389" s="36" t="n">
        <f>22</f>
        <v>22.0</v>
      </c>
    </row>
    <row r="390">
      <c r="A390" s="27" t="s">
        <v>42</v>
      </c>
      <c r="B390" s="27" t="s">
        <v>1221</v>
      </c>
      <c r="C390" s="27" t="s">
        <v>1222</v>
      </c>
      <c r="D390" s="27" t="s">
        <v>1223</v>
      </c>
      <c r="E390" s="28" t="s">
        <v>1057</v>
      </c>
      <c r="F390" s="29" t="s">
        <v>1058</v>
      </c>
      <c r="G390" s="30" t="s">
        <v>46</v>
      </c>
      <c r="H390" s="31"/>
      <c r="I390" s="31" t="s">
        <v>47</v>
      </c>
      <c r="J390" s="32" t="n">
        <v>1.0</v>
      </c>
      <c r="K390" s="33" t="n">
        <f>490500</f>
        <v>490500.0</v>
      </c>
      <c r="L390" s="34" t="s">
        <v>48</v>
      </c>
      <c r="M390" s="33" t="n">
        <f>490500</f>
        <v>490500.0</v>
      </c>
      <c r="N390" s="34" t="s">
        <v>48</v>
      </c>
      <c r="O390" s="33" t="n">
        <f>454000</f>
        <v>454000.0</v>
      </c>
      <c r="P390" s="34" t="s">
        <v>56</v>
      </c>
      <c r="Q390" s="33" t="n">
        <f>466500</f>
        <v>466500.0</v>
      </c>
      <c r="R390" s="34" t="s">
        <v>219</v>
      </c>
      <c r="S390" s="35" t="n">
        <f>472125</f>
        <v>472125.0</v>
      </c>
      <c r="T390" s="32" t="n">
        <f>25558</f>
        <v>25558.0</v>
      </c>
      <c r="U390" s="32" t="n">
        <f>2947</f>
        <v>2947.0</v>
      </c>
      <c r="V390" s="32" t="n">
        <f>12044078437</f>
        <v>1.2044078437E10</v>
      </c>
      <c r="W390" s="32" t="n">
        <f>1394285437</f>
        <v>1.394285437E9</v>
      </c>
      <c r="X390" s="36" t="n">
        <f>20</f>
        <v>20.0</v>
      </c>
    </row>
    <row r="391">
      <c r="A391" s="27" t="s">
        <v>42</v>
      </c>
      <c r="B391" s="27" t="s">
        <v>1221</v>
      </c>
      <c r="C391" s="27" t="s">
        <v>1222</v>
      </c>
      <c r="D391" s="27" t="s">
        <v>1223</v>
      </c>
      <c r="E391" s="28" t="s">
        <v>1057</v>
      </c>
      <c r="F391" s="29" t="s">
        <v>1058</v>
      </c>
      <c r="G391" s="30" t="s">
        <v>46</v>
      </c>
      <c r="H391" s="31"/>
      <c r="I391" s="31" t="s">
        <v>47</v>
      </c>
      <c r="J391" s="32" t="n">
        <v>1.0</v>
      </c>
      <c r="K391" s="33" t="n">
        <f>228400</f>
        <v>228400.0</v>
      </c>
      <c r="L391" s="34" t="s">
        <v>49</v>
      </c>
      <c r="M391" s="33" t="n">
        <f>232200</f>
        <v>232200.0</v>
      </c>
      <c r="N391" s="34" t="s">
        <v>49</v>
      </c>
      <c r="O391" s="33" t="n">
        <f>226800</f>
        <v>226800.0</v>
      </c>
      <c r="P391" s="34" t="s">
        <v>49</v>
      </c>
      <c r="Q391" s="33" t="n">
        <f>231500</f>
        <v>231500.0</v>
      </c>
      <c r="R391" s="34" t="s">
        <v>51</v>
      </c>
      <c r="S391" s="35" t="n">
        <f>230700</f>
        <v>230700.0</v>
      </c>
      <c r="T391" s="32" t="n">
        <f>6671</f>
        <v>6671.0</v>
      </c>
      <c r="U391" s="32" t="n">
        <f>366</f>
        <v>366.0</v>
      </c>
      <c r="V391" s="32" t="n">
        <f>1532376969</f>
        <v>1.532376969E9</v>
      </c>
      <c r="W391" s="32" t="n">
        <f>84105169</f>
        <v>8.4105169E7</v>
      </c>
      <c r="X391" s="36" t="n">
        <f>2</f>
        <v>2.0</v>
      </c>
    </row>
    <row r="392">
      <c r="A392" s="27" t="s">
        <v>42</v>
      </c>
      <c r="B392" s="27" t="s">
        <v>1224</v>
      </c>
      <c r="C392" s="27" t="s">
        <v>1225</v>
      </c>
      <c r="D392" s="27" t="s">
        <v>1226</v>
      </c>
      <c r="E392" s="28" t="s">
        <v>46</v>
      </c>
      <c r="F392" s="29" t="s">
        <v>46</v>
      </c>
      <c r="G392" s="30" t="s">
        <v>46</v>
      </c>
      <c r="H392" s="31"/>
      <c r="I392" s="31" t="s">
        <v>47</v>
      </c>
      <c r="J392" s="32" t="n">
        <v>1.0</v>
      </c>
      <c r="K392" s="33" t="n">
        <f>248100</f>
        <v>248100.0</v>
      </c>
      <c r="L392" s="34" t="s">
        <v>48</v>
      </c>
      <c r="M392" s="33" t="n">
        <f>252600</f>
        <v>252600.0</v>
      </c>
      <c r="N392" s="34" t="s">
        <v>64</v>
      </c>
      <c r="O392" s="33" t="n">
        <f>232500</f>
        <v>232500.0</v>
      </c>
      <c r="P392" s="34" t="s">
        <v>56</v>
      </c>
      <c r="Q392" s="33" t="n">
        <f>234000</f>
        <v>234000.0</v>
      </c>
      <c r="R392" s="34" t="s">
        <v>51</v>
      </c>
      <c r="S392" s="35" t="n">
        <f>242200</f>
        <v>242200.0</v>
      </c>
      <c r="T392" s="32" t="n">
        <f>13982</f>
        <v>13982.0</v>
      </c>
      <c r="U392" s="32" t="n">
        <f>2699</f>
        <v>2699.0</v>
      </c>
      <c r="V392" s="32" t="n">
        <f>3372303386</f>
        <v>3.372303386E9</v>
      </c>
      <c r="W392" s="32" t="n">
        <f>649547286</f>
        <v>6.49547286E8</v>
      </c>
      <c r="X392" s="36" t="n">
        <f>22</f>
        <v>22.0</v>
      </c>
    </row>
    <row r="393">
      <c r="A393" s="27" t="s">
        <v>42</v>
      </c>
      <c r="B393" s="27" t="s">
        <v>1227</v>
      </c>
      <c r="C393" s="27" t="s">
        <v>1228</v>
      </c>
      <c r="D393" s="27" t="s">
        <v>1229</v>
      </c>
      <c r="E393" s="28" t="s">
        <v>46</v>
      </c>
      <c r="F393" s="29" t="s">
        <v>46</v>
      </c>
      <c r="G393" s="30" t="s">
        <v>46</v>
      </c>
      <c r="H393" s="31"/>
      <c r="I393" s="31" t="s">
        <v>47</v>
      </c>
      <c r="J393" s="32" t="n">
        <v>1.0</v>
      </c>
      <c r="K393" s="33" t="n">
        <f>132000</f>
        <v>132000.0</v>
      </c>
      <c r="L393" s="34" t="s">
        <v>48</v>
      </c>
      <c r="M393" s="33" t="n">
        <f>132900</f>
        <v>132900.0</v>
      </c>
      <c r="N393" s="34" t="s">
        <v>64</v>
      </c>
      <c r="O393" s="33" t="n">
        <f>127200</f>
        <v>127200.0</v>
      </c>
      <c r="P393" s="34" t="s">
        <v>51</v>
      </c>
      <c r="Q393" s="33" t="n">
        <f>127400</f>
        <v>127400.0</v>
      </c>
      <c r="R393" s="34" t="s">
        <v>51</v>
      </c>
      <c r="S393" s="35" t="n">
        <f>129722.73</f>
        <v>129722.73</v>
      </c>
      <c r="T393" s="32" t="n">
        <f>104422</f>
        <v>104422.0</v>
      </c>
      <c r="U393" s="32" t="n">
        <f>24851</f>
        <v>24851.0</v>
      </c>
      <c r="V393" s="32" t="n">
        <f>13545572204</f>
        <v>1.3545572204E10</v>
      </c>
      <c r="W393" s="32" t="n">
        <f>3228455504</f>
        <v>3.228455504E9</v>
      </c>
      <c r="X393" s="36" t="n">
        <f>22</f>
        <v>22.0</v>
      </c>
    </row>
    <row r="394">
      <c r="A394" s="27" t="s">
        <v>42</v>
      </c>
      <c r="B394" s="27" t="s">
        <v>1230</v>
      </c>
      <c r="C394" s="27" t="s">
        <v>1231</v>
      </c>
      <c r="D394" s="27" t="s">
        <v>1232</v>
      </c>
      <c r="E394" s="28" t="s">
        <v>46</v>
      </c>
      <c r="F394" s="29" t="s">
        <v>46</v>
      </c>
      <c r="G394" s="30" t="s">
        <v>46</v>
      </c>
      <c r="H394" s="31"/>
      <c r="I394" s="31" t="s">
        <v>47</v>
      </c>
      <c r="J394" s="32" t="n">
        <v>1.0</v>
      </c>
      <c r="K394" s="33" t="n">
        <f>139500</f>
        <v>139500.0</v>
      </c>
      <c r="L394" s="34" t="s">
        <v>48</v>
      </c>
      <c r="M394" s="33" t="n">
        <f>139500</f>
        <v>139500.0</v>
      </c>
      <c r="N394" s="34" t="s">
        <v>48</v>
      </c>
      <c r="O394" s="33" t="n">
        <f>130300</f>
        <v>130300.0</v>
      </c>
      <c r="P394" s="34" t="s">
        <v>56</v>
      </c>
      <c r="Q394" s="33" t="n">
        <f>132000</f>
        <v>132000.0</v>
      </c>
      <c r="R394" s="34" t="s">
        <v>51</v>
      </c>
      <c r="S394" s="35" t="n">
        <f>133850</f>
        <v>133850.0</v>
      </c>
      <c r="T394" s="32" t="n">
        <f>91574</f>
        <v>91574.0</v>
      </c>
      <c r="U394" s="32" t="n">
        <f>19261</f>
        <v>19261.0</v>
      </c>
      <c r="V394" s="32" t="n">
        <f>12285784615</f>
        <v>1.2285784615E10</v>
      </c>
      <c r="W394" s="32" t="n">
        <f>2594288315</f>
        <v>2.594288315E9</v>
      </c>
      <c r="X394" s="36" t="n">
        <f>22</f>
        <v>22.0</v>
      </c>
    </row>
    <row r="395">
      <c r="A395" s="27" t="s">
        <v>42</v>
      </c>
      <c r="B395" s="27" t="s">
        <v>1233</v>
      </c>
      <c r="C395" s="27" t="s">
        <v>1234</v>
      </c>
      <c r="D395" s="27" t="s">
        <v>1235</v>
      </c>
      <c r="E395" s="28" t="s">
        <v>46</v>
      </c>
      <c r="F395" s="29" t="s">
        <v>46</v>
      </c>
      <c r="G395" s="30" t="s">
        <v>46</v>
      </c>
      <c r="H395" s="31"/>
      <c r="I395" s="31" t="s">
        <v>47</v>
      </c>
      <c r="J395" s="32" t="n">
        <v>1.0</v>
      </c>
      <c r="K395" s="33" t="n">
        <f>326000</f>
        <v>326000.0</v>
      </c>
      <c r="L395" s="34" t="s">
        <v>48</v>
      </c>
      <c r="M395" s="33" t="n">
        <f>327500</f>
        <v>327500.0</v>
      </c>
      <c r="N395" s="34" t="s">
        <v>48</v>
      </c>
      <c r="O395" s="33" t="n">
        <f>314000</f>
        <v>314000.0</v>
      </c>
      <c r="P395" s="34" t="s">
        <v>56</v>
      </c>
      <c r="Q395" s="33" t="n">
        <f>315500</f>
        <v>315500.0</v>
      </c>
      <c r="R395" s="34" t="s">
        <v>51</v>
      </c>
      <c r="S395" s="35" t="n">
        <f>319068.18</f>
        <v>319068.18</v>
      </c>
      <c r="T395" s="32" t="n">
        <f>32210</f>
        <v>32210.0</v>
      </c>
      <c r="U395" s="32" t="n">
        <f>6547</f>
        <v>6547.0</v>
      </c>
      <c r="V395" s="32" t="n">
        <f>10290540991</f>
        <v>1.0290540991E10</v>
      </c>
      <c r="W395" s="32" t="n">
        <f>2093564491</f>
        <v>2.093564491E9</v>
      </c>
      <c r="X395" s="36" t="n">
        <f>22</f>
        <v>22.0</v>
      </c>
    </row>
    <row r="396">
      <c r="A396" s="27" t="s">
        <v>42</v>
      </c>
      <c r="B396" s="27" t="s">
        <v>1236</v>
      </c>
      <c r="C396" s="27" t="s">
        <v>1237</v>
      </c>
      <c r="D396" s="27" t="s">
        <v>1238</v>
      </c>
      <c r="E396" s="28" t="s">
        <v>46</v>
      </c>
      <c r="F396" s="29" t="s">
        <v>46</v>
      </c>
      <c r="G396" s="30" t="s">
        <v>46</v>
      </c>
      <c r="H396" s="31"/>
      <c r="I396" s="31" t="s">
        <v>47</v>
      </c>
      <c r="J396" s="32" t="n">
        <v>1.0</v>
      </c>
      <c r="K396" s="33" t="n">
        <f>76600</f>
        <v>76600.0</v>
      </c>
      <c r="L396" s="34" t="s">
        <v>48</v>
      </c>
      <c r="M396" s="33" t="n">
        <f>77000</f>
        <v>77000.0</v>
      </c>
      <c r="N396" s="34" t="s">
        <v>64</v>
      </c>
      <c r="O396" s="33" t="n">
        <f>72200</f>
        <v>72200.0</v>
      </c>
      <c r="P396" s="34" t="s">
        <v>51</v>
      </c>
      <c r="Q396" s="33" t="n">
        <f>72500</f>
        <v>72500.0</v>
      </c>
      <c r="R396" s="34" t="s">
        <v>51</v>
      </c>
      <c r="S396" s="35" t="n">
        <f>74940.91</f>
        <v>74940.91</v>
      </c>
      <c r="T396" s="32" t="n">
        <f>296406</f>
        <v>296406.0</v>
      </c>
      <c r="U396" s="32" t="n">
        <f>67079</f>
        <v>67079.0</v>
      </c>
      <c r="V396" s="32" t="n">
        <f>22212085106</f>
        <v>2.2212085106E10</v>
      </c>
      <c r="W396" s="32" t="n">
        <f>5048866206</f>
        <v>5.048866206E9</v>
      </c>
      <c r="X396" s="36" t="n">
        <f>22</f>
        <v>22.0</v>
      </c>
    </row>
    <row r="397">
      <c r="A397" s="27" t="s">
        <v>42</v>
      </c>
      <c r="B397" s="27" t="s">
        <v>1239</v>
      </c>
      <c r="C397" s="27" t="s">
        <v>1240</v>
      </c>
      <c r="D397" s="27" t="s">
        <v>1241</v>
      </c>
      <c r="E397" s="28" t="s">
        <v>46</v>
      </c>
      <c r="F397" s="29" t="s">
        <v>46</v>
      </c>
      <c r="G397" s="30" t="s">
        <v>46</v>
      </c>
      <c r="H397" s="31"/>
      <c r="I397" s="31" t="s">
        <v>428</v>
      </c>
      <c r="J397" s="32" t="n">
        <v>1.0</v>
      </c>
      <c r="K397" s="33" t="n">
        <f>138000</f>
        <v>138000.0</v>
      </c>
      <c r="L397" s="34" t="s">
        <v>48</v>
      </c>
      <c r="M397" s="33" t="n">
        <f>138000</f>
        <v>138000.0</v>
      </c>
      <c r="N397" s="34" t="s">
        <v>48</v>
      </c>
      <c r="O397" s="33" t="n">
        <f>126100</f>
        <v>126100.0</v>
      </c>
      <c r="P397" s="34" t="s">
        <v>49</v>
      </c>
      <c r="Q397" s="33" t="n">
        <f>126200</f>
        <v>126200.0</v>
      </c>
      <c r="R397" s="34" t="s">
        <v>51</v>
      </c>
      <c r="S397" s="35" t="n">
        <f>131768.18</f>
        <v>131768.18</v>
      </c>
      <c r="T397" s="32" t="n">
        <f>25296</f>
        <v>25296.0</v>
      </c>
      <c r="U397" s="32" t="n">
        <f>2536</f>
        <v>2536.0</v>
      </c>
      <c r="V397" s="32" t="n">
        <f>3317604341</f>
        <v>3.317604341E9</v>
      </c>
      <c r="W397" s="32" t="n">
        <f>335964941</f>
        <v>3.35964941E8</v>
      </c>
      <c r="X397" s="36" t="n">
        <f>22</f>
        <v>22.0</v>
      </c>
    </row>
    <row r="398">
      <c r="A398" s="27" t="s">
        <v>42</v>
      </c>
      <c r="B398" s="27" t="s">
        <v>1242</v>
      </c>
      <c r="C398" s="27" t="s">
        <v>1243</v>
      </c>
      <c r="D398" s="27" t="s">
        <v>1244</v>
      </c>
      <c r="E398" s="28" t="s">
        <v>46</v>
      </c>
      <c r="F398" s="29" t="s">
        <v>46</v>
      </c>
      <c r="G398" s="30" t="s">
        <v>46</v>
      </c>
      <c r="H398" s="31"/>
      <c r="I398" s="31" t="s">
        <v>47</v>
      </c>
      <c r="J398" s="32" t="n">
        <v>1.0</v>
      </c>
      <c r="K398" s="33" t="n">
        <f>118300</f>
        <v>118300.0</v>
      </c>
      <c r="L398" s="34" t="s">
        <v>48</v>
      </c>
      <c r="M398" s="33" t="n">
        <f>118300</f>
        <v>118300.0</v>
      </c>
      <c r="N398" s="34" t="s">
        <v>48</v>
      </c>
      <c r="O398" s="33" t="n">
        <f>108700</f>
        <v>108700.0</v>
      </c>
      <c r="P398" s="34" t="s">
        <v>56</v>
      </c>
      <c r="Q398" s="33" t="n">
        <f>109300</f>
        <v>109300.0</v>
      </c>
      <c r="R398" s="34" t="s">
        <v>51</v>
      </c>
      <c r="S398" s="35" t="n">
        <f>113068.18</f>
        <v>113068.18</v>
      </c>
      <c r="T398" s="32" t="n">
        <f>26486</f>
        <v>26486.0</v>
      </c>
      <c r="U398" s="32" t="n">
        <f>3172</f>
        <v>3172.0</v>
      </c>
      <c r="V398" s="32" t="n">
        <f>2992147759</f>
        <v>2.992147759E9</v>
      </c>
      <c r="W398" s="32" t="n">
        <f>359998159</f>
        <v>3.59998159E8</v>
      </c>
      <c r="X398" s="36" t="n">
        <f>22</f>
        <v>22.0</v>
      </c>
    </row>
    <row r="399">
      <c r="A399" s="27" t="s">
        <v>42</v>
      </c>
      <c r="B399" s="27" t="s">
        <v>1245</v>
      </c>
      <c r="C399" s="27" t="s">
        <v>1246</v>
      </c>
      <c r="D399" s="27" t="s">
        <v>1247</v>
      </c>
      <c r="E399" s="28" t="s">
        <v>46</v>
      </c>
      <c r="F399" s="29" t="s">
        <v>46</v>
      </c>
      <c r="G399" s="30" t="s">
        <v>46</v>
      </c>
      <c r="H399" s="31"/>
      <c r="I399" s="31" t="s">
        <v>47</v>
      </c>
      <c r="J399" s="32" t="n">
        <v>1.0</v>
      </c>
      <c r="K399" s="33" t="n">
        <f>101100</f>
        <v>101100.0</v>
      </c>
      <c r="L399" s="34" t="s">
        <v>48</v>
      </c>
      <c r="M399" s="33" t="n">
        <f>101100</f>
        <v>101100.0</v>
      </c>
      <c r="N399" s="34" t="s">
        <v>48</v>
      </c>
      <c r="O399" s="33" t="n">
        <f>93600</f>
        <v>93600.0</v>
      </c>
      <c r="P399" s="34" t="s">
        <v>56</v>
      </c>
      <c r="Q399" s="33" t="n">
        <f>94000</f>
        <v>94000.0</v>
      </c>
      <c r="R399" s="34" t="s">
        <v>51</v>
      </c>
      <c r="S399" s="35" t="n">
        <f>96140.91</f>
        <v>96140.91</v>
      </c>
      <c r="T399" s="32" t="n">
        <f>26054</f>
        <v>26054.0</v>
      </c>
      <c r="U399" s="32" t="n">
        <f>2585</f>
        <v>2585.0</v>
      </c>
      <c r="V399" s="32" t="n">
        <f>2500801730</f>
        <v>2.50080173E9</v>
      </c>
      <c r="W399" s="32" t="n">
        <f>248789430</f>
        <v>2.4878943E8</v>
      </c>
      <c r="X399" s="36" t="n">
        <f>22</f>
        <v>22.0</v>
      </c>
    </row>
    <row r="400">
      <c r="A400" s="27" t="s">
        <v>42</v>
      </c>
      <c r="B400" s="27" t="s">
        <v>1248</v>
      </c>
      <c r="C400" s="27" t="s">
        <v>1249</v>
      </c>
      <c r="D400" s="27" t="s">
        <v>1250</v>
      </c>
      <c r="E400" s="28" t="s">
        <v>46</v>
      </c>
      <c r="F400" s="29" t="s">
        <v>46</v>
      </c>
      <c r="G400" s="30" t="s">
        <v>46</v>
      </c>
      <c r="H400" s="31"/>
      <c r="I400" s="31" t="s">
        <v>47</v>
      </c>
      <c r="J400" s="32" t="n">
        <v>1.0</v>
      </c>
      <c r="K400" s="33" t="n">
        <f>143700</f>
        <v>143700.0</v>
      </c>
      <c r="L400" s="34" t="s">
        <v>48</v>
      </c>
      <c r="M400" s="33" t="n">
        <f>146700</f>
        <v>146700.0</v>
      </c>
      <c r="N400" s="34" t="s">
        <v>84</v>
      </c>
      <c r="O400" s="33" t="n">
        <f>141200</f>
        <v>141200.0</v>
      </c>
      <c r="P400" s="34" t="s">
        <v>65</v>
      </c>
      <c r="Q400" s="33" t="n">
        <f>144000</f>
        <v>144000.0</v>
      </c>
      <c r="R400" s="34" t="s">
        <v>51</v>
      </c>
      <c r="S400" s="35" t="n">
        <f>143563.64</f>
        <v>143563.64</v>
      </c>
      <c r="T400" s="32" t="n">
        <f>247755</f>
        <v>247755.0</v>
      </c>
      <c r="U400" s="32" t="n">
        <f>55729</f>
        <v>55729.0</v>
      </c>
      <c r="V400" s="32" t="n">
        <f>35604388574</f>
        <v>3.5604388574E10</v>
      </c>
      <c r="W400" s="32" t="n">
        <f>7999555874</f>
        <v>7.999555874E9</v>
      </c>
      <c r="X400" s="36" t="n">
        <f>22</f>
        <v>22.0</v>
      </c>
    </row>
    <row r="401">
      <c r="A401" s="27" t="s">
        <v>42</v>
      </c>
      <c r="B401" s="27" t="s">
        <v>1251</v>
      </c>
      <c r="C401" s="27" t="s">
        <v>1252</v>
      </c>
      <c r="D401" s="27" t="s">
        <v>1253</v>
      </c>
      <c r="E401" s="28" t="s">
        <v>46</v>
      </c>
      <c r="F401" s="29" t="s">
        <v>46</v>
      </c>
      <c r="G401" s="30" t="s">
        <v>46</v>
      </c>
      <c r="H401" s="31"/>
      <c r="I401" s="31" t="s">
        <v>428</v>
      </c>
      <c r="J401" s="32" t="n">
        <v>1.0</v>
      </c>
      <c r="K401" s="33" t="n">
        <f>130000</f>
        <v>130000.0</v>
      </c>
      <c r="L401" s="34" t="s">
        <v>48</v>
      </c>
      <c r="M401" s="33" t="n">
        <f>134600</f>
        <v>134600.0</v>
      </c>
      <c r="N401" s="34" t="s">
        <v>84</v>
      </c>
      <c r="O401" s="33" t="n">
        <f>128300</f>
        <v>128300.0</v>
      </c>
      <c r="P401" s="34" t="s">
        <v>72</v>
      </c>
      <c r="Q401" s="33" t="n">
        <f>131200</f>
        <v>131200.0</v>
      </c>
      <c r="R401" s="34" t="s">
        <v>51</v>
      </c>
      <c r="S401" s="35" t="n">
        <f>131945.45</f>
        <v>131945.45</v>
      </c>
      <c r="T401" s="32" t="n">
        <f>30507</f>
        <v>30507.0</v>
      </c>
      <c r="U401" s="32" t="n">
        <f>2564</f>
        <v>2564.0</v>
      </c>
      <c r="V401" s="32" t="n">
        <f>4023378388</f>
        <v>4.023378388E9</v>
      </c>
      <c r="W401" s="32" t="n">
        <f>337816588</f>
        <v>3.37816588E8</v>
      </c>
      <c r="X401" s="36" t="n">
        <f>22</f>
        <v>22.0</v>
      </c>
    </row>
    <row r="402">
      <c r="A402" s="27" t="s">
        <v>42</v>
      </c>
      <c r="B402" s="27" t="s">
        <v>1254</v>
      </c>
      <c r="C402" s="27" t="s">
        <v>1255</v>
      </c>
      <c r="D402" s="27" t="s">
        <v>1256</v>
      </c>
      <c r="E402" s="28" t="s">
        <v>46</v>
      </c>
      <c r="F402" s="29" t="s">
        <v>46</v>
      </c>
      <c r="G402" s="30" t="s">
        <v>46</v>
      </c>
      <c r="H402" s="31"/>
      <c r="I402" s="31" t="s">
        <v>47</v>
      </c>
      <c r="J402" s="32" t="n">
        <v>1.0</v>
      </c>
      <c r="K402" s="33" t="n">
        <f>143600</f>
        <v>143600.0</v>
      </c>
      <c r="L402" s="34" t="s">
        <v>48</v>
      </c>
      <c r="M402" s="33" t="n">
        <f>147800</f>
        <v>147800.0</v>
      </c>
      <c r="N402" s="34" t="s">
        <v>260</v>
      </c>
      <c r="O402" s="33" t="n">
        <f>140100</f>
        <v>140100.0</v>
      </c>
      <c r="P402" s="34" t="s">
        <v>55</v>
      </c>
      <c r="Q402" s="33" t="n">
        <f>145000</f>
        <v>145000.0</v>
      </c>
      <c r="R402" s="34" t="s">
        <v>51</v>
      </c>
      <c r="S402" s="35" t="n">
        <f>143704.55</f>
        <v>143704.55</v>
      </c>
      <c r="T402" s="32" t="n">
        <f>104198</f>
        <v>104198.0</v>
      </c>
      <c r="U402" s="32" t="n">
        <f>21895</f>
        <v>21895.0</v>
      </c>
      <c r="V402" s="32" t="n">
        <f>14965058099</f>
        <v>1.4965058099E10</v>
      </c>
      <c r="W402" s="32" t="n">
        <f>3141598799</f>
        <v>3.141598799E9</v>
      </c>
      <c r="X402" s="36" t="n">
        <f>22</f>
        <v>22.0</v>
      </c>
    </row>
    <row r="403">
      <c r="A403" s="27" t="s">
        <v>42</v>
      </c>
      <c r="B403" s="27" t="s">
        <v>1257</v>
      </c>
      <c r="C403" s="27" t="s">
        <v>1258</v>
      </c>
      <c r="D403" s="27" t="s">
        <v>1259</v>
      </c>
      <c r="E403" s="28" t="s">
        <v>46</v>
      </c>
      <c r="F403" s="29" t="s">
        <v>46</v>
      </c>
      <c r="G403" s="30" t="s">
        <v>46</v>
      </c>
      <c r="H403" s="31"/>
      <c r="I403" s="31" t="s">
        <v>47</v>
      </c>
      <c r="J403" s="32" t="n">
        <v>1.0</v>
      </c>
      <c r="K403" s="33" t="n">
        <f>53600</f>
        <v>53600.0</v>
      </c>
      <c r="L403" s="34" t="s">
        <v>48</v>
      </c>
      <c r="M403" s="33" t="n">
        <f>53600</f>
        <v>53600.0</v>
      </c>
      <c r="N403" s="34" t="s">
        <v>48</v>
      </c>
      <c r="O403" s="33" t="n">
        <f>50200</f>
        <v>50200.0</v>
      </c>
      <c r="P403" s="34" t="s">
        <v>56</v>
      </c>
      <c r="Q403" s="33" t="n">
        <f>50900</f>
        <v>50900.0</v>
      </c>
      <c r="R403" s="34" t="s">
        <v>51</v>
      </c>
      <c r="S403" s="35" t="n">
        <f>51504.55</f>
        <v>51504.55</v>
      </c>
      <c r="T403" s="32" t="n">
        <f>196396</f>
        <v>196396.0</v>
      </c>
      <c r="U403" s="32" t="n">
        <f>32164</f>
        <v>32164.0</v>
      </c>
      <c r="V403" s="32" t="n">
        <f>10126220200</f>
        <v>1.01262202E10</v>
      </c>
      <c r="W403" s="32" t="n">
        <f>1660216400</f>
        <v>1.6602164E9</v>
      </c>
      <c r="X403" s="36" t="n">
        <f>22</f>
        <v>22.0</v>
      </c>
    </row>
    <row r="404">
      <c r="A404" s="27" t="s">
        <v>42</v>
      </c>
      <c r="B404" s="27" t="s">
        <v>1260</v>
      </c>
      <c r="C404" s="27" t="s">
        <v>1261</v>
      </c>
      <c r="D404" s="27" t="s">
        <v>1262</v>
      </c>
      <c r="E404" s="28" t="s">
        <v>46</v>
      </c>
      <c r="F404" s="29" t="s">
        <v>46</v>
      </c>
      <c r="G404" s="30" t="s">
        <v>46</v>
      </c>
      <c r="H404" s="31"/>
      <c r="I404" s="31" t="s">
        <v>428</v>
      </c>
      <c r="J404" s="32" t="n">
        <v>1.0</v>
      </c>
      <c r="K404" s="33" t="n">
        <f>118300</f>
        <v>118300.0</v>
      </c>
      <c r="L404" s="34" t="s">
        <v>48</v>
      </c>
      <c r="M404" s="33" t="n">
        <f>118300</f>
        <v>118300.0</v>
      </c>
      <c r="N404" s="34" t="s">
        <v>48</v>
      </c>
      <c r="O404" s="33" t="n">
        <f>108400</f>
        <v>108400.0</v>
      </c>
      <c r="P404" s="34" t="s">
        <v>56</v>
      </c>
      <c r="Q404" s="33" t="n">
        <f>110500</f>
        <v>110500.0</v>
      </c>
      <c r="R404" s="34" t="s">
        <v>51</v>
      </c>
      <c r="S404" s="35" t="n">
        <f>113209.09</f>
        <v>113209.09</v>
      </c>
      <c r="T404" s="32" t="n">
        <f>27802</f>
        <v>27802.0</v>
      </c>
      <c r="U404" s="32" t="n">
        <f>1770</f>
        <v>1770.0</v>
      </c>
      <c r="V404" s="32" t="n">
        <f>3139657158</f>
        <v>3.139657158E9</v>
      </c>
      <c r="W404" s="32" t="n">
        <f>201324758</f>
        <v>2.01324758E8</v>
      </c>
      <c r="X404" s="36" t="n">
        <f>22</f>
        <v>22.0</v>
      </c>
    </row>
    <row r="405">
      <c r="A405" s="27" t="s">
        <v>42</v>
      </c>
      <c r="B405" s="27" t="s">
        <v>1263</v>
      </c>
      <c r="C405" s="27" t="s">
        <v>1264</v>
      </c>
      <c r="D405" s="27" t="s">
        <v>1265</v>
      </c>
      <c r="E405" s="28" t="s">
        <v>1057</v>
      </c>
      <c r="F405" s="29" t="s">
        <v>1058</v>
      </c>
      <c r="G405" s="30" t="s">
        <v>46</v>
      </c>
      <c r="H405" s="31"/>
      <c r="I405" s="31" t="s">
        <v>47</v>
      </c>
      <c r="J405" s="32" t="n">
        <v>1.0</v>
      </c>
      <c r="K405" s="33" t="n">
        <f>427500</f>
        <v>427500.0</v>
      </c>
      <c r="L405" s="34" t="s">
        <v>48</v>
      </c>
      <c r="M405" s="33" t="n">
        <f>427500</f>
        <v>427500.0</v>
      </c>
      <c r="N405" s="34" t="s">
        <v>48</v>
      </c>
      <c r="O405" s="33" t="n">
        <f>402000</f>
        <v>402000.0</v>
      </c>
      <c r="P405" s="34" t="s">
        <v>65</v>
      </c>
      <c r="Q405" s="33" t="n">
        <f>408500</f>
        <v>408500.0</v>
      </c>
      <c r="R405" s="34" t="s">
        <v>219</v>
      </c>
      <c r="S405" s="35" t="n">
        <f>411725</f>
        <v>411725.0</v>
      </c>
      <c r="T405" s="32" t="n">
        <f>61002</f>
        <v>61002.0</v>
      </c>
      <c r="U405" s="32" t="n">
        <f>21842</f>
        <v>21842.0</v>
      </c>
      <c r="V405" s="32" t="n">
        <f>25048336079</f>
        <v>2.5048336079E10</v>
      </c>
      <c r="W405" s="32" t="n">
        <f>8947462579</f>
        <v>8.947462579E9</v>
      </c>
      <c r="X405" s="36" t="n">
        <f>20</f>
        <v>20.0</v>
      </c>
    </row>
    <row r="406">
      <c r="A406" s="27" t="s">
        <v>42</v>
      </c>
      <c r="B406" s="27" t="s">
        <v>1263</v>
      </c>
      <c r="C406" s="27" t="s">
        <v>1264</v>
      </c>
      <c r="D406" s="27" t="s">
        <v>1265</v>
      </c>
      <c r="E406" s="28" t="s">
        <v>1057</v>
      </c>
      <c r="F406" s="29" t="s">
        <v>1058</v>
      </c>
      <c r="G406" s="30" t="s">
        <v>46</v>
      </c>
      <c r="H406" s="31"/>
      <c r="I406" s="31" t="s">
        <v>47</v>
      </c>
      <c r="J406" s="32" t="n">
        <v>1.0</v>
      </c>
      <c r="K406" s="33" t="n">
        <f>100000</f>
        <v>100000.0</v>
      </c>
      <c r="L406" s="34" t="s">
        <v>49</v>
      </c>
      <c r="M406" s="33" t="n">
        <f>102500</f>
        <v>102500.0</v>
      </c>
      <c r="N406" s="34" t="s">
        <v>51</v>
      </c>
      <c r="O406" s="33" t="n">
        <f>100000</f>
        <v>100000.0</v>
      </c>
      <c r="P406" s="34" t="s">
        <v>49</v>
      </c>
      <c r="Q406" s="33" t="n">
        <f>101500</f>
        <v>101500.0</v>
      </c>
      <c r="R406" s="34" t="s">
        <v>51</v>
      </c>
      <c r="S406" s="35" t="n">
        <f>101350</f>
        <v>101350.0</v>
      </c>
      <c r="T406" s="32" t="n">
        <f>32808</f>
        <v>32808.0</v>
      </c>
      <c r="U406" s="32" t="n">
        <f>5756</f>
        <v>5756.0</v>
      </c>
      <c r="V406" s="32" t="n">
        <f>3329895546</f>
        <v>3.329895546E9</v>
      </c>
      <c r="W406" s="32" t="n">
        <f>584797746</f>
        <v>5.84797746E8</v>
      </c>
      <c r="X406" s="36" t="n">
        <f>2</f>
        <v>2.0</v>
      </c>
    </row>
    <row r="407">
      <c r="A407" s="27" t="s">
        <v>42</v>
      </c>
      <c r="B407" s="27" t="s">
        <v>1266</v>
      </c>
      <c r="C407" s="27" t="s">
        <v>1267</v>
      </c>
      <c r="D407" s="27" t="s">
        <v>1268</v>
      </c>
      <c r="E407" s="28" t="s">
        <v>46</v>
      </c>
      <c r="F407" s="29" t="s">
        <v>46</v>
      </c>
      <c r="G407" s="30" t="s">
        <v>46</v>
      </c>
      <c r="H407" s="31"/>
      <c r="I407" s="31" t="s">
        <v>428</v>
      </c>
      <c r="J407" s="32" t="n">
        <v>1.0</v>
      </c>
      <c r="K407" s="33" t="n">
        <f>71500</f>
        <v>71500.0</v>
      </c>
      <c r="L407" s="34" t="s">
        <v>48</v>
      </c>
      <c r="M407" s="33" t="n">
        <f>72200</f>
        <v>72200.0</v>
      </c>
      <c r="N407" s="34" t="s">
        <v>64</v>
      </c>
      <c r="O407" s="33" t="n">
        <f>69300</f>
        <v>69300.0</v>
      </c>
      <c r="P407" s="34" t="s">
        <v>56</v>
      </c>
      <c r="Q407" s="33" t="n">
        <f>70700</f>
        <v>70700.0</v>
      </c>
      <c r="R407" s="34" t="s">
        <v>51</v>
      </c>
      <c r="S407" s="35" t="n">
        <f>70900</f>
        <v>70900.0</v>
      </c>
      <c r="T407" s="32" t="n">
        <f>14055</f>
        <v>14055.0</v>
      </c>
      <c r="U407" s="32" t="n">
        <f>1495</f>
        <v>1495.0</v>
      </c>
      <c r="V407" s="32" t="n">
        <f>996160670</f>
        <v>9.9616067E8</v>
      </c>
      <c r="W407" s="32" t="n">
        <f>106002070</f>
        <v>1.0600207E8</v>
      </c>
      <c r="X407" s="36" t="n">
        <f>22</f>
        <v>22.0</v>
      </c>
    </row>
    <row r="408">
      <c r="A408" s="27" t="s">
        <v>42</v>
      </c>
      <c r="B408" s="27" t="s">
        <v>1269</v>
      </c>
      <c r="C408" s="27" t="s">
        <v>1270</v>
      </c>
      <c r="D408" s="27" t="s">
        <v>1271</v>
      </c>
      <c r="E408" s="28" t="s">
        <v>46</v>
      </c>
      <c r="F408" s="29" t="s">
        <v>46</v>
      </c>
      <c r="G408" s="30" t="s">
        <v>46</v>
      </c>
      <c r="H408" s="31"/>
      <c r="I408" s="31" t="s">
        <v>47</v>
      </c>
      <c r="J408" s="32" t="n">
        <v>1.0</v>
      </c>
      <c r="K408" s="33" t="n">
        <f>43700</f>
        <v>43700.0</v>
      </c>
      <c r="L408" s="34" t="s">
        <v>48</v>
      </c>
      <c r="M408" s="33" t="n">
        <f>43700</f>
        <v>43700.0</v>
      </c>
      <c r="N408" s="34" t="s">
        <v>48</v>
      </c>
      <c r="O408" s="33" t="n">
        <f>39950</f>
        <v>39950.0</v>
      </c>
      <c r="P408" s="34" t="s">
        <v>51</v>
      </c>
      <c r="Q408" s="33" t="n">
        <f>39950</f>
        <v>39950.0</v>
      </c>
      <c r="R408" s="34" t="s">
        <v>51</v>
      </c>
      <c r="S408" s="35" t="n">
        <f>42111.36</f>
        <v>42111.36</v>
      </c>
      <c r="T408" s="32" t="n">
        <f>184452</f>
        <v>184452.0</v>
      </c>
      <c r="U408" s="32" t="n">
        <f>20520</f>
        <v>20520.0</v>
      </c>
      <c r="V408" s="32" t="n">
        <f>7711319241</f>
        <v>7.711319241E9</v>
      </c>
      <c r="W408" s="32" t="n">
        <f>863447291</f>
        <v>8.63447291E8</v>
      </c>
      <c r="X408" s="36" t="n">
        <f>22</f>
        <v>22.0</v>
      </c>
    </row>
    <row r="409">
      <c r="A409" s="27" t="s">
        <v>42</v>
      </c>
      <c r="B409" s="27" t="s">
        <v>1272</v>
      </c>
      <c r="C409" s="27" t="s">
        <v>1273</v>
      </c>
      <c r="D409" s="27" t="s">
        <v>1274</v>
      </c>
      <c r="E409" s="28" t="s">
        <v>46</v>
      </c>
      <c r="F409" s="29" t="s">
        <v>46</v>
      </c>
      <c r="G409" s="30" t="s">
        <v>46</v>
      </c>
      <c r="H409" s="31"/>
      <c r="I409" s="31" t="s">
        <v>47</v>
      </c>
      <c r="J409" s="32" t="n">
        <v>1.0</v>
      </c>
      <c r="K409" s="33" t="n">
        <f>372000</f>
        <v>372000.0</v>
      </c>
      <c r="L409" s="34" t="s">
        <v>48</v>
      </c>
      <c r="M409" s="33" t="n">
        <f>372000</f>
        <v>372000.0</v>
      </c>
      <c r="N409" s="34" t="s">
        <v>48</v>
      </c>
      <c r="O409" s="33" t="n">
        <f>353000</f>
        <v>353000.0</v>
      </c>
      <c r="P409" s="34" t="s">
        <v>267</v>
      </c>
      <c r="Q409" s="33" t="n">
        <f>356000</f>
        <v>356000.0</v>
      </c>
      <c r="R409" s="34" t="s">
        <v>51</v>
      </c>
      <c r="S409" s="35" t="n">
        <f>359590.91</f>
        <v>359590.91</v>
      </c>
      <c r="T409" s="32" t="n">
        <f>40186</f>
        <v>40186.0</v>
      </c>
      <c r="U409" s="32" t="n">
        <f>7941</f>
        <v>7941.0</v>
      </c>
      <c r="V409" s="32" t="n">
        <f>14458468056</f>
        <v>1.4458468056E10</v>
      </c>
      <c r="W409" s="32" t="n">
        <f>2860078056</f>
        <v>2.860078056E9</v>
      </c>
      <c r="X409" s="36" t="n">
        <f>22</f>
        <v>22.0</v>
      </c>
    </row>
    <row r="410">
      <c r="A410" s="27" t="s">
        <v>42</v>
      </c>
      <c r="B410" s="27" t="s">
        <v>1275</v>
      </c>
      <c r="C410" s="27" t="s">
        <v>1276</v>
      </c>
      <c r="D410" s="27" t="s">
        <v>1277</v>
      </c>
      <c r="E410" s="28" t="s">
        <v>46</v>
      </c>
      <c r="F410" s="29" t="s">
        <v>46</v>
      </c>
      <c r="G410" s="30" t="s">
        <v>46</v>
      </c>
      <c r="H410" s="31"/>
      <c r="I410" s="31" t="s">
        <v>47</v>
      </c>
      <c r="J410" s="32" t="n">
        <v>1.0</v>
      </c>
      <c r="K410" s="33" t="n">
        <f>149600</f>
        <v>149600.0</v>
      </c>
      <c r="L410" s="34" t="s">
        <v>48</v>
      </c>
      <c r="M410" s="33" t="n">
        <f>149900</f>
        <v>149900.0</v>
      </c>
      <c r="N410" s="34" t="s">
        <v>64</v>
      </c>
      <c r="O410" s="33" t="n">
        <f>138100</f>
        <v>138100.0</v>
      </c>
      <c r="P410" s="34" t="s">
        <v>56</v>
      </c>
      <c r="Q410" s="33" t="n">
        <f>139400</f>
        <v>139400.0</v>
      </c>
      <c r="R410" s="34" t="s">
        <v>51</v>
      </c>
      <c r="S410" s="35" t="n">
        <f>142350</f>
        <v>142350.0</v>
      </c>
      <c r="T410" s="32" t="n">
        <f>41756</f>
        <v>41756.0</v>
      </c>
      <c r="U410" s="32" t="n">
        <f>11497</f>
        <v>11497.0</v>
      </c>
      <c r="V410" s="32" t="n">
        <f>5944185244</f>
        <v>5.944185244E9</v>
      </c>
      <c r="W410" s="32" t="n">
        <f>1633970644</f>
        <v>1.633970644E9</v>
      </c>
      <c r="X410" s="36" t="n">
        <f>22</f>
        <v>22.0</v>
      </c>
    </row>
    <row r="411">
      <c r="A411" s="27" t="s">
        <v>42</v>
      </c>
      <c r="B411" s="27" t="s">
        <v>1278</v>
      </c>
      <c r="C411" s="27" t="s">
        <v>1279</v>
      </c>
      <c r="D411" s="27" t="s">
        <v>1280</v>
      </c>
      <c r="E411" s="28" t="s">
        <v>46</v>
      </c>
      <c r="F411" s="29" t="s">
        <v>46</v>
      </c>
      <c r="G411" s="30" t="s">
        <v>46</v>
      </c>
      <c r="H411" s="31"/>
      <c r="I411" s="31" t="s">
        <v>428</v>
      </c>
      <c r="J411" s="32" t="n">
        <v>1.0</v>
      </c>
      <c r="K411" s="33" t="n">
        <f>117200</f>
        <v>117200.0</v>
      </c>
      <c r="L411" s="34" t="s">
        <v>48</v>
      </c>
      <c r="M411" s="33" t="n">
        <f>117200</f>
        <v>117200.0</v>
      </c>
      <c r="N411" s="34" t="s">
        <v>48</v>
      </c>
      <c r="O411" s="33" t="n">
        <f>109100</f>
        <v>109100.0</v>
      </c>
      <c r="P411" s="34" t="s">
        <v>56</v>
      </c>
      <c r="Q411" s="33" t="n">
        <f>111600</f>
        <v>111600.0</v>
      </c>
      <c r="R411" s="34" t="s">
        <v>51</v>
      </c>
      <c r="S411" s="35" t="n">
        <f>112450</f>
        <v>112450.0</v>
      </c>
      <c r="T411" s="32" t="n">
        <f>20141</f>
        <v>20141.0</v>
      </c>
      <c r="U411" s="32" t="n">
        <f>2276</f>
        <v>2276.0</v>
      </c>
      <c r="V411" s="32" t="n">
        <f>2264699061</f>
        <v>2.264699061E9</v>
      </c>
      <c r="W411" s="32" t="n">
        <f>256790861</f>
        <v>2.56790861E8</v>
      </c>
      <c r="X411" s="36" t="n">
        <f>22</f>
        <v>22.0</v>
      </c>
    </row>
    <row r="412">
      <c r="A412" s="27" t="s">
        <v>42</v>
      </c>
      <c r="B412" s="27" t="s">
        <v>1281</v>
      </c>
      <c r="C412" s="27" t="s">
        <v>1282</v>
      </c>
      <c r="D412" s="27" t="s">
        <v>1283</v>
      </c>
      <c r="E412" s="28" t="s">
        <v>46</v>
      </c>
      <c r="F412" s="29" t="s">
        <v>46</v>
      </c>
      <c r="G412" s="30" t="s">
        <v>46</v>
      </c>
      <c r="H412" s="31"/>
      <c r="I412" s="31" t="s">
        <v>47</v>
      </c>
      <c r="J412" s="32" t="n">
        <v>1.0</v>
      </c>
      <c r="K412" s="33" t="n">
        <f>88900</f>
        <v>88900.0</v>
      </c>
      <c r="L412" s="34" t="s">
        <v>48</v>
      </c>
      <c r="M412" s="33" t="n">
        <f>89000</f>
        <v>89000.0</v>
      </c>
      <c r="N412" s="34" t="s">
        <v>48</v>
      </c>
      <c r="O412" s="33" t="n">
        <f>83300</f>
        <v>83300.0</v>
      </c>
      <c r="P412" s="34" t="s">
        <v>56</v>
      </c>
      <c r="Q412" s="33" t="n">
        <f>84900</f>
        <v>84900.0</v>
      </c>
      <c r="R412" s="34" t="s">
        <v>51</v>
      </c>
      <c r="S412" s="35" t="n">
        <f>85704.55</f>
        <v>85704.55</v>
      </c>
      <c r="T412" s="32" t="n">
        <f>128734</f>
        <v>128734.0</v>
      </c>
      <c r="U412" s="32" t="n">
        <f>10788</f>
        <v>10788.0</v>
      </c>
      <c r="V412" s="32" t="n">
        <f>11041116366</f>
        <v>1.1041116366E10</v>
      </c>
      <c r="W412" s="32" t="n">
        <f>927781466</f>
        <v>9.27781466E8</v>
      </c>
      <c r="X412" s="36" t="n">
        <f>22</f>
        <v>22.0</v>
      </c>
    </row>
    <row r="413">
      <c r="A413" s="27" t="s">
        <v>42</v>
      </c>
      <c r="B413" s="27" t="s">
        <v>1284</v>
      </c>
      <c r="C413" s="27" t="s">
        <v>1285</v>
      </c>
      <c r="D413" s="27" t="s">
        <v>1286</v>
      </c>
      <c r="E413" s="28" t="s">
        <v>1287</v>
      </c>
      <c r="F413" s="29" t="s">
        <v>1288</v>
      </c>
      <c r="G413" s="30" t="s">
        <v>1289</v>
      </c>
      <c r="H413" s="31"/>
      <c r="I413" s="31"/>
      <c r="J413" s="32" t="n">
        <v>1.0</v>
      </c>
      <c r="K413" s="33" t="n">
        <f>122000</f>
        <v>122000.0</v>
      </c>
      <c r="L413" s="34" t="s">
        <v>48</v>
      </c>
      <c r="M413" s="33" t="n">
        <f>122600</f>
        <v>122600.0</v>
      </c>
      <c r="N413" s="34" t="s">
        <v>48</v>
      </c>
      <c r="O413" s="33" t="n">
        <f>116000</f>
        <v>116000.0</v>
      </c>
      <c r="P413" s="34" t="s">
        <v>219</v>
      </c>
      <c r="Q413" s="33" t="n">
        <f>116000</f>
        <v>116000.0</v>
      </c>
      <c r="R413" s="34" t="s">
        <v>219</v>
      </c>
      <c r="S413" s="35" t="n">
        <f>118610</f>
        <v>118610.0</v>
      </c>
      <c r="T413" s="32" t="n">
        <f>77960</f>
        <v>77960.0</v>
      </c>
      <c r="U413" s="32" t="n">
        <f>30868</f>
        <v>30868.0</v>
      </c>
      <c r="V413" s="32" t="n">
        <f>9147088197</f>
        <v>9.147088197E9</v>
      </c>
      <c r="W413" s="32" t="n">
        <f>3592288497</f>
        <v>3.592288497E9</v>
      </c>
      <c r="X413" s="36" t="n">
        <f>20</f>
        <v>20.0</v>
      </c>
    </row>
    <row r="414">
      <c r="A414" s="27" t="s">
        <v>42</v>
      </c>
      <c r="B414" s="27" t="s">
        <v>1290</v>
      </c>
      <c r="C414" s="27" t="s">
        <v>1291</v>
      </c>
      <c r="D414" s="27" t="s">
        <v>1292</v>
      </c>
      <c r="E414" s="28" t="s">
        <v>46</v>
      </c>
      <c r="F414" s="29" t="s">
        <v>46</v>
      </c>
      <c r="G414" s="30" t="s">
        <v>46</v>
      </c>
      <c r="H414" s="31"/>
      <c r="I414" s="31" t="s">
        <v>47</v>
      </c>
      <c r="J414" s="32" t="n">
        <v>1.0</v>
      </c>
      <c r="K414" s="33" t="n">
        <f>132200</f>
        <v>132200.0</v>
      </c>
      <c r="L414" s="34" t="s">
        <v>48</v>
      </c>
      <c r="M414" s="33" t="n">
        <f>133400</f>
        <v>133400.0</v>
      </c>
      <c r="N414" s="34" t="s">
        <v>83</v>
      </c>
      <c r="O414" s="33" t="n">
        <f>128800</f>
        <v>128800.0</v>
      </c>
      <c r="P414" s="34" t="s">
        <v>56</v>
      </c>
      <c r="Q414" s="33" t="n">
        <f>130500</f>
        <v>130500.0</v>
      </c>
      <c r="R414" s="34" t="s">
        <v>51</v>
      </c>
      <c r="S414" s="35" t="n">
        <f>130950</f>
        <v>130950.0</v>
      </c>
      <c r="T414" s="32" t="n">
        <f>476535</f>
        <v>476535.0</v>
      </c>
      <c r="U414" s="32" t="n">
        <f>97262</f>
        <v>97262.0</v>
      </c>
      <c r="V414" s="32" t="n">
        <f>62437617878</f>
        <v>6.2437617878E10</v>
      </c>
      <c r="W414" s="32" t="n">
        <f>12767540478</f>
        <v>1.2767540478E10</v>
      </c>
      <c r="X414" s="36" t="n">
        <f>22</f>
        <v>22.0</v>
      </c>
    </row>
    <row r="415">
      <c r="A415" s="27" t="s">
        <v>42</v>
      </c>
      <c r="B415" s="27" t="s">
        <v>1293</v>
      </c>
      <c r="C415" s="27" t="s">
        <v>1294</v>
      </c>
      <c r="D415" s="27" t="s">
        <v>1295</v>
      </c>
      <c r="E415" s="28" t="s">
        <v>46</v>
      </c>
      <c r="F415" s="29" t="s">
        <v>46</v>
      </c>
      <c r="G415" s="30" t="s">
        <v>46</v>
      </c>
      <c r="H415" s="31"/>
      <c r="I415" s="31" t="s">
        <v>47</v>
      </c>
      <c r="J415" s="32" t="n">
        <v>1.0</v>
      </c>
      <c r="K415" s="33" t="n">
        <f>578000</f>
        <v>578000.0</v>
      </c>
      <c r="L415" s="34" t="s">
        <v>48</v>
      </c>
      <c r="M415" s="33" t="n">
        <f>582000</f>
        <v>582000.0</v>
      </c>
      <c r="N415" s="34" t="s">
        <v>64</v>
      </c>
      <c r="O415" s="33" t="n">
        <f>553000</f>
        <v>553000.0</v>
      </c>
      <c r="P415" s="34" t="s">
        <v>60</v>
      </c>
      <c r="Q415" s="33" t="n">
        <f>554000</f>
        <v>554000.0</v>
      </c>
      <c r="R415" s="34" t="s">
        <v>51</v>
      </c>
      <c r="S415" s="35" t="n">
        <f>564954.55</f>
        <v>564954.55</v>
      </c>
      <c r="T415" s="32" t="n">
        <f>90638</f>
        <v>90638.0</v>
      </c>
      <c r="U415" s="32" t="n">
        <f>17164</f>
        <v>17164.0</v>
      </c>
      <c r="V415" s="32" t="n">
        <f>51212024475</f>
        <v>5.1212024475E10</v>
      </c>
      <c r="W415" s="32" t="n">
        <f>9706390475</f>
        <v>9.706390475E9</v>
      </c>
      <c r="X415" s="36" t="n">
        <f>22</f>
        <v>22.0</v>
      </c>
    </row>
    <row r="416">
      <c r="A416" s="27" t="s">
        <v>42</v>
      </c>
      <c r="B416" s="27" t="s">
        <v>1296</v>
      </c>
      <c r="C416" s="27" t="s">
        <v>1297</v>
      </c>
      <c r="D416" s="27" t="s">
        <v>1298</v>
      </c>
      <c r="E416" s="28" t="s">
        <v>46</v>
      </c>
      <c r="F416" s="29" t="s">
        <v>46</v>
      </c>
      <c r="G416" s="30" t="s">
        <v>46</v>
      </c>
      <c r="H416" s="31"/>
      <c r="I416" s="31" t="s">
        <v>47</v>
      </c>
      <c r="J416" s="32" t="n">
        <v>1.0</v>
      </c>
      <c r="K416" s="33" t="n">
        <f>97000</f>
        <v>97000.0</v>
      </c>
      <c r="L416" s="34" t="s">
        <v>48</v>
      </c>
      <c r="M416" s="33" t="n">
        <f>97000</f>
        <v>97000.0</v>
      </c>
      <c r="N416" s="34" t="s">
        <v>48</v>
      </c>
      <c r="O416" s="33" t="n">
        <f>93100</f>
        <v>93100.0</v>
      </c>
      <c r="P416" s="34" t="s">
        <v>51</v>
      </c>
      <c r="Q416" s="33" t="n">
        <f>93400</f>
        <v>93400.0</v>
      </c>
      <c r="R416" s="34" t="s">
        <v>51</v>
      </c>
      <c r="S416" s="35" t="n">
        <f>94818.18</f>
        <v>94818.18</v>
      </c>
      <c r="T416" s="32" t="n">
        <f>688380</f>
        <v>688380.0</v>
      </c>
      <c r="U416" s="32" t="n">
        <f>134179</f>
        <v>134179.0</v>
      </c>
      <c r="V416" s="32" t="n">
        <f>65576023018</f>
        <v>6.5576023018E10</v>
      </c>
      <c r="W416" s="32" t="n">
        <f>12790231418</f>
        <v>1.2790231418E10</v>
      </c>
      <c r="X416" s="36" t="n">
        <f>22</f>
        <v>22.0</v>
      </c>
    </row>
    <row r="417">
      <c r="A417" s="27" t="s">
        <v>42</v>
      </c>
      <c r="B417" s="27" t="s">
        <v>1299</v>
      </c>
      <c r="C417" s="27" t="s">
        <v>1300</v>
      </c>
      <c r="D417" s="27" t="s">
        <v>1301</v>
      </c>
      <c r="E417" s="28" t="s">
        <v>46</v>
      </c>
      <c r="F417" s="29" t="s">
        <v>46</v>
      </c>
      <c r="G417" s="30" t="s">
        <v>46</v>
      </c>
      <c r="H417" s="31"/>
      <c r="I417" s="31" t="s">
        <v>47</v>
      </c>
      <c r="J417" s="32" t="n">
        <v>1.0</v>
      </c>
      <c r="K417" s="33" t="n">
        <f>155000</f>
        <v>155000.0</v>
      </c>
      <c r="L417" s="34" t="s">
        <v>48</v>
      </c>
      <c r="M417" s="33" t="n">
        <f>158100</f>
        <v>158100.0</v>
      </c>
      <c r="N417" s="34" t="s">
        <v>51</v>
      </c>
      <c r="O417" s="33" t="n">
        <f>150000</f>
        <v>150000.0</v>
      </c>
      <c r="P417" s="34" t="s">
        <v>337</v>
      </c>
      <c r="Q417" s="33" t="n">
        <f>157300</f>
        <v>157300.0</v>
      </c>
      <c r="R417" s="34" t="s">
        <v>51</v>
      </c>
      <c r="S417" s="35" t="n">
        <f>153468.18</f>
        <v>153468.18</v>
      </c>
      <c r="T417" s="32" t="n">
        <f>198569</f>
        <v>198569.0</v>
      </c>
      <c r="U417" s="32" t="n">
        <f>50837</f>
        <v>50837.0</v>
      </c>
      <c r="V417" s="32" t="n">
        <f>30528448168</f>
        <v>3.0528448168E10</v>
      </c>
      <c r="W417" s="32" t="n">
        <f>7782055268</f>
        <v>7.782055268E9</v>
      </c>
      <c r="X417" s="36" t="n">
        <f>22</f>
        <v>22.0</v>
      </c>
    </row>
    <row r="418">
      <c r="A418" s="27" t="s">
        <v>42</v>
      </c>
      <c r="B418" s="27" t="s">
        <v>1302</v>
      </c>
      <c r="C418" s="27" t="s">
        <v>1303</v>
      </c>
      <c r="D418" s="27" t="s">
        <v>1304</v>
      </c>
      <c r="E418" s="28" t="s">
        <v>46</v>
      </c>
      <c r="F418" s="29" t="s">
        <v>46</v>
      </c>
      <c r="G418" s="30" t="s">
        <v>46</v>
      </c>
      <c r="H418" s="31"/>
      <c r="I418" s="31" t="s">
        <v>47</v>
      </c>
      <c r="J418" s="32" t="n">
        <v>1.0</v>
      </c>
      <c r="K418" s="33" t="n">
        <f>349500</f>
        <v>349500.0</v>
      </c>
      <c r="L418" s="34" t="s">
        <v>48</v>
      </c>
      <c r="M418" s="33" t="n">
        <f>349500</f>
        <v>349500.0</v>
      </c>
      <c r="N418" s="34" t="s">
        <v>48</v>
      </c>
      <c r="O418" s="33" t="n">
        <f>333000</f>
        <v>333000.0</v>
      </c>
      <c r="P418" s="34" t="s">
        <v>51</v>
      </c>
      <c r="Q418" s="33" t="n">
        <f>335000</f>
        <v>335000.0</v>
      </c>
      <c r="R418" s="34" t="s">
        <v>51</v>
      </c>
      <c r="S418" s="35" t="n">
        <f>338840.91</f>
        <v>338840.91</v>
      </c>
      <c r="T418" s="32" t="n">
        <f>44391</f>
        <v>44391.0</v>
      </c>
      <c r="U418" s="32" t="n">
        <f>11273</f>
        <v>11273.0</v>
      </c>
      <c r="V418" s="32" t="n">
        <f>15044470971</f>
        <v>1.5044470971E10</v>
      </c>
      <c r="W418" s="32" t="n">
        <f>3821086471</f>
        <v>3.821086471E9</v>
      </c>
      <c r="X418" s="36" t="n">
        <f>22</f>
        <v>22.0</v>
      </c>
    </row>
    <row r="419">
      <c r="A419" s="27" t="s">
        <v>42</v>
      </c>
      <c r="B419" s="27" t="s">
        <v>1305</v>
      </c>
      <c r="C419" s="27" t="s">
        <v>1306</v>
      </c>
      <c r="D419" s="27" t="s">
        <v>1307</v>
      </c>
      <c r="E419" s="28" t="s">
        <v>46</v>
      </c>
      <c r="F419" s="29" t="s">
        <v>46</v>
      </c>
      <c r="G419" s="30" t="s">
        <v>46</v>
      </c>
      <c r="H419" s="31"/>
      <c r="I419" s="31" t="s">
        <v>47</v>
      </c>
      <c r="J419" s="32" t="n">
        <v>1.0</v>
      </c>
      <c r="K419" s="33" t="n">
        <f>115000</f>
        <v>115000.0</v>
      </c>
      <c r="L419" s="34" t="s">
        <v>48</v>
      </c>
      <c r="M419" s="33" t="n">
        <f>115300</f>
        <v>115300.0</v>
      </c>
      <c r="N419" s="34" t="s">
        <v>64</v>
      </c>
      <c r="O419" s="33" t="n">
        <f>108800</f>
        <v>108800.0</v>
      </c>
      <c r="P419" s="34" t="s">
        <v>49</v>
      </c>
      <c r="Q419" s="33" t="n">
        <f>109200</f>
        <v>109200.0</v>
      </c>
      <c r="R419" s="34" t="s">
        <v>51</v>
      </c>
      <c r="S419" s="35" t="n">
        <f>111986.36</f>
        <v>111986.36</v>
      </c>
      <c r="T419" s="32" t="n">
        <f>96748</f>
        <v>96748.0</v>
      </c>
      <c r="U419" s="32" t="n">
        <f>17404</f>
        <v>17404.0</v>
      </c>
      <c r="V419" s="32" t="n">
        <f>10795880410</f>
        <v>1.079588041E10</v>
      </c>
      <c r="W419" s="32" t="n">
        <f>1947824410</f>
        <v>1.94782441E9</v>
      </c>
      <c r="X419" s="36" t="n">
        <f>22</f>
        <v>22.0</v>
      </c>
    </row>
    <row r="420">
      <c r="A420" s="27" t="s">
        <v>42</v>
      </c>
      <c r="B420" s="27" t="s">
        <v>1308</v>
      </c>
      <c r="C420" s="27" t="s">
        <v>1309</v>
      </c>
      <c r="D420" s="27" t="s">
        <v>1310</v>
      </c>
      <c r="E420" s="28" t="s">
        <v>46</v>
      </c>
      <c r="F420" s="29" t="s">
        <v>46</v>
      </c>
      <c r="G420" s="30" t="s">
        <v>46</v>
      </c>
      <c r="H420" s="31"/>
      <c r="I420" s="31" t="s">
        <v>47</v>
      </c>
      <c r="J420" s="32" t="n">
        <v>1.0</v>
      </c>
      <c r="K420" s="33" t="n">
        <f>156800</f>
        <v>156800.0</v>
      </c>
      <c r="L420" s="34" t="s">
        <v>48</v>
      </c>
      <c r="M420" s="33" t="n">
        <f>156800</f>
        <v>156800.0</v>
      </c>
      <c r="N420" s="34" t="s">
        <v>48</v>
      </c>
      <c r="O420" s="33" t="n">
        <f>152200</f>
        <v>152200.0</v>
      </c>
      <c r="P420" s="34" t="s">
        <v>181</v>
      </c>
      <c r="Q420" s="33" t="n">
        <f>154700</f>
        <v>154700.0</v>
      </c>
      <c r="R420" s="34" t="s">
        <v>51</v>
      </c>
      <c r="S420" s="35" t="n">
        <f>154581.82</f>
        <v>154581.82</v>
      </c>
      <c r="T420" s="32" t="n">
        <f>67190</f>
        <v>67190.0</v>
      </c>
      <c r="U420" s="32" t="n">
        <f>13435</f>
        <v>13435.0</v>
      </c>
      <c r="V420" s="32" t="n">
        <f>10392761193</f>
        <v>1.0392761193E10</v>
      </c>
      <c r="W420" s="32" t="n">
        <f>2077445093</f>
        <v>2.077445093E9</v>
      </c>
      <c r="X420" s="36" t="n">
        <f>22</f>
        <v>22.0</v>
      </c>
    </row>
    <row r="421">
      <c r="A421" s="27" t="s">
        <v>42</v>
      </c>
      <c r="B421" s="27" t="s">
        <v>1311</v>
      </c>
      <c r="C421" s="27" t="s">
        <v>1312</v>
      </c>
      <c r="D421" s="27" t="s">
        <v>1313</v>
      </c>
      <c r="E421" s="28" t="s">
        <v>46</v>
      </c>
      <c r="F421" s="29" t="s">
        <v>46</v>
      </c>
      <c r="G421" s="30" t="s">
        <v>46</v>
      </c>
      <c r="H421" s="31"/>
      <c r="I421" s="31" t="s">
        <v>47</v>
      </c>
      <c r="J421" s="32" t="n">
        <v>1.0</v>
      </c>
      <c r="K421" s="33" t="n">
        <f>99800</f>
        <v>99800.0</v>
      </c>
      <c r="L421" s="34" t="s">
        <v>48</v>
      </c>
      <c r="M421" s="33" t="n">
        <f>102100</f>
        <v>102100.0</v>
      </c>
      <c r="N421" s="34" t="s">
        <v>83</v>
      </c>
      <c r="O421" s="33" t="n">
        <f>97800</f>
        <v>97800.0</v>
      </c>
      <c r="P421" s="34" t="s">
        <v>56</v>
      </c>
      <c r="Q421" s="33" t="n">
        <f>98100</f>
        <v>98100.0</v>
      </c>
      <c r="R421" s="34" t="s">
        <v>51</v>
      </c>
      <c r="S421" s="35" t="n">
        <f>99827.27</f>
        <v>99827.27</v>
      </c>
      <c r="T421" s="32" t="n">
        <f>83386</f>
        <v>83386.0</v>
      </c>
      <c r="U421" s="32" t="n">
        <f>15263</f>
        <v>15263.0</v>
      </c>
      <c r="V421" s="32" t="n">
        <f>8321417616</f>
        <v>8.321417616E9</v>
      </c>
      <c r="W421" s="32" t="n">
        <f>1522233116</f>
        <v>1.522233116E9</v>
      </c>
      <c r="X421" s="36" t="n">
        <f>22</f>
        <v>22.0</v>
      </c>
    </row>
    <row r="422">
      <c r="A422" s="27" t="s">
        <v>42</v>
      </c>
      <c r="B422" s="27" t="s">
        <v>1314</v>
      </c>
      <c r="C422" s="27" t="s">
        <v>1315</v>
      </c>
      <c r="D422" s="27" t="s">
        <v>1316</v>
      </c>
      <c r="E422" s="28" t="s">
        <v>46</v>
      </c>
      <c r="F422" s="29" t="s">
        <v>46</v>
      </c>
      <c r="G422" s="30" t="s">
        <v>46</v>
      </c>
      <c r="H422" s="31"/>
      <c r="I422" s="31" t="s">
        <v>47</v>
      </c>
      <c r="J422" s="32" t="n">
        <v>1.0</v>
      </c>
      <c r="K422" s="33" t="n">
        <f>139400</f>
        <v>139400.0</v>
      </c>
      <c r="L422" s="34" t="s">
        <v>48</v>
      </c>
      <c r="M422" s="33" t="n">
        <f>139500</f>
        <v>139500.0</v>
      </c>
      <c r="N422" s="34" t="s">
        <v>76</v>
      </c>
      <c r="O422" s="33" t="n">
        <f>134600</f>
        <v>134600.0</v>
      </c>
      <c r="P422" s="34" t="s">
        <v>56</v>
      </c>
      <c r="Q422" s="33" t="n">
        <f>136700</f>
        <v>136700.0</v>
      </c>
      <c r="R422" s="34" t="s">
        <v>51</v>
      </c>
      <c r="S422" s="35" t="n">
        <f>136840.91</f>
        <v>136840.91</v>
      </c>
      <c r="T422" s="32" t="n">
        <f>165737</f>
        <v>165737.0</v>
      </c>
      <c r="U422" s="32" t="n">
        <f>33725</f>
        <v>33725.0</v>
      </c>
      <c r="V422" s="32" t="n">
        <f>22685014833</f>
        <v>2.2685014833E10</v>
      </c>
      <c r="W422" s="32" t="n">
        <f>4618251733</f>
        <v>4.618251733E9</v>
      </c>
      <c r="X422" s="36" t="n">
        <f>22</f>
        <v>22.0</v>
      </c>
    </row>
    <row r="423">
      <c r="A423" s="27" t="s">
        <v>42</v>
      </c>
      <c r="B423" s="27" t="s">
        <v>1317</v>
      </c>
      <c r="C423" s="27" t="s">
        <v>1318</v>
      </c>
      <c r="D423" s="27" t="s">
        <v>1319</v>
      </c>
      <c r="E423" s="28" t="s">
        <v>46</v>
      </c>
      <c r="F423" s="29" t="s">
        <v>46</v>
      </c>
      <c r="G423" s="30" t="s">
        <v>46</v>
      </c>
      <c r="H423" s="31"/>
      <c r="I423" s="31" t="s">
        <v>47</v>
      </c>
      <c r="J423" s="32" t="n">
        <v>1.0</v>
      </c>
      <c r="K423" s="33" t="n">
        <f>65200</f>
        <v>65200.0</v>
      </c>
      <c r="L423" s="34" t="s">
        <v>48</v>
      </c>
      <c r="M423" s="33" t="n">
        <f>65200</f>
        <v>65200.0</v>
      </c>
      <c r="N423" s="34" t="s">
        <v>48</v>
      </c>
      <c r="O423" s="33" t="n">
        <f>60600</f>
        <v>60600.0</v>
      </c>
      <c r="P423" s="34" t="s">
        <v>56</v>
      </c>
      <c r="Q423" s="33" t="n">
        <f>61500</f>
        <v>61500.0</v>
      </c>
      <c r="R423" s="34" t="s">
        <v>51</v>
      </c>
      <c r="S423" s="35" t="n">
        <f>62859.09</f>
        <v>62859.09</v>
      </c>
      <c r="T423" s="32" t="n">
        <f>162978</f>
        <v>162978.0</v>
      </c>
      <c r="U423" s="32" t="n">
        <f>40082</f>
        <v>40082.0</v>
      </c>
      <c r="V423" s="32" t="n">
        <f>10220637886</f>
        <v>1.0220637886E10</v>
      </c>
      <c r="W423" s="32" t="n">
        <f>2512065786</f>
        <v>2.512065786E9</v>
      </c>
      <c r="X423" s="36" t="n">
        <f>22</f>
        <v>22.0</v>
      </c>
    </row>
    <row r="424">
      <c r="A424" s="27" t="s">
        <v>42</v>
      </c>
      <c r="B424" s="27" t="s">
        <v>1320</v>
      </c>
      <c r="C424" s="27" t="s">
        <v>1321</v>
      </c>
      <c r="D424" s="27" t="s">
        <v>1322</v>
      </c>
      <c r="E424" s="28" t="s">
        <v>46</v>
      </c>
      <c r="F424" s="29" t="s">
        <v>46</v>
      </c>
      <c r="G424" s="30" t="s">
        <v>46</v>
      </c>
      <c r="H424" s="31"/>
      <c r="I424" s="31" t="s">
        <v>47</v>
      </c>
      <c r="J424" s="32" t="n">
        <v>1.0</v>
      </c>
      <c r="K424" s="33" t="n">
        <f>62500</f>
        <v>62500.0</v>
      </c>
      <c r="L424" s="34" t="s">
        <v>48</v>
      </c>
      <c r="M424" s="33" t="n">
        <f>63100</f>
        <v>63100.0</v>
      </c>
      <c r="N424" s="34" t="s">
        <v>55</v>
      </c>
      <c r="O424" s="33" t="n">
        <f>60800</f>
        <v>60800.0</v>
      </c>
      <c r="P424" s="34" t="s">
        <v>72</v>
      </c>
      <c r="Q424" s="33" t="n">
        <f>62300</f>
        <v>62300.0</v>
      </c>
      <c r="R424" s="34" t="s">
        <v>51</v>
      </c>
      <c r="S424" s="35" t="n">
        <f>61845.45</f>
        <v>61845.45</v>
      </c>
      <c r="T424" s="32" t="n">
        <f>576224</f>
        <v>576224.0</v>
      </c>
      <c r="U424" s="32" t="n">
        <f>160630</f>
        <v>160630.0</v>
      </c>
      <c r="V424" s="32" t="n">
        <f>35667366133</f>
        <v>3.5667366133E10</v>
      </c>
      <c r="W424" s="32" t="n">
        <f>9934024533</f>
        <v>9.934024533E9</v>
      </c>
      <c r="X424" s="36" t="n">
        <f>22</f>
        <v>22.0</v>
      </c>
    </row>
    <row r="425">
      <c r="A425" s="27" t="s">
        <v>42</v>
      </c>
      <c r="B425" s="27" t="s">
        <v>1323</v>
      </c>
      <c r="C425" s="27" t="s">
        <v>1324</v>
      </c>
      <c r="D425" s="27" t="s">
        <v>1325</v>
      </c>
      <c r="E425" s="28" t="s">
        <v>46</v>
      </c>
      <c r="F425" s="29" t="s">
        <v>46</v>
      </c>
      <c r="G425" s="30" t="s">
        <v>46</v>
      </c>
      <c r="H425" s="31"/>
      <c r="I425" s="31" t="s">
        <v>47</v>
      </c>
      <c r="J425" s="32" t="n">
        <v>1.0</v>
      </c>
      <c r="K425" s="33" t="n">
        <f>427000</f>
        <v>427000.0</v>
      </c>
      <c r="L425" s="34" t="s">
        <v>48</v>
      </c>
      <c r="M425" s="33" t="n">
        <f>427000</f>
        <v>427000.0</v>
      </c>
      <c r="N425" s="34" t="s">
        <v>48</v>
      </c>
      <c r="O425" s="33" t="n">
        <f>401500</f>
        <v>401500.0</v>
      </c>
      <c r="P425" s="34" t="s">
        <v>60</v>
      </c>
      <c r="Q425" s="33" t="n">
        <f>404000</f>
        <v>404000.0</v>
      </c>
      <c r="R425" s="34" t="s">
        <v>51</v>
      </c>
      <c r="S425" s="35" t="n">
        <f>412750</f>
        <v>412750.0</v>
      </c>
      <c r="T425" s="32" t="n">
        <f>28404</f>
        <v>28404.0</v>
      </c>
      <c r="U425" s="32" t="n">
        <f>7744</f>
        <v>7744.0</v>
      </c>
      <c r="V425" s="32" t="n">
        <f>11731632525</f>
        <v>1.1731632525E10</v>
      </c>
      <c r="W425" s="32" t="n">
        <f>3199465025</f>
        <v>3.199465025E9</v>
      </c>
      <c r="X425" s="36" t="n">
        <f>22</f>
        <v>22.0</v>
      </c>
    </row>
    <row r="426">
      <c r="A426" s="27" t="s">
        <v>42</v>
      </c>
      <c r="B426" s="27" t="s">
        <v>1326</v>
      </c>
      <c r="C426" s="27" t="s">
        <v>1327</v>
      </c>
      <c r="D426" s="27" t="s">
        <v>1328</v>
      </c>
      <c r="E426" s="28" t="s">
        <v>46</v>
      </c>
      <c r="F426" s="29" t="s">
        <v>46</v>
      </c>
      <c r="G426" s="30" t="s">
        <v>46</v>
      </c>
      <c r="H426" s="31"/>
      <c r="I426" s="31" t="s">
        <v>47</v>
      </c>
      <c r="J426" s="32" t="n">
        <v>1.0</v>
      </c>
      <c r="K426" s="33" t="n">
        <f>130200</f>
        <v>130200.0</v>
      </c>
      <c r="L426" s="34" t="s">
        <v>48</v>
      </c>
      <c r="M426" s="33" t="n">
        <f>130200</f>
        <v>130200.0</v>
      </c>
      <c r="N426" s="34" t="s">
        <v>48</v>
      </c>
      <c r="O426" s="33" t="n">
        <f>121500</f>
        <v>121500.0</v>
      </c>
      <c r="P426" s="34" t="s">
        <v>50</v>
      </c>
      <c r="Q426" s="33" t="n">
        <f>121800</f>
        <v>121800.0</v>
      </c>
      <c r="R426" s="34" t="s">
        <v>51</v>
      </c>
      <c r="S426" s="35" t="n">
        <f>124913.64</f>
        <v>124913.64</v>
      </c>
      <c r="T426" s="32" t="n">
        <f>90416</f>
        <v>90416.0</v>
      </c>
      <c r="U426" s="32" t="n">
        <f>13949</f>
        <v>13949.0</v>
      </c>
      <c r="V426" s="32" t="n">
        <f>11256981239</f>
        <v>1.1256981239E10</v>
      </c>
      <c r="W426" s="32" t="n">
        <f>1738948839</f>
        <v>1.738948839E9</v>
      </c>
      <c r="X426" s="36" t="n">
        <f>22</f>
        <v>22.0</v>
      </c>
    </row>
    <row r="427">
      <c r="A427" s="27" t="s">
        <v>42</v>
      </c>
      <c r="B427" s="27" t="s">
        <v>1329</v>
      </c>
      <c r="C427" s="27" t="s">
        <v>1330</v>
      </c>
      <c r="D427" s="27" t="s">
        <v>1331</v>
      </c>
      <c r="E427" s="28" t="s">
        <v>46</v>
      </c>
      <c r="F427" s="29" t="s">
        <v>46</v>
      </c>
      <c r="G427" s="30" t="s">
        <v>46</v>
      </c>
      <c r="H427" s="31"/>
      <c r="I427" s="31" t="s">
        <v>47</v>
      </c>
      <c r="J427" s="32" t="n">
        <v>1.0</v>
      </c>
      <c r="K427" s="33" t="n">
        <f>275500</f>
        <v>275500.0</v>
      </c>
      <c r="L427" s="34" t="s">
        <v>48</v>
      </c>
      <c r="M427" s="33" t="n">
        <f>278900</f>
        <v>278900.0</v>
      </c>
      <c r="N427" s="34" t="s">
        <v>83</v>
      </c>
      <c r="O427" s="33" t="n">
        <f>266900</f>
        <v>266900.0</v>
      </c>
      <c r="P427" s="34" t="s">
        <v>65</v>
      </c>
      <c r="Q427" s="33" t="n">
        <f>272900</f>
        <v>272900.0</v>
      </c>
      <c r="R427" s="34" t="s">
        <v>51</v>
      </c>
      <c r="S427" s="35" t="n">
        <f>273413.64</f>
        <v>273413.64</v>
      </c>
      <c r="T427" s="32" t="n">
        <f>46861</f>
        <v>46861.0</v>
      </c>
      <c r="U427" s="32" t="n">
        <f>8784</f>
        <v>8784.0</v>
      </c>
      <c r="V427" s="32" t="n">
        <f>12813401916</f>
        <v>1.2813401916E10</v>
      </c>
      <c r="W427" s="32" t="n">
        <f>2404270716</f>
        <v>2.404270716E9</v>
      </c>
      <c r="X427" s="36" t="n">
        <f>22</f>
        <v>22.0</v>
      </c>
    </row>
    <row r="428">
      <c r="A428" s="27" t="s">
        <v>42</v>
      </c>
      <c r="B428" s="27" t="s">
        <v>1332</v>
      </c>
      <c r="C428" s="27" t="s">
        <v>1333</v>
      </c>
      <c r="D428" s="27" t="s">
        <v>1334</v>
      </c>
      <c r="E428" s="28" t="s">
        <v>46</v>
      </c>
      <c r="F428" s="29" t="s">
        <v>46</v>
      </c>
      <c r="G428" s="30" t="s">
        <v>46</v>
      </c>
      <c r="H428" s="31"/>
      <c r="I428" s="31" t="s">
        <v>47</v>
      </c>
      <c r="J428" s="32" t="n">
        <v>1.0</v>
      </c>
      <c r="K428" s="33" t="n">
        <f>147000</f>
        <v>147000.0</v>
      </c>
      <c r="L428" s="34" t="s">
        <v>48</v>
      </c>
      <c r="M428" s="33" t="n">
        <f>148000</f>
        <v>148000.0</v>
      </c>
      <c r="N428" s="34" t="s">
        <v>64</v>
      </c>
      <c r="O428" s="33" t="n">
        <f>141000</f>
        <v>141000.0</v>
      </c>
      <c r="P428" s="34" t="s">
        <v>56</v>
      </c>
      <c r="Q428" s="33" t="n">
        <f>142200</f>
        <v>142200.0</v>
      </c>
      <c r="R428" s="34" t="s">
        <v>51</v>
      </c>
      <c r="S428" s="35" t="n">
        <f>144163.64</f>
        <v>144163.64</v>
      </c>
      <c r="T428" s="32" t="n">
        <f>55109</f>
        <v>55109.0</v>
      </c>
      <c r="U428" s="32" t="n">
        <f>11139</f>
        <v>11139.0</v>
      </c>
      <c r="V428" s="32" t="n">
        <f>7956934859</f>
        <v>7.956934859E9</v>
      </c>
      <c r="W428" s="32" t="n">
        <f>1611760359</f>
        <v>1.611760359E9</v>
      </c>
      <c r="X428" s="36" t="n">
        <f>22</f>
        <v>22.0</v>
      </c>
    </row>
    <row r="429">
      <c r="A429" s="27" t="s">
        <v>42</v>
      </c>
      <c r="B429" s="27" t="s">
        <v>1335</v>
      </c>
      <c r="C429" s="27" t="s">
        <v>1336</v>
      </c>
      <c r="D429" s="27" t="s">
        <v>1337</v>
      </c>
      <c r="E429" s="28" t="s">
        <v>46</v>
      </c>
      <c r="F429" s="29" t="s">
        <v>46</v>
      </c>
      <c r="G429" s="30" t="s">
        <v>46</v>
      </c>
      <c r="H429" s="31"/>
      <c r="I429" s="31" t="s">
        <v>47</v>
      </c>
      <c r="J429" s="32" t="n">
        <v>1.0</v>
      </c>
      <c r="K429" s="33" t="n">
        <f>151200</f>
        <v>151200.0</v>
      </c>
      <c r="L429" s="34" t="s">
        <v>48</v>
      </c>
      <c r="M429" s="33" t="n">
        <f>151300</f>
        <v>151300.0</v>
      </c>
      <c r="N429" s="34" t="s">
        <v>235</v>
      </c>
      <c r="O429" s="33" t="n">
        <f>144000</f>
        <v>144000.0</v>
      </c>
      <c r="P429" s="34" t="s">
        <v>49</v>
      </c>
      <c r="Q429" s="33" t="n">
        <f>145100</f>
        <v>145100.0</v>
      </c>
      <c r="R429" s="34" t="s">
        <v>51</v>
      </c>
      <c r="S429" s="35" t="n">
        <f>148936.36</f>
        <v>148936.36</v>
      </c>
      <c r="T429" s="32" t="n">
        <f>282750</f>
        <v>282750.0</v>
      </c>
      <c r="U429" s="32" t="n">
        <f>60115</f>
        <v>60115.0</v>
      </c>
      <c r="V429" s="32" t="n">
        <f>42055466624</f>
        <v>4.2055466624E10</v>
      </c>
      <c r="W429" s="32" t="n">
        <f>8966703124</f>
        <v>8.966703124E9</v>
      </c>
      <c r="X429" s="36" t="n">
        <f>22</f>
        <v>22.0</v>
      </c>
    </row>
    <row r="430">
      <c r="A430" s="27" t="s">
        <v>42</v>
      </c>
      <c r="B430" s="27" t="s">
        <v>1338</v>
      </c>
      <c r="C430" s="27" t="s">
        <v>1339</v>
      </c>
      <c r="D430" s="27" t="s">
        <v>1340</v>
      </c>
      <c r="E430" s="28" t="s">
        <v>46</v>
      </c>
      <c r="F430" s="29" t="s">
        <v>46</v>
      </c>
      <c r="G430" s="30" t="s">
        <v>46</v>
      </c>
      <c r="H430" s="31"/>
      <c r="I430" s="31" t="s">
        <v>47</v>
      </c>
      <c r="J430" s="32" t="n">
        <v>1.0</v>
      </c>
      <c r="K430" s="33" t="n">
        <f>83300</f>
        <v>83300.0</v>
      </c>
      <c r="L430" s="34" t="s">
        <v>48</v>
      </c>
      <c r="M430" s="33" t="n">
        <f>84400</f>
        <v>84400.0</v>
      </c>
      <c r="N430" s="34" t="s">
        <v>55</v>
      </c>
      <c r="O430" s="33" t="n">
        <f>77400</f>
        <v>77400.0</v>
      </c>
      <c r="P430" s="34" t="s">
        <v>49</v>
      </c>
      <c r="Q430" s="33" t="n">
        <f>78200</f>
        <v>78200.0</v>
      </c>
      <c r="R430" s="34" t="s">
        <v>51</v>
      </c>
      <c r="S430" s="35" t="n">
        <f>81590.91</f>
        <v>81590.91</v>
      </c>
      <c r="T430" s="32" t="n">
        <f>126119</f>
        <v>126119.0</v>
      </c>
      <c r="U430" s="32" t="n">
        <f>17473</f>
        <v>17473.0</v>
      </c>
      <c r="V430" s="32" t="n">
        <f>10235473541</f>
        <v>1.0235473541E10</v>
      </c>
      <c r="W430" s="32" t="n">
        <f>1424604641</f>
        <v>1.424604641E9</v>
      </c>
      <c r="X430" s="36" t="n">
        <f>22</f>
        <v>22.0</v>
      </c>
    </row>
    <row r="431">
      <c r="A431" s="27" t="s">
        <v>42</v>
      </c>
      <c r="B431" s="27" t="s">
        <v>1341</v>
      </c>
      <c r="C431" s="27" t="s">
        <v>1342</v>
      </c>
      <c r="D431" s="27" t="s">
        <v>1343</v>
      </c>
      <c r="E431" s="28" t="s">
        <v>46</v>
      </c>
      <c r="F431" s="29" t="s">
        <v>46</v>
      </c>
      <c r="G431" s="30" t="s">
        <v>46</v>
      </c>
      <c r="H431" s="31"/>
      <c r="I431" s="31" t="s">
        <v>47</v>
      </c>
      <c r="J431" s="32" t="n">
        <v>1.0</v>
      </c>
      <c r="K431" s="33" t="n">
        <f>307500</f>
        <v>307500.0</v>
      </c>
      <c r="L431" s="34" t="s">
        <v>48</v>
      </c>
      <c r="M431" s="33" t="n">
        <f>311000</f>
        <v>311000.0</v>
      </c>
      <c r="N431" s="34" t="s">
        <v>48</v>
      </c>
      <c r="O431" s="33" t="n">
        <f>293100</f>
        <v>293100.0</v>
      </c>
      <c r="P431" s="34" t="s">
        <v>50</v>
      </c>
      <c r="Q431" s="33" t="n">
        <f>301000</f>
        <v>301000.0</v>
      </c>
      <c r="R431" s="34" t="s">
        <v>51</v>
      </c>
      <c r="S431" s="35" t="n">
        <f>302177.27</f>
        <v>302177.27</v>
      </c>
      <c r="T431" s="32" t="n">
        <f>31296</f>
        <v>31296.0</v>
      </c>
      <c r="U431" s="32" t="n">
        <f>5588</f>
        <v>5588.0</v>
      </c>
      <c r="V431" s="32" t="n">
        <f>9463914478</f>
        <v>9.463914478E9</v>
      </c>
      <c r="W431" s="32" t="n">
        <f>1690453078</f>
        <v>1.690453078E9</v>
      </c>
      <c r="X431" s="36" t="n">
        <f>22</f>
        <v>22.0</v>
      </c>
    </row>
    <row r="432">
      <c r="A432" s="27" t="s">
        <v>42</v>
      </c>
      <c r="B432" s="27" t="s">
        <v>1344</v>
      </c>
      <c r="C432" s="27" t="s">
        <v>1345</v>
      </c>
      <c r="D432" s="27" t="s">
        <v>1346</v>
      </c>
      <c r="E432" s="28" t="s">
        <v>46</v>
      </c>
      <c r="F432" s="29" t="s">
        <v>46</v>
      </c>
      <c r="G432" s="30" t="s">
        <v>46</v>
      </c>
      <c r="H432" s="31"/>
      <c r="I432" s="31" t="s">
        <v>47</v>
      </c>
      <c r="J432" s="32" t="n">
        <v>1.0</v>
      </c>
      <c r="K432" s="33" t="n">
        <f>125000</f>
        <v>125000.0</v>
      </c>
      <c r="L432" s="34" t="s">
        <v>48</v>
      </c>
      <c r="M432" s="33" t="n">
        <f>125100</f>
        <v>125100.0</v>
      </c>
      <c r="N432" s="34" t="s">
        <v>64</v>
      </c>
      <c r="O432" s="33" t="n">
        <f>118700</f>
        <v>118700.0</v>
      </c>
      <c r="P432" s="34" t="s">
        <v>267</v>
      </c>
      <c r="Q432" s="33" t="n">
        <f>120600</f>
        <v>120600.0</v>
      </c>
      <c r="R432" s="34" t="s">
        <v>51</v>
      </c>
      <c r="S432" s="35" t="n">
        <f>121863.64</f>
        <v>121863.64</v>
      </c>
      <c r="T432" s="32" t="n">
        <f>36049</f>
        <v>36049.0</v>
      </c>
      <c r="U432" s="32" t="n">
        <f>5916</f>
        <v>5916.0</v>
      </c>
      <c r="V432" s="32" t="n">
        <f>4397252877</f>
        <v>4.397252877E9</v>
      </c>
      <c r="W432" s="32" t="n">
        <f>725006077</f>
        <v>7.25006077E8</v>
      </c>
      <c r="X432" s="36" t="n">
        <f>22</f>
        <v>22.0</v>
      </c>
    </row>
    <row r="433">
      <c r="A433" s="27" t="s">
        <v>42</v>
      </c>
      <c r="B433" s="27" t="s">
        <v>1347</v>
      </c>
      <c r="C433" s="27" t="s">
        <v>1348</v>
      </c>
      <c r="D433" s="27" t="s">
        <v>1349</v>
      </c>
      <c r="E433" s="28" t="s">
        <v>46</v>
      </c>
      <c r="F433" s="29" t="s">
        <v>46</v>
      </c>
      <c r="G433" s="30" t="s">
        <v>46</v>
      </c>
      <c r="H433" s="31"/>
      <c r="I433" s="31" t="s">
        <v>428</v>
      </c>
      <c r="J433" s="32" t="n">
        <v>1.0</v>
      </c>
      <c r="K433" s="33" t="n">
        <f>193800</f>
        <v>193800.0</v>
      </c>
      <c r="L433" s="34" t="s">
        <v>48</v>
      </c>
      <c r="M433" s="33" t="n">
        <f>193800</f>
        <v>193800.0</v>
      </c>
      <c r="N433" s="34" t="s">
        <v>48</v>
      </c>
      <c r="O433" s="33" t="n">
        <f>174500</f>
        <v>174500.0</v>
      </c>
      <c r="P433" s="34" t="s">
        <v>51</v>
      </c>
      <c r="Q433" s="33" t="n">
        <f>174500</f>
        <v>174500.0</v>
      </c>
      <c r="R433" s="34" t="s">
        <v>51</v>
      </c>
      <c r="S433" s="35" t="n">
        <f>182981.82</f>
        <v>182981.82</v>
      </c>
      <c r="T433" s="32" t="n">
        <f>19862</f>
        <v>19862.0</v>
      </c>
      <c r="U433" s="32" t="n">
        <f>1905</f>
        <v>1905.0</v>
      </c>
      <c r="V433" s="32" t="n">
        <f>3626593812</f>
        <v>3.626593812E9</v>
      </c>
      <c r="W433" s="32" t="n">
        <f>350110512</f>
        <v>3.50110512E8</v>
      </c>
      <c r="X433" s="36" t="n">
        <f>22</f>
        <v>22.0</v>
      </c>
    </row>
    <row r="434">
      <c r="A434" s="27" t="s">
        <v>42</v>
      </c>
      <c r="B434" s="27" t="s">
        <v>1350</v>
      </c>
      <c r="C434" s="27" t="s">
        <v>1351</v>
      </c>
      <c r="D434" s="27" t="s">
        <v>1352</v>
      </c>
      <c r="E434" s="28" t="s">
        <v>46</v>
      </c>
      <c r="F434" s="29" t="s">
        <v>46</v>
      </c>
      <c r="G434" s="30" t="s">
        <v>46</v>
      </c>
      <c r="H434" s="31"/>
      <c r="I434" s="31" t="s">
        <v>47</v>
      </c>
      <c r="J434" s="32" t="n">
        <v>1.0</v>
      </c>
      <c r="K434" s="33" t="n">
        <f>235100</f>
        <v>235100.0</v>
      </c>
      <c r="L434" s="34" t="s">
        <v>48</v>
      </c>
      <c r="M434" s="33" t="n">
        <f>235800</f>
        <v>235800.0</v>
      </c>
      <c r="N434" s="34" t="s">
        <v>48</v>
      </c>
      <c r="O434" s="33" t="n">
        <f>228000</f>
        <v>228000.0</v>
      </c>
      <c r="P434" s="34" t="s">
        <v>92</v>
      </c>
      <c r="Q434" s="33" t="n">
        <f>232100</f>
        <v>232100.0</v>
      </c>
      <c r="R434" s="34" t="s">
        <v>51</v>
      </c>
      <c r="S434" s="35" t="n">
        <f>231422.73</f>
        <v>231422.73</v>
      </c>
      <c r="T434" s="32" t="n">
        <f>145178</f>
        <v>145178.0</v>
      </c>
      <c r="U434" s="32" t="n">
        <f>25969</f>
        <v>25969.0</v>
      </c>
      <c r="V434" s="32" t="n">
        <f>33585887825</f>
        <v>3.3585887825E10</v>
      </c>
      <c r="W434" s="32" t="n">
        <f>6008499225</f>
        <v>6.008499225E9</v>
      </c>
      <c r="X434" s="36" t="n">
        <f>22</f>
        <v>22.0</v>
      </c>
    </row>
    <row r="435">
      <c r="A435" s="27" t="s">
        <v>42</v>
      </c>
      <c r="B435" s="27" t="s">
        <v>1353</v>
      </c>
      <c r="C435" s="27" t="s">
        <v>1354</v>
      </c>
      <c r="D435" s="27" t="s">
        <v>1355</v>
      </c>
      <c r="E435" s="28" t="s">
        <v>46</v>
      </c>
      <c r="F435" s="29" t="s">
        <v>46</v>
      </c>
      <c r="G435" s="30" t="s">
        <v>46</v>
      </c>
      <c r="H435" s="31"/>
      <c r="I435" s="31" t="s">
        <v>47</v>
      </c>
      <c r="J435" s="32" t="n">
        <v>1.0</v>
      </c>
      <c r="K435" s="33" t="n">
        <f>71600</f>
        <v>71600.0</v>
      </c>
      <c r="L435" s="34" t="s">
        <v>48</v>
      </c>
      <c r="M435" s="33" t="n">
        <f>72100</f>
        <v>72100.0</v>
      </c>
      <c r="N435" s="34" t="s">
        <v>55</v>
      </c>
      <c r="O435" s="33" t="n">
        <f>69200</f>
        <v>69200.0</v>
      </c>
      <c r="P435" s="34" t="s">
        <v>65</v>
      </c>
      <c r="Q435" s="33" t="n">
        <f>70500</f>
        <v>70500.0</v>
      </c>
      <c r="R435" s="34" t="s">
        <v>51</v>
      </c>
      <c r="S435" s="35" t="n">
        <f>70368.18</f>
        <v>70368.18</v>
      </c>
      <c r="T435" s="32" t="n">
        <f>376336</f>
        <v>376336.0</v>
      </c>
      <c r="U435" s="32" t="n">
        <f>91528</f>
        <v>91528.0</v>
      </c>
      <c r="V435" s="32" t="n">
        <f>26482308696</f>
        <v>2.6482308696E10</v>
      </c>
      <c r="W435" s="32" t="n">
        <f>6441778996</f>
        <v>6.441778996E9</v>
      </c>
      <c r="X435" s="36" t="n">
        <f>22</f>
        <v>22.0</v>
      </c>
    </row>
    <row r="436">
      <c r="A436" s="27" t="s">
        <v>42</v>
      </c>
      <c r="B436" s="27" t="s">
        <v>1356</v>
      </c>
      <c r="C436" s="27" t="s">
        <v>1357</v>
      </c>
      <c r="D436" s="27" t="s">
        <v>1358</v>
      </c>
      <c r="E436" s="28" t="s">
        <v>46</v>
      </c>
      <c r="F436" s="29" t="s">
        <v>46</v>
      </c>
      <c r="G436" s="30" t="s">
        <v>46</v>
      </c>
      <c r="H436" s="31"/>
      <c r="I436" s="31" t="s">
        <v>47</v>
      </c>
      <c r="J436" s="32" t="n">
        <v>1.0</v>
      </c>
      <c r="K436" s="33" t="n">
        <f>97700</f>
        <v>97700.0</v>
      </c>
      <c r="L436" s="34" t="s">
        <v>48</v>
      </c>
      <c r="M436" s="33" t="n">
        <f>98000</f>
        <v>98000.0</v>
      </c>
      <c r="N436" s="34" t="s">
        <v>48</v>
      </c>
      <c r="O436" s="33" t="n">
        <f>90900</f>
        <v>90900.0</v>
      </c>
      <c r="P436" s="34" t="s">
        <v>56</v>
      </c>
      <c r="Q436" s="33" t="n">
        <f>91600</f>
        <v>91600.0</v>
      </c>
      <c r="R436" s="34" t="s">
        <v>51</v>
      </c>
      <c r="S436" s="35" t="n">
        <f>94172.73</f>
        <v>94172.73</v>
      </c>
      <c r="T436" s="32" t="n">
        <f>108719</f>
        <v>108719.0</v>
      </c>
      <c r="U436" s="32" t="n">
        <f>19340</f>
        <v>19340.0</v>
      </c>
      <c r="V436" s="32" t="n">
        <f>10238414411</f>
        <v>1.0238414411E10</v>
      </c>
      <c r="W436" s="32" t="n">
        <f>1828405911</f>
        <v>1.828405911E9</v>
      </c>
      <c r="X436" s="36" t="n">
        <f>22</f>
        <v>22.0</v>
      </c>
    </row>
    <row r="437">
      <c r="A437" s="27" t="s">
        <v>42</v>
      </c>
      <c r="B437" s="27" t="s">
        <v>1359</v>
      </c>
      <c r="C437" s="27" t="s">
        <v>1360</v>
      </c>
      <c r="D437" s="27" t="s">
        <v>1361</v>
      </c>
      <c r="E437" s="28" t="s">
        <v>46</v>
      </c>
      <c r="F437" s="29" t="s">
        <v>46</v>
      </c>
      <c r="G437" s="30" t="s">
        <v>46</v>
      </c>
      <c r="H437" s="31"/>
      <c r="I437" s="31" t="s">
        <v>47</v>
      </c>
      <c r="J437" s="32" t="n">
        <v>1.0</v>
      </c>
      <c r="K437" s="33" t="n">
        <f>123200</f>
        <v>123200.0</v>
      </c>
      <c r="L437" s="34" t="s">
        <v>48</v>
      </c>
      <c r="M437" s="33" t="n">
        <f>123300</f>
        <v>123300.0</v>
      </c>
      <c r="N437" s="34" t="s">
        <v>48</v>
      </c>
      <c r="O437" s="33" t="n">
        <f>116900</f>
        <v>116900.0</v>
      </c>
      <c r="P437" s="34" t="s">
        <v>50</v>
      </c>
      <c r="Q437" s="33" t="n">
        <f>117900</f>
        <v>117900.0</v>
      </c>
      <c r="R437" s="34" t="s">
        <v>51</v>
      </c>
      <c r="S437" s="35" t="n">
        <f>119377.27</f>
        <v>119377.27</v>
      </c>
      <c r="T437" s="32" t="n">
        <f>59618</f>
        <v>59618.0</v>
      </c>
      <c r="U437" s="32" t="n">
        <f>10310</f>
        <v>10310.0</v>
      </c>
      <c r="V437" s="32" t="n">
        <f>7125741586</f>
        <v>7.125741586E9</v>
      </c>
      <c r="W437" s="32" t="n">
        <f>1234361686</f>
        <v>1.234361686E9</v>
      </c>
      <c r="X437" s="36" t="n">
        <f>22</f>
        <v>22.0</v>
      </c>
    </row>
    <row r="438">
      <c r="A438" s="27" t="s">
        <v>42</v>
      </c>
      <c r="B438" s="27" t="s">
        <v>1362</v>
      </c>
      <c r="C438" s="27" t="s">
        <v>1363</v>
      </c>
      <c r="D438" s="27" t="s">
        <v>1364</v>
      </c>
      <c r="E438" s="28" t="s">
        <v>46</v>
      </c>
      <c r="F438" s="29" t="s">
        <v>46</v>
      </c>
      <c r="G438" s="30" t="s">
        <v>46</v>
      </c>
      <c r="H438" s="31"/>
      <c r="I438" s="31" t="s">
        <v>428</v>
      </c>
      <c r="J438" s="32" t="n">
        <v>1.0</v>
      </c>
      <c r="K438" s="33" t="n">
        <f>54500</f>
        <v>54500.0</v>
      </c>
      <c r="L438" s="34" t="s">
        <v>48</v>
      </c>
      <c r="M438" s="33" t="n">
        <f>54600</f>
        <v>54600.0</v>
      </c>
      <c r="N438" s="34" t="s">
        <v>48</v>
      </c>
      <c r="O438" s="33" t="n">
        <f>47000</f>
        <v>47000.0</v>
      </c>
      <c r="P438" s="34" t="s">
        <v>56</v>
      </c>
      <c r="Q438" s="33" t="n">
        <f>49600</f>
        <v>49600.0</v>
      </c>
      <c r="R438" s="34" t="s">
        <v>51</v>
      </c>
      <c r="S438" s="35" t="n">
        <f>50756.82</f>
        <v>50756.82</v>
      </c>
      <c r="T438" s="32" t="n">
        <f>4707</f>
        <v>4707.0</v>
      </c>
      <c r="U438" s="32" t="n">
        <f>25</f>
        <v>25.0</v>
      </c>
      <c r="V438" s="32" t="n">
        <f>236798450</f>
        <v>2.3679845E8</v>
      </c>
      <c r="W438" s="32" t="n">
        <f>1336000</f>
        <v>1336000.0</v>
      </c>
      <c r="X438" s="36" t="n">
        <f>22</f>
        <v>22.0</v>
      </c>
    </row>
    <row r="439">
      <c r="A439" s="27" t="s">
        <v>42</v>
      </c>
      <c r="B439" s="27" t="s">
        <v>1365</v>
      </c>
      <c r="C439" s="27" t="s">
        <v>1366</v>
      </c>
      <c r="D439" s="27" t="s">
        <v>1367</v>
      </c>
      <c r="E439" s="28" t="s">
        <v>46</v>
      </c>
      <c r="F439" s="29" t="s">
        <v>46</v>
      </c>
      <c r="G439" s="30" t="s">
        <v>46</v>
      </c>
      <c r="H439" s="31"/>
      <c r="I439" s="31" t="s">
        <v>428</v>
      </c>
      <c r="J439" s="32" t="n">
        <v>1.0</v>
      </c>
      <c r="K439" s="33" t="n">
        <f>88700</f>
        <v>88700.0</v>
      </c>
      <c r="L439" s="34" t="s">
        <v>48</v>
      </c>
      <c r="M439" s="33" t="n">
        <f>88700</f>
        <v>88700.0</v>
      </c>
      <c r="N439" s="34" t="s">
        <v>48</v>
      </c>
      <c r="O439" s="33" t="n">
        <f>77900</f>
        <v>77900.0</v>
      </c>
      <c r="P439" s="34" t="s">
        <v>56</v>
      </c>
      <c r="Q439" s="33" t="n">
        <f>80700</f>
        <v>80700.0</v>
      </c>
      <c r="R439" s="34" t="s">
        <v>51</v>
      </c>
      <c r="S439" s="35" t="n">
        <f>83700</f>
        <v>83700.0</v>
      </c>
      <c r="T439" s="32" t="n">
        <f>56888</f>
        <v>56888.0</v>
      </c>
      <c r="U439" s="32" t="n">
        <f>1944</f>
        <v>1944.0</v>
      </c>
      <c r="V439" s="32" t="n">
        <f>4684225462</f>
        <v>4.684225462E9</v>
      </c>
      <c r="W439" s="32" t="n">
        <f>157220762</f>
        <v>1.57220762E8</v>
      </c>
      <c r="X439" s="36" t="n">
        <f>22</f>
        <v>22.0</v>
      </c>
    </row>
    <row r="440">
      <c r="A440" s="27" t="s">
        <v>42</v>
      </c>
      <c r="B440" s="27" t="s">
        <v>1368</v>
      </c>
      <c r="C440" s="27" t="s">
        <v>1369</v>
      </c>
      <c r="D440" s="27" t="s">
        <v>1370</v>
      </c>
      <c r="E440" s="28" t="s">
        <v>46</v>
      </c>
      <c r="F440" s="29" t="s">
        <v>46</v>
      </c>
      <c r="G440" s="30" t="s">
        <v>46</v>
      </c>
      <c r="H440" s="31"/>
      <c r="I440" s="31" t="s">
        <v>428</v>
      </c>
      <c r="J440" s="32" t="n">
        <v>1.0</v>
      </c>
      <c r="K440" s="33" t="n">
        <f>67500</f>
        <v>67500.0</v>
      </c>
      <c r="L440" s="34" t="s">
        <v>48</v>
      </c>
      <c r="M440" s="33" t="n">
        <f>67500</f>
        <v>67500.0</v>
      </c>
      <c r="N440" s="34" t="s">
        <v>48</v>
      </c>
      <c r="O440" s="33" t="n">
        <f>58300</f>
        <v>58300.0</v>
      </c>
      <c r="P440" s="34" t="s">
        <v>56</v>
      </c>
      <c r="Q440" s="33" t="n">
        <f>62000</f>
        <v>62000.0</v>
      </c>
      <c r="R440" s="34" t="s">
        <v>51</v>
      </c>
      <c r="S440" s="35" t="n">
        <f>63590.91</f>
        <v>63590.91</v>
      </c>
      <c r="T440" s="32" t="n">
        <f>18993</f>
        <v>18993.0</v>
      </c>
      <c r="U440" s="32" t="n">
        <f>51</f>
        <v>51.0</v>
      </c>
      <c r="V440" s="32" t="n">
        <f>1188178650</f>
        <v>1.18817865E9</v>
      </c>
      <c r="W440" s="32" t="n">
        <f>3181150</f>
        <v>3181150.0</v>
      </c>
      <c r="X440" s="36" t="n">
        <f>22</f>
        <v>22.0</v>
      </c>
    </row>
    <row r="441">
      <c r="A441" s="27" t="s">
        <v>42</v>
      </c>
      <c r="B441" s="27" t="s">
        <v>1371</v>
      </c>
      <c r="C441" s="27" t="s">
        <v>1372</v>
      </c>
      <c r="D441" s="27" t="s">
        <v>1373</v>
      </c>
      <c r="E441" s="28" t="s">
        <v>46</v>
      </c>
      <c r="F441" s="29" t="s">
        <v>46</v>
      </c>
      <c r="G441" s="30" t="s">
        <v>46</v>
      </c>
      <c r="H441" s="31"/>
      <c r="I441" s="31" t="s">
        <v>47</v>
      </c>
      <c r="J441" s="32" t="n">
        <v>1.0</v>
      </c>
      <c r="K441" s="33" t="n">
        <f>68300</f>
        <v>68300.0</v>
      </c>
      <c r="L441" s="34" t="s">
        <v>48</v>
      </c>
      <c r="M441" s="33" t="n">
        <f>68500</f>
        <v>68500.0</v>
      </c>
      <c r="N441" s="34" t="s">
        <v>55</v>
      </c>
      <c r="O441" s="33" t="n">
        <f>60200</f>
        <v>60200.0</v>
      </c>
      <c r="P441" s="34" t="s">
        <v>56</v>
      </c>
      <c r="Q441" s="33" t="n">
        <f>64300</f>
        <v>64300.0</v>
      </c>
      <c r="R441" s="34" t="s">
        <v>51</v>
      </c>
      <c r="S441" s="35" t="n">
        <f>65322.73</f>
        <v>65322.73</v>
      </c>
      <c r="T441" s="32" t="n">
        <f>64008</f>
        <v>64008.0</v>
      </c>
      <c r="U441" s="32" t="n">
        <f>1520</f>
        <v>1520.0</v>
      </c>
      <c r="V441" s="32" t="n">
        <f>4111779906</f>
        <v>4.111779906E9</v>
      </c>
      <c r="W441" s="32" t="n">
        <f>98362106</f>
        <v>9.8362106E7</v>
      </c>
      <c r="X441" s="36" t="n">
        <f>22</f>
        <v>22.0</v>
      </c>
    </row>
    <row r="442">
      <c r="A442" s="27" t="s">
        <v>42</v>
      </c>
      <c r="B442" s="27" t="s">
        <v>1374</v>
      </c>
      <c r="C442" s="27" t="s">
        <v>1375</v>
      </c>
      <c r="D442" s="27" t="s">
        <v>1376</v>
      </c>
      <c r="E442" s="28" t="s">
        <v>46</v>
      </c>
      <c r="F442" s="29" t="s">
        <v>46</v>
      </c>
      <c r="G442" s="30" t="s">
        <v>46</v>
      </c>
      <c r="H442" s="31"/>
      <c r="I442" s="31" t="s">
        <v>428</v>
      </c>
      <c r="J442" s="32" t="n">
        <v>1.0</v>
      </c>
      <c r="K442" s="33" t="n">
        <f>67800</f>
        <v>67800.0</v>
      </c>
      <c r="L442" s="34" t="s">
        <v>48</v>
      </c>
      <c r="M442" s="33" t="n">
        <f>68600</f>
        <v>68600.0</v>
      </c>
      <c r="N442" s="34" t="s">
        <v>64</v>
      </c>
      <c r="O442" s="33" t="n">
        <f>58900</f>
        <v>58900.0</v>
      </c>
      <c r="P442" s="34" t="s">
        <v>56</v>
      </c>
      <c r="Q442" s="33" t="n">
        <f>63400</f>
        <v>63400.0</v>
      </c>
      <c r="R442" s="34" t="s">
        <v>51</v>
      </c>
      <c r="S442" s="35" t="n">
        <f>64359.09</f>
        <v>64359.09</v>
      </c>
      <c r="T442" s="32" t="n">
        <f>45091</f>
        <v>45091.0</v>
      </c>
      <c r="U442" s="32" t="n">
        <f>833</f>
        <v>833.0</v>
      </c>
      <c r="V442" s="32" t="n">
        <f>2849309309</f>
        <v>2.849309309E9</v>
      </c>
      <c r="W442" s="32" t="n">
        <f>52926309</f>
        <v>5.2926309E7</v>
      </c>
      <c r="X442" s="36" t="n">
        <f>22</f>
        <v>22.0</v>
      </c>
    </row>
  </sheetData>
  <mergeCells count="3">
    <mergeCell ref="N1:X3"/>
    <mergeCell ref="A2:M2"/>
    <mergeCell ref="A3:M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2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BO_EM0004</vt:lpstr>
      <vt:lpstr>BO_EM0004!Print_Titles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2018-10-04T04:21:09Z</dcterms:created>
  <dcterms:modified xsi:type="dcterms:W3CDTF">2020-05-11T08:48:14Z</dcterms:modified>
</cp:coreProperties>
</file>