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4" r:id="rId1" sheetId="1"/>
  </sheets>
  <definedNames>
    <definedName localSheetId="0" name="_xlnm.Print_Titles">BO_EM0004!$1:$6</definedName>
  </definedNames>
  <calcPr calcId="145621"/>
</workbook>
</file>

<file path=xl/sharedStrings.xml><?xml version="1.0" encoding="utf-8"?>
<sst xmlns="http://schemas.openxmlformats.org/spreadsheetml/2006/main" count="5257" uniqueCount="1375">
  <si>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</si>
  <si>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eb="1" sb="0">
      <t>トウ</t>
    </rPh>
    <rPh eb="3" sb="2">
      <t>シン</t>
    </rPh>
    <rPh eb="5" sb="4">
      <t>トウ</t>
    </rPh>
    <rPh eb="7" sb="6">
      <t>ソウ</t>
    </rPh>
    <rPh eb="9" sb="8">
      <t>バ</t>
    </rPh>
    <rPh eb="11" sb="10">
      <t>ヒョウ</t>
    </rPh>
    <phoneticPr fontId="3"/>
  </si>
  <si>
    <t>Investment Trust Quotations</t>
    <phoneticPr fontId="3"/>
  </si>
  <si>
    <t>年月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</si>
  <si>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</si>
  <si>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</si>
  <si>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</si>
  <si>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</si>
  <si>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</si>
  <si>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eb="2" sb="0">
      <t>ヒヅケ</t>
    </rPh>
    <phoneticPr fontId="3"/>
  </si>
  <si>
    <t>区分</t>
  </si>
  <si>
    <t>信用・貸借</t>
    <rPh eb="2" sb="0">
      <t>シンヨウ</t>
    </rPh>
    <rPh eb="5" sb="3">
      <t>タイシャク</t>
    </rPh>
    <phoneticPr fontId="3"/>
  </si>
  <si>
    <t>売買単位</t>
    <rPh eb="2" sb="0">
      <t>バイバイ</t>
    </rPh>
    <rPh eb="4" sb="2">
      <t>タンイ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</si>
  <si>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</si>
  <si>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</si>
  <si>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</si>
  <si>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</si>
  <si>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</si>
  <si>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売買高</t>
    <rPh eb="3" sb="0">
      <t>バイバイダカ</t>
    </rPh>
    <phoneticPr fontId="3"/>
  </si>
  <si>
    <t>うちToSTNeT売買高</t>
  </si>
  <si>
    <t>売買代金</t>
    <rPh eb="2" sb="0">
      <t>バイバイ</t>
    </rPh>
    <rPh eb="4" sb="2">
      <t>ダイキン</t>
    </rPh>
    <phoneticPr fontId="3"/>
  </si>
  <si>
    <t>うちToSTNeT売買代金</t>
  </si>
  <si>
    <t>値付日数</t>
    <rPh eb="2" sb="0">
      <t>ネツ</t>
    </rPh>
    <rPh eb="4" sb="2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</si>
  <si>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</si>
  <si>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</si>
  <si>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</si>
  <si>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</si>
  <si>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</si>
  <si>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</si>
  <si>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</si>
  <si>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</si>
  <si>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</si>
  <si>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</si>
  <si>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</si>
  <si>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</si>
  <si>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</si>
  <si>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</si>
  <si>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</si>
  <si>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</si>
  <si>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</si>
  <si>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</si>
  <si>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</si>
  <si>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2024/11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</si>
  <si>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</si>
  <si>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</si>
  <si>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</si>
  <si>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</si>
  <si>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</si>
  <si>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1</t>
  </si>
  <si>
    <t>12</t>
  </si>
  <si>
    <t>29</t>
  </si>
  <si>
    <t>1306</t>
  </si>
  <si>
    <t>ＮＥＸＴ　ＦＵＮＤＳ　ＴＯＰＩＸ連動型上場投信　受益証券</t>
  </si>
  <si>
    <t>NEXT FUNDS TOPIX Exchange Traded Fund</t>
  </si>
  <si>
    <t>8</t>
  </si>
  <si>
    <t>1308</t>
  </si>
  <si>
    <t>上場インデックスファンドＴＯＰＩＸ　受益証券</t>
  </si>
  <si>
    <t>Nikko Exchange Traded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</si>
  <si>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</si>
  <si>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</si>
  <si>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</si>
  <si>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28</t>
  </si>
  <si>
    <t>1311</t>
  </si>
  <si>
    <t>ＮＥＸＴ　ＦＵＮＤＳ　ＴＯＰＩＸ　Ｃｏｒｅ　３０連動型上場投信　受益証券</t>
  </si>
  <si>
    <t>NEXT FUNDS TOPIX Core 30 Exchange Traded Fund</t>
  </si>
  <si>
    <t>18</t>
  </si>
  <si>
    <t>1319</t>
  </si>
  <si>
    <t>ＮＥＸＴ　ＦＵＮＤＳ　日経３００株価指数連動型上場投信　受益証券</t>
  </si>
  <si>
    <t>NEXT FUNDS Nikkei 300 Index Exchange Traded Fund</t>
  </si>
  <si>
    <t>6</t>
  </si>
  <si>
    <t>1320</t>
  </si>
  <si>
    <t>ｉＦｒｅｅＥＴＦ　日経２２５（年１回決算型）　受益証券</t>
  </si>
  <si>
    <t>iFreeETF Nikkei225 (Yearly Dividend Type)</t>
  </si>
  <si>
    <t>7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</si>
  <si>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</si>
  <si>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</si>
  <si>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</si>
  <si>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</si>
  <si>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</si>
  <si>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</si>
  <si>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1324</t>
  </si>
  <si>
    <t>ＮＥＸＴ　ＦＵＮＤＳ　ロシア株式指数連動型上場投信　受益証券</t>
  </si>
  <si>
    <t>NEXT FUNDS Russian Equity Index Exchange Traded Fund</t>
  </si>
  <si>
    <t>整</t>
  </si>
  <si>
    <t>1325</t>
  </si>
  <si>
    <t>ＮＥＸＴ　ＦＵＮＤＳ　ブラジル株式指数・ボベスパ連動型上場投信　受益証券</t>
  </si>
  <si>
    <t>NEXT FUNDS Ibovespa Linked Exchange Traded Fund</t>
  </si>
  <si>
    <t>11</t>
  </si>
  <si>
    <t>1326</t>
  </si>
  <si>
    <t>ＳＰＤＲゴールド・シェア　受益証券</t>
  </si>
  <si>
    <t>SPDR Gold Shares</t>
  </si>
  <si>
    <t>1328</t>
  </si>
  <si>
    <t>ＮＥＸＴ　ＦＵＮＤＳ　金価格連動型上場投信　受益証券</t>
  </si>
  <si>
    <t>NEXT FUNDS Gold Price Exchange Traded Fund</t>
  </si>
  <si>
    <t>22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</si>
  <si>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</si>
  <si>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</si>
  <si>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</si>
  <si>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</si>
  <si>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</si>
  <si>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</si>
  <si>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133A</t>
  </si>
  <si>
    <t>グローバルＸ　超短期米国債　ＥＴＦ　受益証券</t>
  </si>
  <si>
    <t>Global X Ultra Short-Term T-Bill ETF</t>
  </si>
  <si>
    <t>15</t>
  </si>
  <si>
    <t>1343</t>
  </si>
  <si>
    <t>ＮＥＸＴ　ＦＵＮＤＳ　東証ＲＥＩＴ　指数連動型上場投信　受益証券</t>
  </si>
  <si>
    <t>NEXT FUNDS REIT INDEX ETF</t>
  </si>
  <si>
    <t>14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</si>
  <si>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</si>
  <si>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</si>
  <si>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</si>
  <si>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</si>
  <si>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</si>
  <si>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</si>
  <si>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</si>
  <si>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</si>
  <si>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</si>
  <si>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</si>
  <si>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</si>
  <si>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</si>
  <si>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5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</si>
  <si>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</si>
  <si>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</si>
  <si>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</si>
  <si>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</si>
  <si>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</si>
  <si>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</si>
  <si>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</si>
  <si>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</si>
  <si>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</si>
  <si>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</si>
  <si>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</si>
  <si>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</si>
  <si>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</si>
  <si>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</si>
  <si>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</si>
  <si>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</si>
  <si>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</si>
  <si>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</si>
  <si>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</si>
  <si>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</si>
  <si>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</si>
  <si>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</si>
  <si>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</si>
  <si>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</si>
  <si>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</si>
  <si>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</si>
  <si>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</si>
  <si>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</si>
  <si>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</si>
  <si>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</si>
  <si>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</si>
  <si>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</si>
  <si>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</si>
  <si>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</si>
  <si>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</si>
  <si>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</si>
  <si>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25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</si>
  <si>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</si>
  <si>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</si>
  <si>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</si>
  <si>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27</t>
  </si>
  <si>
    <t>140A</t>
  </si>
  <si>
    <t>ｉＦｒｅｅＥＴＦ　米国１０年国債先物インバース　受益証券</t>
  </si>
  <si>
    <t>iFreeETF 10-Year U.S. Treasury Note Futures Inverse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</si>
  <si>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</si>
  <si>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</si>
  <si>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</si>
  <si>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</si>
  <si>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</si>
  <si>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</si>
  <si>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</si>
  <si>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</si>
  <si>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</si>
  <si>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</si>
  <si>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</si>
  <si>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</si>
  <si>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1464</t>
  </si>
  <si>
    <t>ｉＦｒｅｅＥＴＦ　ＪＰＸ日経４００レバレッジ・インデックス　受益証券</t>
  </si>
  <si>
    <t>iFreeETF JPX-Nikkei400 Leveraged (2x) Index</t>
  </si>
  <si>
    <t xml:space="preserve">上場廃止  </t>
  </si>
  <si>
    <t xml:space="preserve">Removal  </t>
  </si>
  <si>
    <t xml:space="preserve">2024/11/09  </t>
  </si>
  <si>
    <t>1465</t>
  </si>
  <si>
    <t>ｉＦｒｅｅＥＴＦ　ＪＰＸ日経４００インバース・インデックス　受益証券</t>
  </si>
  <si>
    <t>iFreeETF JPX-Nikkei400 Inverse (-1x)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</si>
  <si>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</si>
  <si>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</si>
  <si>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</si>
  <si>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</si>
  <si>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</si>
  <si>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</si>
  <si>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</si>
  <si>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</si>
  <si>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</si>
  <si>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</si>
  <si>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</si>
  <si>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</si>
  <si>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</si>
  <si>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</si>
  <si>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</si>
  <si>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</si>
  <si>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</si>
  <si>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</si>
  <si>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</si>
  <si>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</si>
  <si>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</si>
  <si>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</si>
  <si>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</si>
  <si>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</si>
  <si>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</si>
  <si>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</si>
  <si>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</si>
  <si>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</si>
  <si>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</si>
  <si>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</si>
  <si>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</si>
  <si>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</si>
  <si>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</si>
  <si>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1481</t>
  </si>
  <si>
    <t>上場インデックスファンド日本経済貢献株　受益証券</t>
  </si>
  <si>
    <t>Listed Index Fund Japanese Economy Contributor Stocks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</si>
  <si>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</si>
  <si>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</si>
  <si>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</si>
  <si>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</si>
  <si>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</si>
  <si>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</si>
  <si>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</si>
  <si>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</si>
  <si>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</si>
  <si>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</si>
  <si>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</si>
  <si>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</si>
  <si>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13</t>
  </si>
  <si>
    <t>1486</t>
  </si>
  <si>
    <t>上場インデックスファンド米国債券（為替ヘッジなし）　受益証券</t>
  </si>
  <si>
    <t>Listed Index Fund US Bond (No Currency Hedge)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</si>
  <si>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</si>
  <si>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</si>
  <si>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</si>
  <si>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</si>
  <si>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</si>
  <si>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</si>
  <si>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</si>
  <si>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</si>
  <si>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</si>
  <si>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</si>
  <si>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</si>
  <si>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</si>
  <si>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</si>
  <si>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</si>
  <si>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</si>
  <si>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</si>
  <si>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</si>
  <si>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</si>
  <si>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26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</si>
  <si>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</si>
  <si>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</si>
  <si>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</si>
  <si>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</si>
  <si>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</si>
  <si>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</si>
  <si>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</si>
  <si>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</si>
  <si>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</si>
  <si>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</si>
  <si>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</si>
  <si>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</si>
  <si>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</si>
  <si>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</si>
  <si>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</si>
  <si>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</si>
  <si>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</si>
  <si>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</si>
  <si>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</si>
  <si>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</si>
  <si>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</si>
  <si>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</si>
  <si>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</si>
  <si>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</si>
  <si>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</si>
  <si>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</si>
  <si>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</si>
  <si>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</si>
  <si>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</si>
  <si>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</si>
  <si>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</si>
  <si>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</si>
  <si>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</si>
  <si>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</si>
  <si>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</si>
  <si>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</si>
  <si>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</si>
  <si>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</si>
  <si>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</si>
  <si>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</si>
  <si>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</si>
  <si>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</si>
  <si>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</si>
  <si>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</si>
  <si>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</si>
  <si>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</si>
  <si>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</si>
  <si>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</si>
  <si>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</si>
  <si>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</si>
  <si>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</si>
  <si>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</si>
  <si>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</si>
  <si>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</si>
  <si>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</si>
  <si>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</si>
  <si>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</si>
  <si>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</si>
  <si>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</si>
  <si>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</si>
  <si>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</si>
  <si>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</si>
  <si>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</si>
  <si>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</si>
  <si>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</si>
  <si>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</si>
  <si>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</si>
  <si>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</si>
  <si>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</si>
  <si>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</si>
  <si>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</si>
  <si>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</si>
  <si>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</si>
  <si>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</si>
  <si>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</si>
  <si>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</si>
  <si>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</si>
  <si>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</si>
  <si>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</si>
  <si>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</si>
  <si>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</si>
  <si>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</si>
  <si>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</si>
  <si>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</si>
  <si>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</si>
  <si>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</si>
  <si>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</si>
  <si>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</si>
  <si>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</si>
  <si>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</si>
  <si>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</si>
  <si>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</si>
  <si>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</si>
  <si>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</si>
  <si>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</si>
  <si>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</si>
  <si>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</si>
  <si>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</si>
  <si>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</si>
  <si>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</si>
  <si>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</si>
  <si>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</si>
  <si>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</si>
  <si>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</si>
  <si>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</si>
  <si>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</si>
  <si>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</si>
  <si>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</si>
  <si>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</si>
  <si>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</si>
  <si>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</si>
  <si>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</si>
  <si>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</si>
  <si>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</si>
  <si>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19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</si>
  <si>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</si>
  <si>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</si>
  <si>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</si>
  <si>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</si>
  <si>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</si>
  <si>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</si>
  <si>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159A</t>
  </si>
  <si>
    <t>ＮＥＸＴ　ＦＵＮＤＳ　ＪＰＸプライム１５０指数連動型上場投信　受益証券</t>
  </si>
  <si>
    <t>NEXT FUNDS JPX Prime 150 Index Exchange Traded Fund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</si>
  <si>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</si>
  <si>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</si>
  <si>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</si>
  <si>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</si>
  <si>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</si>
  <si>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</si>
  <si>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</si>
  <si>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</si>
  <si>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</si>
  <si>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</si>
  <si>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</si>
  <si>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</si>
  <si>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</si>
  <si>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</si>
  <si>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</si>
  <si>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21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</si>
  <si>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</si>
  <si>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</si>
  <si>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</si>
  <si>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</si>
  <si>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</si>
  <si>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</si>
  <si>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</si>
  <si>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</si>
  <si>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</si>
  <si>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</si>
  <si>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</si>
  <si>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</si>
  <si>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</si>
  <si>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</si>
  <si>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</si>
  <si>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</si>
  <si>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</si>
  <si>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</si>
  <si>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</si>
  <si>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</si>
  <si>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</si>
  <si>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</si>
  <si>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</si>
  <si>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</si>
  <si>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</si>
  <si>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</si>
  <si>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</si>
  <si>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162A</t>
  </si>
  <si>
    <t>ＡＩセレクトメガトレンド　日本株（ネットリターン）ＥＴＮ　受益証券</t>
  </si>
  <si>
    <t>AI Select Megatrend Japan Equity Net Return ETN</t>
  </si>
  <si>
    <t>信用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</si>
  <si>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</si>
  <si>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</si>
  <si>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</si>
  <si>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</si>
  <si>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</si>
  <si>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</si>
  <si>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</si>
  <si>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</si>
  <si>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</si>
  <si>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</si>
  <si>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</si>
  <si>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</si>
  <si>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163A</t>
  </si>
  <si>
    <t>半導体フォーカス　日本株（ネットリターン）ＥＴＮ　受益証券</t>
  </si>
  <si>
    <t>Semiconductor Focus Japan Equity Net Return ETN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</si>
  <si>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</si>
  <si>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</si>
  <si>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</si>
  <si>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</si>
  <si>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</si>
  <si>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</si>
  <si>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</si>
  <si>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</si>
  <si>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</si>
  <si>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</si>
  <si>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</si>
  <si>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</si>
  <si>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</si>
  <si>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</si>
  <si>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</si>
  <si>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</si>
  <si>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</si>
  <si>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</si>
  <si>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</si>
  <si>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</si>
  <si>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</si>
  <si>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</si>
  <si>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</si>
  <si>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</si>
  <si>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</si>
  <si>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</si>
  <si>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</si>
  <si>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</si>
  <si>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</si>
  <si>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</si>
  <si>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</si>
  <si>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</si>
  <si>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</si>
  <si>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</si>
  <si>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</si>
  <si>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</si>
  <si>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</si>
  <si>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</si>
  <si>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</si>
  <si>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</si>
  <si>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</si>
  <si>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</si>
  <si>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</si>
  <si>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</si>
  <si>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</si>
  <si>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</si>
  <si>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</si>
  <si>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</si>
  <si>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</si>
  <si>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</si>
  <si>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</si>
  <si>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</si>
  <si>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</si>
  <si>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</si>
  <si>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</si>
  <si>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</si>
  <si>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</si>
  <si>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</si>
  <si>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</si>
  <si>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</si>
  <si>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</si>
  <si>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</si>
  <si>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</si>
  <si>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</si>
  <si>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</si>
  <si>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</si>
  <si>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</si>
  <si>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</si>
  <si>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</si>
  <si>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</si>
  <si>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</si>
  <si>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</si>
  <si>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</si>
  <si>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</si>
  <si>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</si>
  <si>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20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</si>
  <si>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</si>
  <si>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</si>
  <si>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</si>
  <si>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</si>
  <si>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</si>
  <si>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</si>
  <si>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</si>
  <si>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</si>
  <si>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</si>
  <si>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</si>
  <si>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</si>
  <si>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</si>
  <si>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</si>
  <si>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</si>
  <si>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</si>
  <si>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</si>
  <si>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</si>
  <si>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</si>
  <si>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</si>
  <si>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</si>
  <si>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</si>
  <si>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</si>
  <si>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</si>
  <si>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</si>
  <si>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</si>
  <si>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</si>
  <si>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</si>
  <si>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</si>
  <si>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</si>
  <si>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</si>
  <si>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</si>
  <si>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</si>
  <si>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</si>
  <si>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</si>
  <si>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</si>
  <si>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</si>
  <si>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170A</t>
  </si>
  <si>
    <t>ＳＭＴ　ＥＴＦ日本好配当株アクティブ　受益証券</t>
  </si>
  <si>
    <t>SMT ETF Japan Equity Income Strategy Active</t>
  </si>
  <si>
    <t>178A</t>
  </si>
  <si>
    <t>グローバルＸ　革新的優良企業　ＥＴＦ　受益証券</t>
  </si>
  <si>
    <t>Global X Innovative Bluechip Top 10+ ETF</t>
  </si>
  <si>
    <t>179A</t>
  </si>
  <si>
    <t>グローバルＸ　超長期米国債　ＥＴＦ（為替ヘッジあり）　受益証券</t>
  </si>
  <si>
    <t>Global X 25+ Year T-Bond ETF (JPY Hedged)</t>
  </si>
  <si>
    <t>180A</t>
  </si>
  <si>
    <t>グローバルＸ　超長期米国債　ＥＴＦ　受益証券</t>
  </si>
  <si>
    <t>Global X 25+ Year T-Bond ETF</t>
  </si>
  <si>
    <t>181A</t>
  </si>
  <si>
    <t>ＭＡＸＩＳ米国国債１－３年上場投信（為替ヘッジなし）　受益証券</t>
  </si>
  <si>
    <t>MAXIS US Treasury Bond 1-3 Year ETF (Unhedged)</t>
  </si>
  <si>
    <t>182A</t>
  </si>
  <si>
    <t>ＭＡＸＩＳ米国国債２０年超上場投信（為替ヘッジなし）　受益証券</t>
  </si>
  <si>
    <t>MAXIS US Treasury Bond 20+ Year ETF (Unhedged)</t>
  </si>
  <si>
    <t>183A</t>
  </si>
  <si>
    <t>ＭＡＸＩＳ米国国債２０年超上場投信（為替ヘッジあり）　受益証券</t>
  </si>
  <si>
    <t>MAXIS US Treasury Bond 20+ Year ETF (JPY Hedged)</t>
  </si>
  <si>
    <t>188A</t>
  </si>
  <si>
    <t>グローバルＸ　インド・トップ１０＋　ＥＴＦ　受益証券</t>
  </si>
  <si>
    <t>Global X India Top 10+ ETF</t>
  </si>
  <si>
    <t>200A</t>
  </si>
  <si>
    <t>ＮＥＸＴ　ＦＵＮＤＳ　日経半導体株指数連動型上場投信　受益証券</t>
  </si>
  <si>
    <t>NEXT FUNDS Nikkei Semiconductor Stock Index Exchange Traded Fund</t>
  </si>
  <si>
    <t>2011</t>
  </si>
  <si>
    <t>ＳＭＤＡＭ　Ａｃｔｉｖｅ　ＥＴＦ　日本高配当株式　受益証券</t>
  </si>
  <si>
    <t>SMDAM Active ETF Japan High Dividend Equity</t>
  </si>
  <si>
    <t>2012</t>
  </si>
  <si>
    <t>ｉシェアーズ　米国債０－３ヶ月　ＥＴＦ　受益証券</t>
  </si>
  <si>
    <t>iShares 0-3 Month US Treasury Bond ETF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</si>
  <si>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</si>
  <si>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</si>
  <si>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</si>
  <si>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</si>
  <si>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</si>
  <si>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</si>
  <si>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</si>
  <si>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</si>
  <si>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</si>
  <si>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</si>
  <si>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</si>
  <si>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</si>
  <si>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</si>
  <si>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</si>
  <si>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</si>
  <si>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</si>
  <si>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</si>
  <si>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</si>
  <si>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</si>
  <si>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</si>
  <si>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</si>
  <si>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201A</t>
  </si>
  <si>
    <t>ｉシェアーズ　Ｎｉｆｔｙ　５０　インド株　ＥＴＦ　受益証券</t>
  </si>
  <si>
    <t>iShares Nifty 50 ETF</t>
  </si>
  <si>
    <t>2031</t>
  </si>
  <si>
    <t>ＮＥＸＴ　ＮＯＴＥＳ　香港ハンセン・ダブル・ブル　ＥＴＮ　受益証券</t>
  </si>
  <si>
    <t>NEXT NOTES HSI Leveraged ETN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</si>
  <si>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</si>
  <si>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</si>
  <si>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</si>
  <si>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</si>
  <si>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</si>
  <si>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</si>
  <si>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</si>
  <si>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</si>
  <si>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</si>
  <si>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</si>
  <si>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</si>
  <si>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</si>
  <si>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</si>
  <si>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</si>
  <si>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</si>
  <si>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</si>
  <si>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</si>
  <si>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</si>
  <si>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</si>
  <si>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</si>
  <si>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</si>
  <si>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</si>
  <si>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</si>
  <si>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</si>
  <si>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</si>
  <si>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</si>
  <si>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</si>
  <si>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</si>
  <si>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</si>
  <si>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</si>
  <si>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</si>
  <si>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</si>
  <si>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</si>
  <si>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</si>
  <si>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</si>
  <si>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</si>
  <si>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</si>
  <si>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</si>
  <si>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</si>
  <si>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</si>
  <si>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</si>
  <si>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</si>
  <si>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</si>
  <si>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</si>
  <si>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</si>
  <si>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</si>
  <si>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</si>
  <si>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</si>
  <si>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</si>
  <si>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</si>
  <si>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</si>
  <si>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</si>
  <si>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</si>
  <si>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</si>
  <si>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</si>
  <si>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</si>
  <si>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</si>
  <si>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</si>
  <si>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</si>
  <si>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</si>
  <si>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</si>
  <si>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</si>
  <si>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</si>
  <si>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</si>
  <si>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</si>
  <si>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</si>
  <si>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</si>
  <si>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</si>
  <si>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</si>
  <si>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</si>
  <si>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</si>
  <si>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</si>
  <si>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</si>
  <si>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</si>
  <si>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</si>
  <si>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</si>
  <si>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</si>
  <si>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</si>
  <si>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</si>
  <si>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</si>
  <si>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</si>
  <si>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</si>
  <si>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</si>
  <si>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</si>
  <si>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</si>
  <si>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</si>
  <si>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</si>
  <si>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</si>
  <si>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</si>
  <si>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</si>
  <si>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</si>
  <si>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</si>
  <si>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</si>
  <si>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</si>
  <si>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</si>
  <si>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</si>
  <si>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</si>
  <si>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</si>
  <si>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</si>
  <si>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</si>
  <si>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</si>
  <si>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</si>
  <si>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</si>
  <si>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</si>
  <si>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</si>
  <si>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</si>
  <si>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</si>
  <si>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</si>
  <si>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</si>
  <si>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</si>
  <si>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</si>
  <si>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</si>
  <si>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</si>
  <si>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</si>
  <si>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</si>
  <si>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</si>
  <si>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</si>
  <si>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</si>
  <si>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</si>
  <si>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</si>
  <si>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</si>
  <si>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</si>
  <si>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</si>
  <si>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</si>
  <si>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</si>
  <si>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</si>
  <si>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</si>
  <si>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</si>
  <si>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</si>
  <si>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</si>
  <si>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</si>
  <si>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</si>
  <si>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</si>
  <si>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</si>
  <si>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</si>
  <si>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210A</t>
  </si>
  <si>
    <t>ｉＦｒｅｅＥＴＦ　日経高利回りＲＥＩＴ指数　受益証券</t>
  </si>
  <si>
    <t>iFreeETF Nikkei High Yield REIT Index</t>
  </si>
  <si>
    <t>213A</t>
  </si>
  <si>
    <t>上場インデックスファンド日経半導体株　受益証券</t>
  </si>
  <si>
    <t>Listed Index Fund Nikkei Semiconductor Stock</t>
  </si>
  <si>
    <t>221A</t>
  </si>
  <si>
    <t>ＭＡＸＩＳ日経半導体株上場投信　受益証券</t>
  </si>
  <si>
    <t>MAXIS Nikkei Semiconductor Stock (Japan) ETF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</si>
  <si>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</si>
  <si>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</si>
  <si>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</si>
  <si>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</si>
  <si>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</si>
  <si>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</si>
  <si>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</si>
  <si>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</si>
  <si>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</si>
  <si>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</si>
  <si>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</si>
  <si>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</si>
  <si>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</si>
  <si>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</si>
  <si>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</si>
  <si>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223A</t>
  </si>
  <si>
    <t>グローバルＸ　ＡＩ＆ビッグデータ　ＥＴＦ　受益証券</t>
  </si>
  <si>
    <t>Global X Artificial Intelligence &amp; Technology ETF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</si>
  <si>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</si>
  <si>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</si>
  <si>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</si>
  <si>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</si>
  <si>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</si>
  <si>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</si>
  <si>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</si>
  <si>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</si>
  <si>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</si>
  <si>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</si>
  <si>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</si>
  <si>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</si>
  <si>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</si>
  <si>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</si>
  <si>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</si>
  <si>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</si>
  <si>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</si>
  <si>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</si>
  <si>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</si>
  <si>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</si>
  <si>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</si>
  <si>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</si>
  <si>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</si>
  <si>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</si>
  <si>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</si>
  <si>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</si>
  <si>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</si>
  <si>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</si>
  <si>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</si>
  <si>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</si>
  <si>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224A</t>
  </si>
  <si>
    <t>グローバルＸ　ウラニウムビジネス　ＥＴＦ　受益証券</t>
  </si>
  <si>
    <t>Global X Uranium ETF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</si>
  <si>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</si>
  <si>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</si>
  <si>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</si>
  <si>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</si>
  <si>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</si>
  <si>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</si>
  <si>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</si>
  <si>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</si>
  <si>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</si>
  <si>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</si>
  <si>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</si>
  <si>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</si>
  <si>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</si>
  <si>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</si>
  <si>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</si>
  <si>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</si>
  <si>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</si>
  <si>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</si>
  <si>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</si>
  <si>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</si>
  <si>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</si>
  <si>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</si>
  <si>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</si>
  <si>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</si>
  <si>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</si>
  <si>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</si>
  <si>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</si>
  <si>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</si>
  <si>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</si>
  <si>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</si>
  <si>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233A</t>
  </si>
  <si>
    <t>ｉＦｒｅｅＥＴＦ　インドＮｉｆｔｙ５０　受益証券</t>
  </si>
  <si>
    <t>iFreeETF Nifty50</t>
  </si>
  <si>
    <t>234A</t>
  </si>
  <si>
    <t>グローバルＸ　ＭＳＣＩ　キャッシュフローキング－日本株式　ＥＴＦ　受益証券</t>
  </si>
  <si>
    <t>Global X MSCI Japan Cash Flow Kings ETF</t>
  </si>
  <si>
    <t>235A</t>
  </si>
  <si>
    <t>グローバルＸ　高配当３０－日本株式　ＥＴＦ　受益証券</t>
  </si>
  <si>
    <t>Global X Japan High Dividend 30 ETF</t>
  </si>
  <si>
    <t>236A</t>
  </si>
  <si>
    <t>ｉシェアーズ　日本国債７－１０年　ＥＴＦ　受益証券</t>
  </si>
  <si>
    <t>iShares 7-10 Year Japan Government Bond ETF</t>
  </si>
  <si>
    <t>237A</t>
  </si>
  <si>
    <t>ｉシェアーズ　米国債２５年超　ロングデュレーション　ＥＴＦ　受益証券</t>
  </si>
  <si>
    <t>iShares 25+ Year US Treasury Bond Long Duration ETF</t>
  </si>
  <si>
    <t>238A</t>
  </si>
  <si>
    <t>ｉシェアーズ　米国債２５年超　ロングデュレーション　ＥＴＦ（為替ヘッジあり）　受益証券</t>
  </si>
  <si>
    <t>iShares 25+ Year US Treasury Bond Long Duration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</si>
  <si>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</si>
  <si>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</si>
  <si>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</si>
  <si>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</si>
  <si>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</si>
  <si>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</si>
  <si>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</si>
  <si>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</si>
  <si>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</si>
  <si>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</si>
  <si>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</si>
  <si>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</si>
  <si>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</si>
  <si>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</si>
  <si>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</si>
  <si>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</si>
  <si>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</si>
  <si>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</si>
  <si>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</si>
  <si>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</si>
  <si>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</si>
  <si>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</si>
  <si>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</si>
  <si>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</si>
  <si>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</si>
  <si>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</si>
  <si>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</si>
  <si>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</si>
  <si>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</si>
  <si>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</si>
  <si>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</si>
  <si>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</si>
  <si>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</si>
  <si>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</si>
  <si>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</si>
  <si>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</si>
  <si>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</si>
  <si>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</si>
  <si>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</si>
  <si>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</si>
  <si>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</si>
  <si>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</si>
  <si>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</si>
  <si>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</si>
  <si>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</si>
  <si>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</si>
  <si>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</si>
  <si>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</si>
  <si>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</si>
  <si>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</si>
  <si>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</si>
  <si>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</si>
  <si>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</si>
  <si>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</si>
  <si>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</si>
  <si>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</si>
  <si>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</si>
  <si>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</si>
  <si>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</si>
  <si>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</si>
  <si>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</si>
  <si>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</si>
  <si>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</si>
  <si>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</si>
  <si>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</si>
  <si>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</si>
  <si>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</si>
  <si>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</si>
  <si>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</si>
  <si>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</si>
  <si>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</si>
  <si>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</si>
  <si>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</si>
  <si>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</si>
  <si>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</si>
  <si>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</si>
  <si>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</si>
  <si>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</si>
  <si>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</si>
  <si>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</si>
  <si>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</si>
  <si>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</si>
  <si>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</si>
  <si>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</si>
  <si>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</si>
  <si>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</si>
  <si>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</si>
  <si>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</si>
  <si>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</si>
  <si>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</si>
  <si>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</si>
  <si>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</si>
  <si>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</si>
  <si>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</si>
  <si>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</si>
  <si>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</si>
  <si>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</si>
  <si>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</si>
  <si>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</si>
  <si>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</si>
  <si>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</si>
  <si>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</si>
  <si>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</si>
  <si>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</si>
  <si>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</si>
  <si>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</si>
  <si>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</si>
  <si>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</si>
  <si>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</si>
  <si>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</si>
  <si>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</si>
  <si>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</si>
  <si>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</si>
  <si>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</si>
  <si>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</si>
  <si>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</si>
  <si>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</si>
  <si>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257A</t>
  </si>
  <si>
    <t>ＳＭＴ　ＥＴＦ日本株厳選投資アクティブ　受益証券</t>
  </si>
  <si>
    <t>SMT ETF Selected Japan Equity Active</t>
  </si>
  <si>
    <t>258A</t>
  </si>
  <si>
    <t>ＳＭＴ　ＥＴＦ国内リート厳選投資アクティブ　受益証券</t>
  </si>
  <si>
    <t>SMT ETF Selected J-REIT Active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</si>
  <si>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</si>
  <si>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</si>
  <si>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</si>
  <si>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</si>
  <si>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</si>
  <si>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</si>
  <si>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</si>
  <si>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</si>
  <si>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</si>
  <si>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</si>
  <si>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</si>
  <si>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</si>
  <si>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</si>
  <si>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</si>
  <si>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</si>
  <si>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</si>
  <si>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</si>
  <si>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</si>
  <si>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</si>
  <si>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</si>
  <si>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</si>
  <si>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</si>
  <si>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</si>
  <si>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</si>
  <si>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</si>
  <si>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</si>
  <si>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</si>
  <si>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</si>
  <si>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</si>
  <si>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</si>
  <si>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</si>
  <si>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</si>
  <si>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</si>
  <si>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</si>
  <si>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</si>
  <si>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</si>
  <si>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</si>
  <si>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</si>
  <si>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</si>
  <si>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</si>
  <si>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</si>
  <si>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</si>
  <si>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</si>
  <si>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</si>
  <si>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</si>
  <si>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</si>
  <si>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</si>
  <si>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</si>
  <si>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</si>
  <si>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</si>
  <si>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</si>
  <si>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</si>
  <si>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</si>
  <si>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</si>
  <si>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</si>
  <si>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</si>
  <si>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</si>
  <si>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</si>
  <si>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</si>
  <si>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</si>
  <si>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</si>
  <si>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</si>
  <si>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</si>
  <si>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</si>
  <si>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</si>
  <si>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</si>
  <si>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</si>
  <si>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</si>
  <si>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</si>
  <si>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</si>
  <si>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</si>
  <si>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</si>
  <si>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</si>
  <si>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</si>
  <si>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</si>
  <si>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</si>
  <si>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</si>
  <si>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</si>
  <si>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</si>
  <si>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</si>
  <si>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</si>
  <si>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</si>
  <si>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</si>
  <si>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</si>
  <si>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</si>
  <si>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</si>
  <si>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</si>
  <si>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</si>
  <si>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</si>
  <si>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</si>
  <si>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273A</t>
  </si>
  <si>
    <t>ＳＢＩ　サウジアラビア株式上場投信　受益証券</t>
  </si>
  <si>
    <t>SBI Saudi Arabia Equity Exchange Traded Fund</t>
  </si>
  <si>
    <t>282A</t>
  </si>
  <si>
    <t>グローバルＸ　半導体・トップ１０－日本株式　ＥＴＦ　受益証券</t>
  </si>
  <si>
    <t>Global X Japan Semiconductor Top 10 ETF</t>
  </si>
  <si>
    <t xml:space="preserve">新規上場  </t>
  </si>
  <si>
    <t xml:space="preserve">New Listing  </t>
  </si>
  <si>
    <t xml:space="preserve">2024/11/21  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</si>
  <si>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</si>
  <si>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</si>
  <si>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</si>
  <si>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</si>
  <si>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</si>
  <si>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</si>
  <si>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</si>
  <si>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</si>
  <si>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</si>
  <si>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</si>
  <si>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</si>
  <si>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</si>
  <si>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283A</t>
  </si>
  <si>
    <t>グローバルＸ　ＵＳ　テック・配当貴族　ＥＴＦ　受益証券</t>
  </si>
  <si>
    <t>Global X US Tech Dividend Aristocrats ETF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</si>
  <si>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</si>
  <si>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</si>
  <si>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</si>
  <si>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</si>
  <si>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</si>
  <si>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</si>
  <si>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</si>
  <si>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</si>
  <si>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</si>
  <si>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</si>
  <si>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</si>
  <si>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</si>
  <si>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</si>
  <si>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</si>
  <si>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</si>
  <si>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</si>
  <si>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</si>
  <si>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</si>
  <si>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</si>
  <si>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</si>
  <si>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</si>
  <si>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</si>
  <si>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</si>
  <si>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</si>
  <si>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</si>
  <si>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</si>
  <si>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</si>
  <si>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</si>
  <si>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</si>
  <si>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</si>
  <si>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</si>
  <si>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</si>
  <si>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</si>
  <si>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</si>
  <si>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</si>
  <si>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</si>
  <si>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</si>
  <si>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</si>
  <si>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</si>
  <si>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</si>
  <si>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</si>
  <si>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</si>
  <si>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</si>
  <si>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</si>
  <si>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</si>
  <si>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</si>
  <si>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</si>
  <si>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</si>
  <si>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</si>
  <si>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</si>
  <si>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</si>
  <si>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</si>
  <si>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</si>
  <si>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</si>
  <si>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</si>
  <si>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</si>
  <si>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</si>
  <si>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</si>
  <si>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</si>
  <si>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</si>
  <si>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</si>
  <si>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</si>
  <si>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</si>
  <si>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</si>
  <si>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</si>
  <si>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</si>
  <si>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</si>
  <si>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</si>
  <si>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</si>
  <si>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</si>
  <si>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</si>
  <si>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</si>
  <si>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</si>
  <si>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</si>
  <si>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</si>
  <si>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</si>
  <si>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</si>
  <si>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</si>
  <si>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</si>
  <si>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</si>
  <si>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</si>
  <si>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</si>
  <si>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</si>
  <si>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</si>
  <si>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</si>
  <si>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</si>
  <si>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</si>
  <si>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</si>
  <si>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</si>
  <si>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</si>
  <si>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</si>
  <si>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</si>
  <si>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</si>
  <si>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</si>
  <si>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</si>
  <si>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</si>
  <si>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</si>
  <si>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</si>
  <si>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</si>
  <si>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</si>
  <si>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</si>
  <si>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</si>
  <si>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</si>
  <si>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</si>
  <si>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</si>
  <si>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</si>
  <si>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</si>
  <si>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</si>
  <si>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</si>
  <si>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</si>
  <si>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</si>
  <si>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</si>
  <si>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</si>
  <si>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</si>
  <si>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</si>
  <si>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</si>
  <si>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</si>
  <si>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</si>
  <si>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</si>
  <si>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</si>
  <si>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</si>
  <si>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</si>
  <si>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</si>
  <si>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</si>
  <si>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</si>
  <si>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</si>
  <si>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</si>
  <si>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</si>
  <si>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</si>
  <si>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</si>
  <si>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</si>
  <si>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</si>
  <si>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</si>
  <si>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</si>
  <si>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</si>
  <si>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</si>
  <si>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</si>
  <si>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</si>
  <si>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</si>
  <si>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</si>
  <si>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</si>
  <si>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</si>
  <si>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</si>
  <si>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</si>
  <si>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</si>
  <si>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</si>
  <si>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</si>
  <si>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</si>
  <si>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</si>
  <si>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</si>
  <si>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</si>
  <si>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</si>
  <si>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</si>
  <si>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</si>
  <si>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</si>
  <si>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</si>
  <si>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</si>
  <si>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</si>
  <si>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</si>
  <si>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</si>
  <si>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</si>
  <si>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</si>
  <si>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</si>
  <si>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</si>
  <si>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</si>
  <si>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</si>
  <si>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</si>
  <si>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</si>
  <si>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</si>
  <si>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</si>
  <si>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</si>
  <si>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</si>
  <si>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</si>
  <si>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</si>
  <si>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</si>
  <si>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日本ホテル＆レジデンシャル投資法人　投資証券</t>
  </si>
  <si>
    <t>Nippon Hotel &amp; Residential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</si>
  <si>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</si>
  <si>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</si>
  <si>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</si>
  <si>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</si>
  <si>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</si>
  <si>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</si>
  <si>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</si>
  <si>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</si>
  <si>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</si>
  <si>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</si>
  <si>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</si>
  <si>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</si>
  <si>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3492</t>
  </si>
  <si>
    <t>タカラレーベン不動産投資法人　投資証券</t>
  </si>
  <si>
    <t>Takara Leben Real Estate Investment Corporation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</si>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</sst>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8" numFmtId="0"/>
    <xf applyAlignment="0" applyBorder="0" applyFill="0" applyFont="0" applyProtection="0" borderId="0" fillId="0" fontId="2" numFmtId="9"/>
    <xf borderId="0" fillId="0" fontId="12" numFmtId="0"/>
    <xf borderId="0" fillId="0" fontId="8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8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9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applyAlignment="0" applyFill="0" applyNumberFormat="0" applyProtection="0" borderId="30" fillId="0" fontId="31" numFmtId="0"/>
    <xf applyAlignment="0" applyFill="0" applyNumberFormat="0" applyProtection="0" borderId="31" fillId="0" fontId="32" numFmtId="0"/>
    <xf applyAlignment="0" applyFill="0" applyNumberFormat="0" applyProtection="0" borderId="32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7" fillId="7" fontId="34" numFmtId="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borderId="0" fillId="0" fontId="7" numFmtId="0"/>
    <xf applyAlignment="0" applyFill="0" applyNumberFormat="0" applyProtection="0" borderId="33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6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8" numFmtId="9"/>
    <xf applyAlignment="0" applyBorder="0" applyFill="0" applyFont="0" applyProtection="0" borderId="0" fillId="0" fontId="8" numFmtId="9">
      <alignment vertical="center"/>
    </xf>
    <xf applyAlignment="0" applyBorder="0" applyFill="0" applyFont="0" applyProtection="0" borderId="0" fillId="0" fontId="8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7" fillId="27" fontId="71" numFmtId="49"/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8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8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8" numFmtId="6"/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64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9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8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8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/>
    <xf borderId="0" fillId="0" fontId="8" numFmtId="0"/>
    <xf borderId="0" fillId="0" fontId="14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" numFmtId="0"/>
    <xf borderId="0" fillId="0" fontId="8" numFmtId="0"/>
    <xf borderId="0" fillId="0" fontId="83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3" numFmtId="0"/>
    <xf borderId="0" fillId="0" fontId="8" numFmtId="0"/>
    <xf borderId="0" fillId="0" fontId="83" numFmtId="0"/>
    <xf borderId="0" fillId="0" fontId="1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4" numFmtId="0">
      <alignment vertical="center"/>
    </xf>
    <xf borderId="0" fillId="0" fontId="8" numFmtId="0"/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/>
    <xf borderId="0" fillId="0" fontId="7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8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Font="1" applyNumberFormat="1" borderId="0" fillId="0" fontId="4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1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2" fillId="0" fontId="7" numFmtId="0" xfId="1">
      <alignment horizontal="center" vertical="center"/>
    </xf>
    <xf applyAlignment="1" applyBorder="1" applyFill="1" applyFont="1" applyNumberFormat="1" borderId="9" fillId="0" fontId="7" numFmtId="49" xfId="2">
      <alignment horizontal="center" vertical="center"/>
    </xf>
    <xf applyAlignment="1" applyBorder="1" applyFill="1" applyFont="1" borderId="13" fillId="0" fontId="2" numFmtId="0" xfId="1">
      <alignment horizontal="center" vertical="center"/>
    </xf>
    <xf applyAlignment="1" applyBorder="1" applyFill="1" applyFont="1" applyNumberFormat="1" borderId="4" fillId="0" fontId="2" numFmtId="0" xfId="1">
      <alignment horizontal="center" vertical="center"/>
    </xf>
    <xf applyAlignment="1" applyBorder="1" applyFill="1" applyFont="1" applyNumberFormat="1" borderId="14" fillId="0" fontId="2" numFmtId="0" xfId="1">
      <alignment horizontal="center" vertical="center"/>
    </xf>
    <xf applyAlignment="1" applyBorder="1" applyFill="1" applyFont="1" applyNumberFormat="1" borderId="15" fillId="0" fontId="2" numFmtId="49" xfId="2">
      <alignment horizontal="center" vertical="center"/>
    </xf>
    <xf applyAlignment="1" applyBorder="1" applyFill="1" applyFont="1" applyNumberFormat="1" borderId="13" fillId="0" fontId="7" numFmtId="49" xfId="2">
      <alignment horizontal="center" vertical="center"/>
    </xf>
    <xf applyAlignment="1" applyBorder="1" applyFill="1" applyFont="1" applyNumberFormat="1" borderId="16" fillId="0" fontId="2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borderId="17" fillId="0" fontId="2" numFmtId="0" xfId="1">
      <alignment horizontal="right" vertical="center"/>
    </xf>
    <xf applyAlignment="1" applyBorder="1" applyFill="1" applyFont="1" applyNumberFormat="1" borderId="6" fillId="0" fontId="2" numFmtId="0" xfId="1">
      <alignment horizontal="right" vertical="center"/>
    </xf>
    <xf applyAlignment="1" applyBorder="1" applyFill="1" applyFont="1" applyNumberFormat="1" borderId="18" fillId="0" fontId="2" numFmtId="0" xfId="1">
      <alignment horizontal="right" vertical="center"/>
    </xf>
    <xf applyAlignment="1" applyBorder="1" applyFill="1" applyFont="1" applyNumberFormat="1" borderId="19" fillId="0" fontId="2" numFmtId="0" xfId="1">
      <alignment horizontal="right" vertical="center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20" fillId="0" fontId="11" numFmtId="49" xfId="2">
      <alignment horizontal="right"/>
    </xf>
    <xf applyAlignment="1" applyBorder="1" applyFill="1" applyFont="1" applyNumberFormat="1" borderId="19" fillId="0" fontId="11" numFmtId="49" xfId="2">
      <alignment horizontal="right"/>
    </xf>
    <xf applyAlignment="1" applyBorder="1" applyFill="1" applyFont="1" applyNumberFormat="1" borderId="21" fillId="0" fontId="7" numFmtId="49" xfId="1">
      <alignment horizontal="left" vertical="center"/>
    </xf>
    <xf applyAlignment="1" applyBorder="1" applyFill="1" applyFont="1" applyNumberFormat="1" borderId="22" fillId="0" fontId="7" numFmtId="49" xfId="1">
      <alignment horizontal="left" vertical="center"/>
    </xf>
    <xf applyAlignment="1" applyBorder="1" applyFill="1" applyFont="1" applyNumberFormat="1" borderId="23" fillId="0" fontId="7" numFmtId="49" xfId="1">
      <alignment horizontal="left" vertical="center"/>
    </xf>
    <xf applyAlignment="1" applyBorder="1" applyFill="1" applyFont="1" applyNumberFormat="1" borderId="24" fillId="0" fontId="7" numFmtId="49" xfId="1">
      <alignment horizontal="left" vertical="center"/>
    </xf>
    <xf applyAlignment="1" applyBorder="1" applyFill="1" applyFont="1" applyNumberFormat="1" borderId="21" fillId="0" fontId="7" numFmtId="49" xfId="2">
      <alignment horizontal="left"/>
    </xf>
    <xf applyAlignment="1" applyBorder="1" applyFill="1" applyFont="1" applyNumberFormat="1" borderId="21" fillId="0" fontId="7" numFmtId="3" xfId="2">
      <alignment horizontal="right"/>
    </xf>
    <xf applyAlignment="1" applyBorder="1" applyFill="1" applyFont="1" applyNumberFormat="1" borderId="25" fillId="0" fontId="7" numFmtId="4" xfId="2">
      <alignment horizontal="right"/>
    </xf>
    <xf applyAlignment="1" applyBorder="1" applyFill="1" applyFont="1" applyNumberFormat="1" borderId="24" fillId="0" fontId="7" numFmtId="49" xfId="2">
      <alignment horizontal="right"/>
    </xf>
    <xf applyAlignment="1" applyBorder="1" applyFill="1" applyFont="1" applyNumberFormat="1" borderId="21" fillId="0" fontId="7" numFmtId="4" xfId="2">
      <alignment horizontal="right"/>
    </xf>
    <xf applyAlignment="1" applyBorder="1" applyFill="1" applyFont="1" applyNumberFormat="1" borderId="21" fillId="0" fontId="7" numFmtId="189" xfId="2">
      <alignment horizontal="right"/>
    </xf>
    <xf applyAlignment="1" applyBorder="1" applyFill="1" applyFont="1" borderId="2" fillId="0" fontId="2" numFmtId="0" xfId="1">
      <alignment horizontal="left" vertical="top" wrapText="1"/>
    </xf>
    <xf applyAlignment="1" applyBorder="1" applyFill="1" applyFont="1" borderId="3" fillId="0" fontId="2" numFmtId="0" xfId="1">
      <alignment horizontal="left" vertical="top" wrapText="1"/>
    </xf>
    <xf applyAlignment="1" applyBorder="1" applyFill="1" applyFont="1" borderId="0" fillId="0" fontId="2" numFmtId="0" xfId="1">
      <alignment horizontal="left" vertical="top" wrapText="1"/>
    </xf>
    <xf applyAlignment="1" applyBorder="1" applyFill="1" applyFont="1" borderId="5" fillId="0" fontId="2" numFmtId="0" xfId="1">
      <alignment horizontal="left" vertical="top" wrapText="1"/>
    </xf>
    <xf applyAlignment="1" applyBorder="1" applyFill="1" applyFont="1" borderId="7" fillId="0" fontId="2" numFmtId="0" xfId="1">
      <alignment horizontal="left" vertical="top" wrapText="1"/>
    </xf>
    <xf applyAlignment="1" applyBorder="1" applyFill="1" applyFont="1" borderId="8" fillId="0" fontId="2" numFmtId="0" xfId="1">
      <alignment horizontal="left"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Y440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customHeight="1" ht="13.5" r="1" spans="1:24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customHeight="1" ht="99" r="2" spans="1:24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customHeight="1" ht="39" r="3" spans="1:24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customFormat="1" customHeight="1" ht="13.5" r="4" s="2" spans="1:24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customFormat="1" customHeight="1" ht="13.5" r="7" s="2" spans="1:24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2810.5</f>
        <v>2810.5</v>
      </c>
      <c r="L7" s="34" t="s">
        <v>48</v>
      </c>
      <c r="M7" s="33" t="n">
        <f>2934</f>
        <v>2934.0</v>
      </c>
      <c r="N7" s="34" t="s">
        <v>49</v>
      </c>
      <c r="O7" s="33" t="n">
        <f>2794</f>
        <v>2794.0</v>
      </c>
      <c r="P7" s="34" t="s">
        <v>48</v>
      </c>
      <c r="Q7" s="33" t="n">
        <f>2832</f>
        <v>2832.0</v>
      </c>
      <c r="R7" s="34" t="s">
        <v>50</v>
      </c>
      <c r="S7" s="35" t="n">
        <f>2859.9</f>
        <v>2859.9</v>
      </c>
      <c r="T7" s="32" t="n">
        <f>6943560</f>
        <v>6943560.0</v>
      </c>
      <c r="U7" s="32" t="n">
        <f>4228490</f>
        <v>4228490.0</v>
      </c>
      <c r="V7" s="32" t="n">
        <f>20026500647</f>
        <v>2.0026500647E10</v>
      </c>
      <c r="W7" s="32" t="n">
        <f>12255683312</f>
        <v>1.2255683312E10</v>
      </c>
      <c r="X7" s="36" t="n">
        <f>20</f>
        <v>20.0</v>
      </c>
    </row>
    <row r="8">
      <c r="A8" s="27" t="s">
        <v>42</v>
      </c>
      <c r="B8" s="27" t="s">
        <v>51</v>
      </c>
      <c r="C8" s="27" t="s">
        <v>52</v>
      </c>
      <c r="D8" s="27" t="s">
        <v>53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2781</f>
        <v>2781.0</v>
      </c>
      <c r="L8" s="34" t="s">
        <v>48</v>
      </c>
      <c r="M8" s="33" t="n">
        <f>2903</f>
        <v>2903.0</v>
      </c>
      <c r="N8" s="34" t="s">
        <v>54</v>
      </c>
      <c r="O8" s="33" t="n">
        <f>2764.5</f>
        <v>2764.5</v>
      </c>
      <c r="P8" s="34" t="s">
        <v>48</v>
      </c>
      <c r="Q8" s="33" t="n">
        <f>2804.5</f>
        <v>2804.5</v>
      </c>
      <c r="R8" s="34" t="s">
        <v>50</v>
      </c>
      <c r="S8" s="35" t="n">
        <f>2830.28</f>
        <v>2830.28</v>
      </c>
      <c r="T8" s="32" t="n">
        <f>40992470</f>
        <v>4.099247E7</v>
      </c>
      <c r="U8" s="32" t="n">
        <f>6772230</f>
        <v>6772230.0</v>
      </c>
      <c r="V8" s="32" t="n">
        <f>116158722138</f>
        <v>1.16158722138E11</v>
      </c>
      <c r="W8" s="32" t="n">
        <f>19166619458</f>
        <v>1.9166619458E10</v>
      </c>
      <c r="X8" s="36" t="n">
        <f>20</f>
        <v>20.0</v>
      </c>
    </row>
    <row r="9">
      <c r="A9" s="27" t="s">
        <v>42</v>
      </c>
      <c r="B9" s="27" t="s">
        <v>55</v>
      </c>
      <c r="C9" s="27" t="s">
        <v>56</v>
      </c>
      <c r="D9" s="27" t="s">
        <v>57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2749</f>
        <v>2749.0</v>
      </c>
      <c r="L9" s="34" t="s">
        <v>48</v>
      </c>
      <c r="M9" s="33" t="n">
        <f>2871</f>
        <v>2871.0</v>
      </c>
      <c r="N9" s="34" t="s">
        <v>54</v>
      </c>
      <c r="O9" s="33" t="n">
        <f>2732</f>
        <v>2732.0</v>
      </c>
      <c r="P9" s="34" t="s">
        <v>48</v>
      </c>
      <c r="Q9" s="33" t="n">
        <f>2770</f>
        <v>2770.0</v>
      </c>
      <c r="R9" s="34" t="s">
        <v>50</v>
      </c>
      <c r="S9" s="35" t="n">
        <f>2795.6</f>
        <v>2795.6</v>
      </c>
      <c r="T9" s="32" t="n">
        <f>8439370</f>
        <v>8439370.0</v>
      </c>
      <c r="U9" s="32" t="n">
        <f>2896239</f>
        <v>2896239.0</v>
      </c>
      <c r="V9" s="32" t="n">
        <f>23718231311</f>
        <v>2.3718231311E10</v>
      </c>
      <c r="W9" s="32" t="n">
        <f>8120101859</f>
        <v>8.120101859E9</v>
      </c>
      <c r="X9" s="36" t="n">
        <f>20</f>
        <v>20.0</v>
      </c>
    </row>
    <row r="10">
      <c r="A10" s="27" t="s">
        <v>42</v>
      </c>
      <c r="B10" s="27" t="s">
        <v>58</v>
      </c>
      <c r="C10" s="27" t="s">
        <v>59</v>
      </c>
      <c r="D10" s="27" t="s">
        <v>60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45300</f>
        <v>45300.0</v>
      </c>
      <c r="L10" s="34" t="s">
        <v>48</v>
      </c>
      <c r="M10" s="33" t="n">
        <f>48780</f>
        <v>48780.0</v>
      </c>
      <c r="N10" s="34" t="s">
        <v>54</v>
      </c>
      <c r="O10" s="33" t="n">
        <f>43050</f>
        <v>43050.0</v>
      </c>
      <c r="P10" s="34" t="s">
        <v>61</v>
      </c>
      <c r="Q10" s="33" t="n">
        <f>43520</f>
        <v>43520.0</v>
      </c>
      <c r="R10" s="34" t="s">
        <v>50</v>
      </c>
      <c r="S10" s="35" t="n">
        <f>45338</f>
        <v>45338.0</v>
      </c>
      <c r="T10" s="32" t="n">
        <f>7928</f>
        <v>7928.0</v>
      </c>
      <c r="U10" s="32" t="str">
        <f>"－"</f>
        <v>－</v>
      </c>
      <c r="V10" s="32" t="n">
        <f>363198570</f>
        <v>3.6319857E8</v>
      </c>
      <c r="W10" s="32" t="str">
        <f>"－"</f>
        <v>－</v>
      </c>
      <c r="X10" s="36" t="n">
        <f>20</f>
        <v>20.0</v>
      </c>
    </row>
    <row r="11">
      <c r="A11" s="27" t="s">
        <v>42</v>
      </c>
      <c r="B11" s="27" t="s">
        <v>62</v>
      </c>
      <c r="C11" s="27" t="s">
        <v>63</v>
      </c>
      <c r="D11" s="27" t="s">
        <v>64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1387</f>
        <v>1387.0</v>
      </c>
      <c r="L11" s="34" t="s">
        <v>48</v>
      </c>
      <c r="M11" s="33" t="n">
        <f>1488.5</f>
        <v>1488.5</v>
      </c>
      <c r="N11" s="34" t="s">
        <v>65</v>
      </c>
      <c r="O11" s="33" t="n">
        <f>1375.5</f>
        <v>1375.5</v>
      </c>
      <c r="P11" s="34" t="s">
        <v>48</v>
      </c>
      <c r="Q11" s="33" t="n">
        <f>1418.5</f>
        <v>1418.5</v>
      </c>
      <c r="R11" s="34" t="s">
        <v>50</v>
      </c>
      <c r="S11" s="35" t="n">
        <f>1422.03</f>
        <v>1422.03</v>
      </c>
      <c r="T11" s="32" t="n">
        <f>376390</f>
        <v>376390.0</v>
      </c>
      <c r="U11" s="32" t="n">
        <f>198000</f>
        <v>198000.0</v>
      </c>
      <c r="V11" s="32" t="n">
        <f>536725445</f>
        <v>5.36725445E8</v>
      </c>
      <c r="W11" s="32" t="n">
        <f>281963080</f>
        <v>2.8196308E8</v>
      </c>
      <c r="X11" s="36" t="n">
        <f>20</f>
        <v>20.0</v>
      </c>
    </row>
    <row r="12">
      <c r="A12" s="27" t="s">
        <v>42</v>
      </c>
      <c r="B12" s="27" t="s">
        <v>66</v>
      </c>
      <c r="C12" s="27" t="s">
        <v>67</v>
      </c>
      <c r="D12" s="27" t="s">
        <v>68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520</f>
        <v>520.0</v>
      </c>
      <c r="L12" s="34" t="s">
        <v>48</v>
      </c>
      <c r="M12" s="33" t="n">
        <f>545</f>
        <v>545.0</v>
      </c>
      <c r="N12" s="34" t="s">
        <v>54</v>
      </c>
      <c r="O12" s="33" t="n">
        <f>518.1</f>
        <v>518.1</v>
      </c>
      <c r="P12" s="34" t="s">
        <v>69</v>
      </c>
      <c r="Q12" s="33" t="n">
        <f>521</f>
        <v>521.0</v>
      </c>
      <c r="R12" s="34" t="s">
        <v>61</v>
      </c>
      <c r="S12" s="35" t="n">
        <f>535.61</f>
        <v>535.61</v>
      </c>
      <c r="T12" s="32" t="n">
        <f>148000</f>
        <v>148000.0</v>
      </c>
      <c r="U12" s="32" t="n">
        <f>1000</f>
        <v>1000.0</v>
      </c>
      <c r="V12" s="32" t="n">
        <f>79396000</f>
        <v>7.9396E7</v>
      </c>
      <c r="W12" s="32" t="n">
        <f>542200</f>
        <v>542200.0</v>
      </c>
      <c r="X12" s="36" t="n">
        <f>14</f>
        <v>14.0</v>
      </c>
    </row>
    <row r="13">
      <c r="A13" s="27" t="s">
        <v>42</v>
      </c>
      <c r="B13" s="27" t="s">
        <v>70</v>
      </c>
      <c r="C13" s="27" t="s">
        <v>71</v>
      </c>
      <c r="D13" s="27" t="s">
        <v>72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39440</f>
        <v>39440.0</v>
      </c>
      <c r="L13" s="34" t="s">
        <v>48</v>
      </c>
      <c r="M13" s="33" t="n">
        <f>41270</f>
        <v>41270.0</v>
      </c>
      <c r="N13" s="34" t="s">
        <v>73</v>
      </c>
      <c r="O13" s="33" t="n">
        <f>39080</f>
        <v>39080.0</v>
      </c>
      <c r="P13" s="34" t="s">
        <v>61</v>
      </c>
      <c r="Q13" s="33" t="n">
        <f>39430</f>
        <v>39430.0</v>
      </c>
      <c r="R13" s="34" t="s">
        <v>50</v>
      </c>
      <c r="S13" s="35" t="n">
        <f>39952.5</f>
        <v>39952.5</v>
      </c>
      <c r="T13" s="32" t="n">
        <f>1040879</f>
        <v>1040879.0</v>
      </c>
      <c r="U13" s="32" t="n">
        <f>313753</f>
        <v>313753.0</v>
      </c>
      <c r="V13" s="32" t="n">
        <f>41693267689</f>
        <v>4.1693267689E10</v>
      </c>
      <c r="W13" s="32" t="n">
        <f>12645760669</f>
        <v>1.2645760669E10</v>
      </c>
      <c r="X13" s="36" t="n">
        <f>20</f>
        <v>20.0</v>
      </c>
    </row>
    <row r="14">
      <c r="A14" s="27" t="s">
        <v>42</v>
      </c>
      <c r="B14" s="27" t="s">
        <v>74</v>
      </c>
      <c r="C14" s="27" t="s">
        <v>75</v>
      </c>
      <c r="D14" s="27" t="s">
        <v>76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39590</f>
        <v>39590.0</v>
      </c>
      <c r="L14" s="34" t="s">
        <v>48</v>
      </c>
      <c r="M14" s="33" t="n">
        <f>41400</f>
        <v>41400.0</v>
      </c>
      <c r="N14" s="34" t="s">
        <v>73</v>
      </c>
      <c r="O14" s="33" t="n">
        <f>39220</f>
        <v>39220.0</v>
      </c>
      <c r="P14" s="34" t="s">
        <v>61</v>
      </c>
      <c r="Q14" s="33" t="n">
        <f>39630</f>
        <v>39630.0</v>
      </c>
      <c r="R14" s="34" t="s">
        <v>50</v>
      </c>
      <c r="S14" s="35" t="n">
        <f>40084</f>
        <v>40084.0</v>
      </c>
      <c r="T14" s="32" t="n">
        <f>6873714</f>
        <v>6873714.0</v>
      </c>
      <c r="U14" s="32" t="n">
        <f>286948</f>
        <v>286948.0</v>
      </c>
      <c r="V14" s="32" t="n">
        <f>276080302062</f>
        <v>2.76080302062E11</v>
      </c>
      <c r="W14" s="32" t="n">
        <f>11543752312</f>
        <v>1.1543752312E10</v>
      </c>
      <c r="X14" s="36" t="n">
        <f>20</f>
        <v>20.0</v>
      </c>
    </row>
    <row r="15">
      <c r="A15" s="27" t="s">
        <v>42</v>
      </c>
      <c r="B15" s="27" t="s">
        <v>77</v>
      </c>
      <c r="C15" s="27" t="s">
        <v>78</v>
      </c>
      <c r="D15" s="27" t="s">
        <v>79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10.0</v>
      </c>
      <c r="K15" s="33" t="n">
        <f>8665</f>
        <v>8665.0</v>
      </c>
      <c r="L15" s="34" t="s">
        <v>48</v>
      </c>
      <c r="M15" s="33" t="n">
        <f>9505</f>
        <v>9505.0</v>
      </c>
      <c r="N15" s="34" t="s">
        <v>54</v>
      </c>
      <c r="O15" s="33" t="n">
        <f>8395</f>
        <v>8395.0</v>
      </c>
      <c r="P15" s="34" t="s">
        <v>50</v>
      </c>
      <c r="Q15" s="33" t="n">
        <f>8561</f>
        <v>8561.0</v>
      </c>
      <c r="R15" s="34" t="s">
        <v>50</v>
      </c>
      <c r="S15" s="35" t="n">
        <f>8859.6</f>
        <v>8859.6</v>
      </c>
      <c r="T15" s="32" t="n">
        <f>61840</f>
        <v>61840.0</v>
      </c>
      <c r="U15" s="32" t="str">
        <f>"－"</f>
        <v>－</v>
      </c>
      <c r="V15" s="32" t="n">
        <f>550582120</f>
        <v>5.5058212E8</v>
      </c>
      <c r="W15" s="32" t="str">
        <f>"－"</f>
        <v>－</v>
      </c>
      <c r="X15" s="36" t="n">
        <f>20</f>
        <v>20.0</v>
      </c>
    </row>
    <row r="16">
      <c r="A16" s="27" t="s">
        <v>42</v>
      </c>
      <c r="B16" s="27" t="s">
        <v>80</v>
      </c>
      <c r="C16" s="27" t="s">
        <v>81</v>
      </c>
      <c r="D16" s="27" t="s">
        <v>82</v>
      </c>
      <c r="E16" s="28" t="s">
        <v>46</v>
      </c>
      <c r="F16" s="29" t="s">
        <v>46</v>
      </c>
      <c r="G16" s="30" t="s">
        <v>46</v>
      </c>
      <c r="H16" s="31" t="s">
        <v>83</v>
      </c>
      <c r="I16" s="31"/>
      <c r="J16" s="32" t="n">
        <v>100.0</v>
      </c>
      <c r="K16" s="33" t="str">
        <f>"－"</f>
        <v>－</v>
      </c>
      <c r="L16" s="34"/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5" t="str">
        <f>"－"</f>
        <v>－</v>
      </c>
      <c r="T16" s="32" t="str">
        <f>"－"</f>
        <v>－</v>
      </c>
      <c r="U16" s="32" t="str">
        <f>"－"</f>
        <v>－</v>
      </c>
      <c r="V16" s="32" t="str">
        <f>"－"</f>
        <v>－</v>
      </c>
      <c r="W16" s="32" t="str">
        <f>"－"</f>
        <v>－</v>
      </c>
      <c r="X16" s="36" t="str">
        <f>"－"</f>
        <v>－</v>
      </c>
    </row>
    <row r="17">
      <c r="A17" s="27" t="s">
        <v>42</v>
      </c>
      <c r="B17" s="27" t="s">
        <v>84</v>
      </c>
      <c r="C17" s="27" t="s">
        <v>85</v>
      </c>
      <c r="D17" s="27" t="s">
        <v>86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100.0</v>
      </c>
      <c r="K17" s="33" t="n">
        <f>203.1</f>
        <v>203.1</v>
      </c>
      <c r="L17" s="34" t="s">
        <v>48</v>
      </c>
      <c r="M17" s="33" t="n">
        <f>211.7</f>
        <v>211.7</v>
      </c>
      <c r="N17" s="34" t="s">
        <v>87</v>
      </c>
      <c r="O17" s="33" t="n">
        <f>191.3</f>
        <v>191.3</v>
      </c>
      <c r="P17" s="34" t="s">
        <v>50</v>
      </c>
      <c r="Q17" s="33" t="n">
        <f>194</f>
        <v>194.0</v>
      </c>
      <c r="R17" s="34" t="s">
        <v>50</v>
      </c>
      <c r="S17" s="35" t="n">
        <f>205.7</f>
        <v>205.7</v>
      </c>
      <c r="T17" s="32" t="n">
        <f>560900</f>
        <v>560900.0</v>
      </c>
      <c r="U17" s="32" t="n">
        <f>1100</f>
        <v>1100.0</v>
      </c>
      <c r="V17" s="32" t="n">
        <f>113609310</f>
        <v>1.1360931E8</v>
      </c>
      <c r="W17" s="32" t="n">
        <f>226310</f>
        <v>226310.0</v>
      </c>
      <c r="X17" s="36" t="n">
        <f>20</f>
        <v>20.0</v>
      </c>
    </row>
    <row r="18">
      <c r="A18" s="27" t="s">
        <v>42</v>
      </c>
      <c r="B18" s="27" t="s">
        <v>88</v>
      </c>
      <c r="C18" s="27" t="s">
        <v>89</v>
      </c>
      <c r="D18" s="27" t="s">
        <v>90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1.0</v>
      </c>
      <c r="K18" s="33" t="n">
        <f>38730</f>
        <v>38730.0</v>
      </c>
      <c r="L18" s="34" t="s">
        <v>48</v>
      </c>
      <c r="M18" s="33" t="n">
        <f>39350</f>
        <v>39350.0</v>
      </c>
      <c r="N18" s="34" t="s">
        <v>48</v>
      </c>
      <c r="O18" s="33" t="n">
        <f>36560</f>
        <v>36560.0</v>
      </c>
      <c r="P18" s="34" t="s">
        <v>65</v>
      </c>
      <c r="Q18" s="33" t="n">
        <f>36910</f>
        <v>36910.0</v>
      </c>
      <c r="R18" s="34" t="s">
        <v>50</v>
      </c>
      <c r="S18" s="35" t="n">
        <f>37648</f>
        <v>37648.0</v>
      </c>
      <c r="T18" s="32" t="n">
        <f>383086</f>
        <v>383086.0</v>
      </c>
      <c r="U18" s="32" t="n">
        <f>48812</f>
        <v>48812.0</v>
      </c>
      <c r="V18" s="32" t="n">
        <f>14452614907</f>
        <v>1.4452614907E10</v>
      </c>
      <c r="W18" s="32" t="n">
        <f>1852906357</f>
        <v>1.852906357E9</v>
      </c>
      <c r="X18" s="36" t="n">
        <f>20</f>
        <v>20.0</v>
      </c>
    </row>
    <row r="19">
      <c r="A19" s="27" t="s">
        <v>42</v>
      </c>
      <c r="B19" s="27" t="s">
        <v>91</v>
      </c>
      <c r="C19" s="27" t="s">
        <v>92</v>
      </c>
      <c r="D19" s="27" t="s">
        <v>93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10.0</v>
      </c>
      <c r="K19" s="33" t="n">
        <f>10165</f>
        <v>10165.0</v>
      </c>
      <c r="L19" s="34" t="s">
        <v>48</v>
      </c>
      <c r="M19" s="33" t="n">
        <f>10280</f>
        <v>10280.0</v>
      </c>
      <c r="N19" s="34" t="s">
        <v>94</v>
      </c>
      <c r="O19" s="33" t="n">
        <f>9610</f>
        <v>9610.0</v>
      </c>
      <c r="P19" s="34" t="s">
        <v>65</v>
      </c>
      <c r="Q19" s="33" t="n">
        <f>9712</f>
        <v>9712.0</v>
      </c>
      <c r="R19" s="34" t="s">
        <v>50</v>
      </c>
      <c r="S19" s="35" t="n">
        <f>9925.15</f>
        <v>9925.15</v>
      </c>
      <c r="T19" s="32" t="n">
        <f>517340</f>
        <v>517340.0</v>
      </c>
      <c r="U19" s="32" t="n">
        <f>49890</f>
        <v>49890.0</v>
      </c>
      <c r="V19" s="32" t="n">
        <f>5133644888</f>
        <v>5.133644888E9</v>
      </c>
      <c r="W19" s="32" t="n">
        <f>488658678</f>
        <v>4.88658678E8</v>
      </c>
      <c r="X19" s="36" t="n">
        <f>20</f>
        <v>20.0</v>
      </c>
    </row>
    <row r="20">
      <c r="A20" s="27" t="s">
        <v>42</v>
      </c>
      <c r="B20" s="27" t="s">
        <v>95</v>
      </c>
      <c r="C20" s="27" t="s">
        <v>96</v>
      </c>
      <c r="D20" s="27" t="s">
        <v>97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39690</f>
        <v>39690.0</v>
      </c>
      <c r="L20" s="34" t="s">
        <v>48</v>
      </c>
      <c r="M20" s="33" t="n">
        <f>41500</f>
        <v>41500.0</v>
      </c>
      <c r="N20" s="34" t="s">
        <v>73</v>
      </c>
      <c r="O20" s="33" t="n">
        <f>39320</f>
        <v>39320.0</v>
      </c>
      <c r="P20" s="34" t="s">
        <v>61</v>
      </c>
      <c r="Q20" s="33" t="n">
        <f>39680</f>
        <v>39680.0</v>
      </c>
      <c r="R20" s="34" t="s">
        <v>50</v>
      </c>
      <c r="S20" s="35" t="n">
        <f>40208</f>
        <v>40208.0</v>
      </c>
      <c r="T20" s="32" t="n">
        <f>777591</f>
        <v>777591.0</v>
      </c>
      <c r="U20" s="32" t="n">
        <f>64084</f>
        <v>64084.0</v>
      </c>
      <c r="V20" s="32" t="n">
        <f>31330386042</f>
        <v>3.1330386042E10</v>
      </c>
      <c r="W20" s="32" t="n">
        <f>2560020922</f>
        <v>2.560020922E9</v>
      </c>
      <c r="X20" s="36" t="n">
        <f>20</f>
        <v>20.0</v>
      </c>
    </row>
    <row r="21">
      <c r="A21" s="27" t="s">
        <v>42</v>
      </c>
      <c r="B21" s="27" t="s">
        <v>98</v>
      </c>
      <c r="C21" s="27" t="s">
        <v>99</v>
      </c>
      <c r="D21" s="27" t="s">
        <v>100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39620</f>
        <v>39620.0</v>
      </c>
      <c r="L21" s="34" t="s">
        <v>48</v>
      </c>
      <c r="M21" s="33" t="n">
        <f>41440</f>
        <v>41440.0</v>
      </c>
      <c r="N21" s="34" t="s">
        <v>73</v>
      </c>
      <c r="O21" s="33" t="n">
        <f>39250</f>
        <v>39250.0</v>
      </c>
      <c r="P21" s="34" t="s">
        <v>61</v>
      </c>
      <c r="Q21" s="33" t="n">
        <f>39610</f>
        <v>39610.0</v>
      </c>
      <c r="R21" s="34" t="s">
        <v>50</v>
      </c>
      <c r="S21" s="35" t="n">
        <f>40137</f>
        <v>40137.0</v>
      </c>
      <c r="T21" s="32" t="n">
        <f>1113327</f>
        <v>1113327.0</v>
      </c>
      <c r="U21" s="32" t="n">
        <f>483014</f>
        <v>483014.0</v>
      </c>
      <c r="V21" s="32" t="n">
        <f>44598894615</f>
        <v>4.4598894615E10</v>
      </c>
      <c r="W21" s="32" t="n">
        <f>19289056725</f>
        <v>1.9289056725E10</v>
      </c>
      <c r="X21" s="36" t="n">
        <f>20</f>
        <v>20.0</v>
      </c>
    </row>
    <row r="22">
      <c r="A22" s="27" t="s">
        <v>42</v>
      </c>
      <c r="B22" s="27" t="s">
        <v>101</v>
      </c>
      <c r="C22" s="27" t="s">
        <v>102</v>
      </c>
      <c r="D22" s="27" t="s">
        <v>103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1.0</v>
      </c>
      <c r="K22" s="33" t="n">
        <f>1034</f>
        <v>1034.0</v>
      </c>
      <c r="L22" s="34" t="s">
        <v>48</v>
      </c>
      <c r="M22" s="33" t="n">
        <f>1067</f>
        <v>1067.0</v>
      </c>
      <c r="N22" s="34" t="s">
        <v>104</v>
      </c>
      <c r="O22" s="33" t="n">
        <f>1016</f>
        <v>1016.0</v>
      </c>
      <c r="P22" s="34" t="s">
        <v>50</v>
      </c>
      <c r="Q22" s="33" t="n">
        <f>1018</f>
        <v>1018.0</v>
      </c>
      <c r="R22" s="34" t="s">
        <v>50</v>
      </c>
      <c r="S22" s="35" t="n">
        <f>1045.6</f>
        <v>1045.6</v>
      </c>
      <c r="T22" s="32" t="n">
        <f>1319808</f>
        <v>1319808.0</v>
      </c>
      <c r="U22" s="32" t="n">
        <f>487915</f>
        <v>487915.0</v>
      </c>
      <c r="V22" s="32" t="n">
        <f>1354969087</f>
        <v>1.354969087E9</v>
      </c>
      <c r="W22" s="32" t="n">
        <f>499178116</f>
        <v>4.99178116E8</v>
      </c>
      <c r="X22" s="36" t="n">
        <f>20</f>
        <v>20.0</v>
      </c>
    </row>
    <row r="23">
      <c r="A23" s="27" t="s">
        <v>42</v>
      </c>
      <c r="B23" s="27" t="s">
        <v>105</v>
      </c>
      <c r="C23" s="27" t="s">
        <v>106</v>
      </c>
      <c r="D23" s="27" t="s">
        <v>107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10.0</v>
      </c>
      <c r="K23" s="33" t="n">
        <f>1825.5</f>
        <v>1825.5</v>
      </c>
      <c r="L23" s="34" t="s">
        <v>48</v>
      </c>
      <c r="M23" s="33" t="n">
        <f>1836</f>
        <v>1836.0</v>
      </c>
      <c r="N23" s="34" t="s">
        <v>69</v>
      </c>
      <c r="O23" s="33" t="n">
        <f>1772</f>
        <v>1772.0</v>
      </c>
      <c r="P23" s="34" t="s">
        <v>108</v>
      </c>
      <c r="Q23" s="33" t="n">
        <f>1790</f>
        <v>1790.0</v>
      </c>
      <c r="R23" s="34" t="s">
        <v>50</v>
      </c>
      <c r="S23" s="35" t="n">
        <f>1799.4</f>
        <v>1799.4</v>
      </c>
      <c r="T23" s="32" t="n">
        <f>16839910</f>
        <v>1.683991E7</v>
      </c>
      <c r="U23" s="32" t="n">
        <f>6021760</f>
        <v>6021760.0</v>
      </c>
      <c r="V23" s="32" t="n">
        <f>30295250678</f>
        <v>3.0295250678E10</v>
      </c>
      <c r="W23" s="32" t="n">
        <f>10832131243</f>
        <v>1.0832131243E10</v>
      </c>
      <c r="X23" s="36" t="n">
        <f>20</f>
        <v>20.0</v>
      </c>
    </row>
    <row r="24">
      <c r="A24" s="27" t="s">
        <v>42</v>
      </c>
      <c r="B24" s="27" t="s">
        <v>109</v>
      </c>
      <c r="C24" s="27" t="s">
        <v>110</v>
      </c>
      <c r="D24" s="27" t="s">
        <v>111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100.0</v>
      </c>
      <c r="K24" s="33" t="n">
        <f>1713.5</f>
        <v>1713.5</v>
      </c>
      <c r="L24" s="34" t="s">
        <v>48</v>
      </c>
      <c r="M24" s="33" t="n">
        <f>1718.5</f>
        <v>1718.5</v>
      </c>
      <c r="N24" s="34" t="s">
        <v>48</v>
      </c>
      <c r="O24" s="33" t="n">
        <f>1671</f>
        <v>1671.0</v>
      </c>
      <c r="P24" s="34" t="s">
        <v>108</v>
      </c>
      <c r="Q24" s="33" t="n">
        <f>1691</f>
        <v>1691.0</v>
      </c>
      <c r="R24" s="34" t="s">
        <v>50</v>
      </c>
      <c r="S24" s="35" t="n">
        <f>1696.63</f>
        <v>1696.63</v>
      </c>
      <c r="T24" s="32" t="n">
        <f>1906900</f>
        <v>1906900.0</v>
      </c>
      <c r="U24" s="32" t="n">
        <f>580000</f>
        <v>580000.0</v>
      </c>
      <c r="V24" s="32" t="n">
        <f>3232204814</f>
        <v>3.232204814E9</v>
      </c>
      <c r="W24" s="32" t="n">
        <f>979559514</f>
        <v>9.79559514E8</v>
      </c>
      <c r="X24" s="36" t="n">
        <f>20</f>
        <v>20.0</v>
      </c>
    </row>
    <row r="25">
      <c r="A25" s="27" t="s">
        <v>42</v>
      </c>
      <c r="B25" s="27" t="s">
        <v>112</v>
      </c>
      <c r="C25" s="27" t="s">
        <v>113</v>
      </c>
      <c r="D25" s="27" t="s">
        <v>114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1.0</v>
      </c>
      <c r="K25" s="33" t="n">
        <f>39640</f>
        <v>39640.0</v>
      </c>
      <c r="L25" s="34" t="s">
        <v>48</v>
      </c>
      <c r="M25" s="33" t="n">
        <f>41460</f>
        <v>41460.0</v>
      </c>
      <c r="N25" s="34" t="s">
        <v>73</v>
      </c>
      <c r="O25" s="33" t="n">
        <f>39270</f>
        <v>39270.0</v>
      </c>
      <c r="P25" s="34" t="s">
        <v>61</v>
      </c>
      <c r="Q25" s="33" t="n">
        <f>39620</f>
        <v>39620.0</v>
      </c>
      <c r="R25" s="34" t="s">
        <v>50</v>
      </c>
      <c r="S25" s="35" t="n">
        <f>40135</f>
        <v>40135.0</v>
      </c>
      <c r="T25" s="32" t="n">
        <f>973921</f>
        <v>973921.0</v>
      </c>
      <c r="U25" s="32" t="n">
        <f>415860</f>
        <v>415860.0</v>
      </c>
      <c r="V25" s="32" t="n">
        <f>39120142493</f>
        <v>3.9120142493E10</v>
      </c>
      <c r="W25" s="32" t="n">
        <f>16670981493</f>
        <v>1.6670981493E10</v>
      </c>
      <c r="X25" s="36" t="n">
        <f>20</f>
        <v>20.0</v>
      </c>
    </row>
    <row r="26">
      <c r="A26" s="27" t="s">
        <v>42</v>
      </c>
      <c r="B26" s="27" t="s">
        <v>115</v>
      </c>
      <c r="C26" s="27" t="s">
        <v>116</v>
      </c>
      <c r="D26" s="27" t="s">
        <v>117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10.0</v>
      </c>
      <c r="K26" s="33" t="n">
        <f>2773</f>
        <v>2773.0</v>
      </c>
      <c r="L26" s="34" t="s">
        <v>48</v>
      </c>
      <c r="M26" s="33" t="n">
        <f>2895</f>
        <v>2895.0</v>
      </c>
      <c r="N26" s="34" t="s">
        <v>49</v>
      </c>
      <c r="O26" s="33" t="n">
        <f>2757</f>
        <v>2757.0</v>
      </c>
      <c r="P26" s="34" t="s">
        <v>48</v>
      </c>
      <c r="Q26" s="33" t="n">
        <f>2791</f>
        <v>2791.0</v>
      </c>
      <c r="R26" s="34" t="s">
        <v>50</v>
      </c>
      <c r="S26" s="35" t="n">
        <f>2821.55</f>
        <v>2821.55</v>
      </c>
      <c r="T26" s="32" t="n">
        <f>1969580</f>
        <v>1969580.0</v>
      </c>
      <c r="U26" s="32" t="n">
        <f>405920</f>
        <v>405920.0</v>
      </c>
      <c r="V26" s="32" t="n">
        <f>5558269590</f>
        <v>5.55826959E9</v>
      </c>
      <c r="W26" s="32" t="n">
        <f>1147668935</f>
        <v>1.147668935E9</v>
      </c>
      <c r="X26" s="36" t="n">
        <f>20</f>
        <v>20.0</v>
      </c>
    </row>
    <row r="27">
      <c r="A27" s="27" t="s">
        <v>42</v>
      </c>
      <c r="B27" s="27" t="s">
        <v>118</v>
      </c>
      <c r="C27" s="27" t="s">
        <v>119</v>
      </c>
      <c r="D27" s="27" t="s">
        <v>120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1.0</v>
      </c>
      <c r="K27" s="33" t="n">
        <f>16820</f>
        <v>16820.0</v>
      </c>
      <c r="L27" s="34" t="s">
        <v>121</v>
      </c>
      <c r="M27" s="33" t="n">
        <f>17000</f>
        <v>17000.0</v>
      </c>
      <c r="N27" s="34" t="s">
        <v>108</v>
      </c>
      <c r="O27" s="33" t="n">
        <f>16490</f>
        <v>16490.0</v>
      </c>
      <c r="P27" s="34" t="s">
        <v>50</v>
      </c>
      <c r="Q27" s="33" t="n">
        <f>16625</f>
        <v>16625.0</v>
      </c>
      <c r="R27" s="34" t="s">
        <v>50</v>
      </c>
      <c r="S27" s="35" t="n">
        <f>16829.69</f>
        <v>16829.69</v>
      </c>
      <c r="T27" s="32" t="n">
        <f>622</f>
        <v>622.0</v>
      </c>
      <c r="U27" s="32" t="str">
        <f>"－"</f>
        <v>－</v>
      </c>
      <c r="V27" s="32" t="n">
        <f>10420935</f>
        <v>1.0420935E7</v>
      </c>
      <c r="W27" s="32" t="str">
        <f>"－"</f>
        <v>－</v>
      </c>
      <c r="X27" s="36" t="n">
        <f>16</f>
        <v>16.0</v>
      </c>
    </row>
    <row r="28">
      <c r="A28" s="27" t="s">
        <v>42</v>
      </c>
      <c r="B28" s="27" t="s">
        <v>122</v>
      </c>
      <c r="C28" s="27" t="s">
        <v>123</v>
      </c>
      <c r="D28" s="27" t="s">
        <v>124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10.0</v>
      </c>
      <c r="K28" s="33" t="n">
        <f>343.7</f>
        <v>343.7</v>
      </c>
      <c r="L28" s="34" t="s">
        <v>48</v>
      </c>
      <c r="M28" s="33" t="n">
        <f>346.3</f>
        <v>346.3</v>
      </c>
      <c r="N28" s="34" t="s">
        <v>48</v>
      </c>
      <c r="O28" s="33" t="n">
        <f>313.2</f>
        <v>313.2</v>
      </c>
      <c r="P28" s="34" t="s">
        <v>49</v>
      </c>
      <c r="Q28" s="33" t="n">
        <f>334.8</f>
        <v>334.8</v>
      </c>
      <c r="R28" s="34" t="s">
        <v>50</v>
      </c>
      <c r="S28" s="35" t="n">
        <f>329.5</f>
        <v>329.5</v>
      </c>
      <c r="T28" s="32" t="n">
        <f>43905310</f>
        <v>4.390531E7</v>
      </c>
      <c r="U28" s="32" t="n">
        <f>3250</f>
        <v>3250.0</v>
      </c>
      <c r="V28" s="32" t="n">
        <f>14379248592</f>
        <v>1.4379248592E10</v>
      </c>
      <c r="W28" s="32" t="n">
        <f>1059445</f>
        <v>1059445.0</v>
      </c>
      <c r="X28" s="36" t="n">
        <f>20</f>
        <v>20.0</v>
      </c>
    </row>
    <row r="29">
      <c r="A29" s="27" t="s">
        <v>42</v>
      </c>
      <c r="B29" s="27" t="s">
        <v>125</v>
      </c>
      <c r="C29" s="27" t="s">
        <v>126</v>
      </c>
      <c r="D29" s="27" t="s">
        <v>127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126</f>
        <v>126.0</v>
      </c>
      <c r="L29" s="34" t="s">
        <v>48</v>
      </c>
      <c r="M29" s="33" t="n">
        <f>129</f>
        <v>129.0</v>
      </c>
      <c r="N29" s="34" t="s">
        <v>48</v>
      </c>
      <c r="O29" s="33" t="n">
        <f>115</f>
        <v>115.0</v>
      </c>
      <c r="P29" s="34" t="s">
        <v>73</v>
      </c>
      <c r="Q29" s="33" t="n">
        <f>125</f>
        <v>125.0</v>
      </c>
      <c r="R29" s="34" t="s">
        <v>50</v>
      </c>
      <c r="S29" s="35" t="n">
        <f>122.95</f>
        <v>122.95</v>
      </c>
      <c r="T29" s="32" t="n">
        <f>949691377</f>
        <v>9.49691377E8</v>
      </c>
      <c r="U29" s="32" t="n">
        <f>24985828</f>
        <v>2.4985828E7</v>
      </c>
      <c r="V29" s="32" t="n">
        <f>115297180761</f>
        <v>1.15297180761E11</v>
      </c>
      <c r="W29" s="32" t="n">
        <f>3091190498</f>
        <v>3.091190498E9</v>
      </c>
      <c r="X29" s="36" t="n">
        <f>20</f>
        <v>20.0</v>
      </c>
    </row>
    <row r="30">
      <c r="A30" s="27" t="s">
        <v>42</v>
      </c>
      <c r="B30" s="27" t="s">
        <v>128</v>
      </c>
      <c r="C30" s="27" t="s">
        <v>129</v>
      </c>
      <c r="D30" s="27" t="s">
        <v>130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1.0</v>
      </c>
      <c r="K30" s="33" t="n">
        <f>49010</f>
        <v>49010.0</v>
      </c>
      <c r="L30" s="34" t="s">
        <v>48</v>
      </c>
      <c r="M30" s="33" t="n">
        <f>53140</f>
        <v>53140.0</v>
      </c>
      <c r="N30" s="34" t="s">
        <v>73</v>
      </c>
      <c r="O30" s="33" t="n">
        <f>47560</f>
        <v>47560.0</v>
      </c>
      <c r="P30" s="34" t="s">
        <v>61</v>
      </c>
      <c r="Q30" s="33" t="n">
        <f>48530</f>
        <v>48530.0</v>
      </c>
      <c r="R30" s="34" t="s">
        <v>50</v>
      </c>
      <c r="S30" s="35" t="n">
        <f>49762.5</f>
        <v>49762.5</v>
      </c>
      <c r="T30" s="32" t="n">
        <f>312703</f>
        <v>312703.0</v>
      </c>
      <c r="U30" s="32" t="n">
        <f>1</f>
        <v>1.0</v>
      </c>
      <c r="V30" s="32" t="n">
        <f>15632236330</f>
        <v>1.563223633E10</v>
      </c>
      <c r="W30" s="32" t="n">
        <f>48220</f>
        <v>48220.0</v>
      </c>
      <c r="X30" s="36" t="n">
        <f>20</f>
        <v>20.0</v>
      </c>
    </row>
    <row r="31">
      <c r="A31" s="27" t="s">
        <v>42</v>
      </c>
      <c r="B31" s="27" t="s">
        <v>131</v>
      </c>
      <c r="C31" s="27" t="s">
        <v>132</v>
      </c>
      <c r="D31" s="27" t="s">
        <v>133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10.0</v>
      </c>
      <c r="K31" s="33" t="n">
        <f>310.8</f>
        <v>310.8</v>
      </c>
      <c r="L31" s="34" t="s">
        <v>48</v>
      </c>
      <c r="M31" s="33" t="n">
        <f>314.7</f>
        <v>314.7</v>
      </c>
      <c r="N31" s="34" t="s">
        <v>61</v>
      </c>
      <c r="O31" s="33" t="n">
        <f>282.9</f>
        <v>282.9</v>
      </c>
      <c r="P31" s="34" t="s">
        <v>54</v>
      </c>
      <c r="Q31" s="33" t="n">
        <f>308.1</f>
        <v>308.1</v>
      </c>
      <c r="R31" s="34" t="s">
        <v>50</v>
      </c>
      <c r="S31" s="35" t="n">
        <f>301.59</f>
        <v>301.59</v>
      </c>
      <c r="T31" s="32" t="n">
        <f>901336500</f>
        <v>9.013365E8</v>
      </c>
      <c r="U31" s="32" t="n">
        <f>5085310</f>
        <v>5085310.0</v>
      </c>
      <c r="V31" s="32" t="n">
        <f>271157696474</f>
        <v>2.71157696474E11</v>
      </c>
      <c r="W31" s="32" t="n">
        <f>1526932508</f>
        <v>1.526932508E9</v>
      </c>
      <c r="X31" s="36" t="n">
        <f>20</f>
        <v>20.0</v>
      </c>
    </row>
    <row r="32">
      <c r="A32" s="27" t="s">
        <v>42</v>
      </c>
      <c r="B32" s="27" t="s">
        <v>134</v>
      </c>
      <c r="C32" s="27" t="s">
        <v>135</v>
      </c>
      <c r="D32" s="27" t="s">
        <v>136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1.0</v>
      </c>
      <c r="K32" s="33" t="n">
        <f>24940</f>
        <v>24940.0</v>
      </c>
      <c r="L32" s="34" t="s">
        <v>48</v>
      </c>
      <c r="M32" s="33" t="n">
        <f>26000</f>
        <v>26000.0</v>
      </c>
      <c r="N32" s="34" t="s">
        <v>54</v>
      </c>
      <c r="O32" s="33" t="n">
        <f>24815</f>
        <v>24815.0</v>
      </c>
      <c r="P32" s="34" t="s">
        <v>48</v>
      </c>
      <c r="Q32" s="33" t="n">
        <f>25120</f>
        <v>25120.0</v>
      </c>
      <c r="R32" s="34" t="s">
        <v>50</v>
      </c>
      <c r="S32" s="35" t="n">
        <f>25343.25</f>
        <v>25343.25</v>
      </c>
      <c r="T32" s="32" t="n">
        <f>9509</f>
        <v>9509.0</v>
      </c>
      <c r="U32" s="32" t="str">
        <f>"－"</f>
        <v>－</v>
      </c>
      <c r="V32" s="32" t="n">
        <f>242019240</f>
        <v>2.4201924E8</v>
      </c>
      <c r="W32" s="32" t="str">
        <f>"－"</f>
        <v>－</v>
      </c>
      <c r="X32" s="36" t="n">
        <f>20</f>
        <v>20.0</v>
      </c>
    </row>
    <row r="33">
      <c r="A33" s="27" t="s">
        <v>42</v>
      </c>
      <c r="B33" s="27" t="s">
        <v>137</v>
      </c>
      <c r="C33" s="27" t="s">
        <v>138</v>
      </c>
      <c r="D33" s="27" t="s">
        <v>139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40070</f>
        <v>40070.0</v>
      </c>
      <c r="L33" s="34" t="s">
        <v>48</v>
      </c>
      <c r="M33" s="33" t="n">
        <f>43530</f>
        <v>43530.0</v>
      </c>
      <c r="N33" s="34" t="s">
        <v>73</v>
      </c>
      <c r="O33" s="33" t="n">
        <f>38950</f>
        <v>38950.0</v>
      </c>
      <c r="P33" s="34" t="s">
        <v>61</v>
      </c>
      <c r="Q33" s="33" t="n">
        <f>39690</f>
        <v>39690.0</v>
      </c>
      <c r="R33" s="34" t="s">
        <v>50</v>
      </c>
      <c r="S33" s="35" t="n">
        <f>40748</f>
        <v>40748.0</v>
      </c>
      <c r="T33" s="32" t="n">
        <f>1140339</f>
        <v>1140339.0</v>
      </c>
      <c r="U33" s="32" t="n">
        <f>9983</f>
        <v>9983.0</v>
      </c>
      <c r="V33" s="32" t="n">
        <f>46711950555</f>
        <v>4.6711950555E10</v>
      </c>
      <c r="W33" s="32" t="n">
        <f>409107375</f>
        <v>4.09107375E8</v>
      </c>
      <c r="X33" s="36" t="n">
        <f>20</f>
        <v>20.0</v>
      </c>
    </row>
    <row r="34">
      <c r="A34" s="27" t="s">
        <v>42</v>
      </c>
      <c r="B34" s="27" t="s">
        <v>140</v>
      </c>
      <c r="C34" s="27" t="s">
        <v>141</v>
      </c>
      <c r="D34" s="27" t="s">
        <v>142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318</f>
        <v>318.0</v>
      </c>
      <c r="L34" s="34" t="s">
        <v>48</v>
      </c>
      <c r="M34" s="33" t="n">
        <f>323</f>
        <v>323.0</v>
      </c>
      <c r="N34" s="34" t="s">
        <v>61</v>
      </c>
      <c r="O34" s="33" t="n">
        <f>290</f>
        <v>290.0</v>
      </c>
      <c r="P34" s="34" t="s">
        <v>73</v>
      </c>
      <c r="Q34" s="33" t="n">
        <f>316</f>
        <v>316.0</v>
      </c>
      <c r="R34" s="34" t="s">
        <v>50</v>
      </c>
      <c r="S34" s="35" t="n">
        <f>309.45</f>
        <v>309.45</v>
      </c>
      <c r="T34" s="32" t="n">
        <f>30090292</f>
        <v>3.0090292E7</v>
      </c>
      <c r="U34" s="32" t="n">
        <f>289348</f>
        <v>289348.0</v>
      </c>
      <c r="V34" s="32" t="n">
        <f>9264737955</f>
        <v>9.264737955E9</v>
      </c>
      <c r="W34" s="32" t="n">
        <f>88880799</f>
        <v>8.8880799E7</v>
      </c>
      <c r="X34" s="36" t="n">
        <f>20</f>
        <v>20.0</v>
      </c>
    </row>
    <row r="35">
      <c r="A35" s="27" t="s">
        <v>42</v>
      </c>
      <c r="B35" s="27" t="s">
        <v>143</v>
      </c>
      <c r="C35" s="27" t="s">
        <v>144</v>
      </c>
      <c r="D35" s="27" t="s">
        <v>145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33940</f>
        <v>33940.0</v>
      </c>
      <c r="L35" s="34" t="s">
        <v>48</v>
      </c>
      <c r="M35" s="33" t="n">
        <f>37110</f>
        <v>37110.0</v>
      </c>
      <c r="N35" s="34" t="s">
        <v>49</v>
      </c>
      <c r="O35" s="33" t="n">
        <f>33660</f>
        <v>33660.0</v>
      </c>
      <c r="P35" s="34" t="s">
        <v>48</v>
      </c>
      <c r="Q35" s="33" t="n">
        <f>34540</f>
        <v>34540.0</v>
      </c>
      <c r="R35" s="34" t="s">
        <v>50</v>
      </c>
      <c r="S35" s="35" t="n">
        <f>35256.5</f>
        <v>35256.5</v>
      </c>
      <c r="T35" s="32" t="n">
        <f>125757</f>
        <v>125757.0</v>
      </c>
      <c r="U35" s="32" t="n">
        <f>3924</f>
        <v>3924.0</v>
      </c>
      <c r="V35" s="32" t="n">
        <f>4465507830</f>
        <v>4.46550783E9</v>
      </c>
      <c r="W35" s="32" t="n">
        <f>139216060</f>
        <v>1.3921606E8</v>
      </c>
      <c r="X35" s="36" t="n">
        <f>20</f>
        <v>20.0</v>
      </c>
    </row>
    <row r="36">
      <c r="A36" s="27" t="s">
        <v>42</v>
      </c>
      <c r="B36" s="27" t="s">
        <v>146</v>
      </c>
      <c r="C36" s="27" t="s">
        <v>147</v>
      </c>
      <c r="D36" s="27" t="s">
        <v>148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495</f>
        <v>495.0</v>
      </c>
      <c r="L36" s="34" t="s">
        <v>48</v>
      </c>
      <c r="M36" s="33" t="n">
        <f>500</f>
        <v>500.0</v>
      </c>
      <c r="N36" s="34" t="s">
        <v>48</v>
      </c>
      <c r="O36" s="33" t="n">
        <f>452</f>
        <v>452.0</v>
      </c>
      <c r="P36" s="34" t="s">
        <v>54</v>
      </c>
      <c r="Q36" s="33" t="n">
        <f>482</f>
        <v>482.0</v>
      </c>
      <c r="R36" s="34" t="s">
        <v>50</v>
      </c>
      <c r="S36" s="35" t="n">
        <f>475.35</f>
        <v>475.35</v>
      </c>
      <c r="T36" s="32" t="n">
        <f>2341566</f>
        <v>2341566.0</v>
      </c>
      <c r="U36" s="32" t="n">
        <f>2408</f>
        <v>2408.0</v>
      </c>
      <c r="V36" s="32" t="n">
        <f>1100398044</f>
        <v>1.100398044E9</v>
      </c>
      <c r="W36" s="32" t="n">
        <f>1118064</f>
        <v>1118064.0</v>
      </c>
      <c r="X36" s="36" t="n">
        <f>20</f>
        <v>20.0</v>
      </c>
    </row>
    <row r="37">
      <c r="A37" s="27" t="s">
        <v>42</v>
      </c>
      <c r="B37" s="27" t="s">
        <v>149</v>
      </c>
      <c r="C37" s="27" t="s">
        <v>150</v>
      </c>
      <c r="D37" s="27" t="s">
        <v>151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38720</f>
        <v>38720.0</v>
      </c>
      <c r="L37" s="34" t="s">
        <v>48</v>
      </c>
      <c r="M37" s="33" t="n">
        <f>40280</f>
        <v>40280.0</v>
      </c>
      <c r="N37" s="34" t="s">
        <v>73</v>
      </c>
      <c r="O37" s="33" t="n">
        <f>38150</f>
        <v>38150.0</v>
      </c>
      <c r="P37" s="34" t="s">
        <v>61</v>
      </c>
      <c r="Q37" s="33" t="n">
        <f>38530</f>
        <v>38530.0</v>
      </c>
      <c r="R37" s="34" t="s">
        <v>50</v>
      </c>
      <c r="S37" s="35" t="n">
        <f>39012</f>
        <v>39012.0</v>
      </c>
      <c r="T37" s="32" t="n">
        <f>334454</f>
        <v>334454.0</v>
      </c>
      <c r="U37" s="32" t="n">
        <f>167668</f>
        <v>167668.0</v>
      </c>
      <c r="V37" s="32" t="n">
        <f>13179584599</f>
        <v>1.3179584599E10</v>
      </c>
      <c r="W37" s="32" t="n">
        <f>6662244399</f>
        <v>6.662244399E9</v>
      </c>
      <c r="X37" s="36" t="n">
        <f>20</f>
        <v>20.0</v>
      </c>
    </row>
    <row r="38">
      <c r="A38" s="27" t="s">
        <v>42</v>
      </c>
      <c r="B38" s="27" t="s">
        <v>152</v>
      </c>
      <c r="C38" s="27" t="s">
        <v>153</v>
      </c>
      <c r="D38" s="27" t="s">
        <v>154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1.0</v>
      </c>
      <c r="K38" s="33" t="n">
        <f>38560</f>
        <v>38560.0</v>
      </c>
      <c r="L38" s="34" t="s">
        <v>48</v>
      </c>
      <c r="M38" s="33" t="n">
        <f>40290</f>
        <v>40290.0</v>
      </c>
      <c r="N38" s="34" t="s">
        <v>54</v>
      </c>
      <c r="O38" s="33" t="n">
        <f>38200</f>
        <v>38200.0</v>
      </c>
      <c r="P38" s="34" t="s">
        <v>61</v>
      </c>
      <c r="Q38" s="33" t="n">
        <f>38550</f>
        <v>38550.0</v>
      </c>
      <c r="R38" s="34" t="s">
        <v>50</v>
      </c>
      <c r="S38" s="35" t="n">
        <f>39073</f>
        <v>39073.0</v>
      </c>
      <c r="T38" s="32" t="n">
        <f>122133</f>
        <v>122133.0</v>
      </c>
      <c r="U38" s="32" t="n">
        <f>58588</f>
        <v>58588.0</v>
      </c>
      <c r="V38" s="32" t="n">
        <f>4754392399</f>
        <v>4.754392399E9</v>
      </c>
      <c r="W38" s="32" t="n">
        <f>2272099549</f>
        <v>2.272099549E9</v>
      </c>
      <c r="X38" s="36" t="n">
        <f>20</f>
        <v>20.0</v>
      </c>
    </row>
    <row r="39">
      <c r="A39" s="27" t="s">
        <v>42</v>
      </c>
      <c r="B39" s="27" t="s">
        <v>155</v>
      </c>
      <c r="C39" s="27" t="s">
        <v>156</v>
      </c>
      <c r="D39" s="27" t="s">
        <v>157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10.0</v>
      </c>
      <c r="K39" s="33" t="n">
        <f>1728</f>
        <v>1728.0</v>
      </c>
      <c r="L39" s="34" t="s">
        <v>48</v>
      </c>
      <c r="M39" s="33" t="n">
        <f>1752.5</f>
        <v>1752.5</v>
      </c>
      <c r="N39" s="34" t="s">
        <v>158</v>
      </c>
      <c r="O39" s="33" t="n">
        <f>1699</f>
        <v>1699.0</v>
      </c>
      <c r="P39" s="34" t="s">
        <v>108</v>
      </c>
      <c r="Q39" s="33" t="n">
        <f>1717</f>
        <v>1717.0</v>
      </c>
      <c r="R39" s="34" t="s">
        <v>50</v>
      </c>
      <c r="S39" s="35" t="n">
        <f>1723.48</f>
        <v>1723.48</v>
      </c>
      <c r="T39" s="32" t="n">
        <f>2650340</f>
        <v>2650340.0</v>
      </c>
      <c r="U39" s="32" t="n">
        <f>389200</f>
        <v>389200.0</v>
      </c>
      <c r="V39" s="32" t="n">
        <f>4571527320</f>
        <v>4.57152732E9</v>
      </c>
      <c r="W39" s="32" t="n">
        <f>672656405</f>
        <v>6.72656405E8</v>
      </c>
      <c r="X39" s="36" t="n">
        <f>20</f>
        <v>20.0</v>
      </c>
    </row>
    <row r="40">
      <c r="A40" s="27" t="s">
        <v>42</v>
      </c>
      <c r="B40" s="27" t="s">
        <v>159</v>
      </c>
      <c r="C40" s="27" t="s">
        <v>160</v>
      </c>
      <c r="D40" s="27" t="s">
        <v>161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10.0</v>
      </c>
      <c r="K40" s="33" t="n">
        <f>2186.5</f>
        <v>2186.5</v>
      </c>
      <c r="L40" s="34" t="s">
        <v>48</v>
      </c>
      <c r="M40" s="33" t="n">
        <f>2260</f>
        <v>2260.0</v>
      </c>
      <c r="N40" s="34" t="s">
        <v>54</v>
      </c>
      <c r="O40" s="33" t="n">
        <f>2174</f>
        <v>2174.0</v>
      </c>
      <c r="P40" s="34" t="s">
        <v>162</v>
      </c>
      <c r="Q40" s="33" t="n">
        <f>2184</f>
        <v>2184.0</v>
      </c>
      <c r="R40" s="34" t="s">
        <v>61</v>
      </c>
      <c r="S40" s="35" t="n">
        <f>2206.53</f>
        <v>2206.53</v>
      </c>
      <c r="T40" s="32" t="n">
        <f>15320</f>
        <v>15320.0</v>
      </c>
      <c r="U40" s="32" t="n">
        <f>10</f>
        <v>10.0</v>
      </c>
      <c r="V40" s="32" t="n">
        <f>33916780</f>
        <v>3.391678E7</v>
      </c>
      <c r="W40" s="32" t="n">
        <f>22210</f>
        <v>22210.0</v>
      </c>
      <c r="X40" s="36" t="n">
        <f>17</f>
        <v>17.0</v>
      </c>
    </row>
    <row r="41">
      <c r="A41" s="27" t="s">
        <v>42</v>
      </c>
      <c r="B41" s="27" t="s">
        <v>163</v>
      </c>
      <c r="C41" s="27" t="s">
        <v>164</v>
      </c>
      <c r="D41" s="27" t="s">
        <v>165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1.0</v>
      </c>
      <c r="K41" s="33" t="n">
        <f>2004</f>
        <v>2004.0</v>
      </c>
      <c r="L41" s="34" t="s">
        <v>48</v>
      </c>
      <c r="M41" s="33" t="n">
        <f>2070</f>
        <v>2070.0</v>
      </c>
      <c r="N41" s="34" t="s">
        <v>104</v>
      </c>
      <c r="O41" s="33" t="n">
        <f>1985</f>
        <v>1985.0</v>
      </c>
      <c r="P41" s="34" t="s">
        <v>87</v>
      </c>
      <c r="Q41" s="33" t="n">
        <f>1992</f>
        <v>1992.0</v>
      </c>
      <c r="R41" s="34" t="s">
        <v>50</v>
      </c>
      <c r="S41" s="35" t="n">
        <f>2006.15</f>
        <v>2006.15</v>
      </c>
      <c r="T41" s="32" t="n">
        <f>4229316</f>
        <v>4229316.0</v>
      </c>
      <c r="U41" s="32" t="n">
        <f>4168002</f>
        <v>4168002.0</v>
      </c>
      <c r="V41" s="32" t="n">
        <f>8481377122</f>
        <v>8.481377122E9</v>
      </c>
      <c r="W41" s="32" t="n">
        <f>8358528948</f>
        <v>8.358528948E9</v>
      </c>
      <c r="X41" s="36" t="n">
        <f>20</f>
        <v>20.0</v>
      </c>
    </row>
    <row r="42">
      <c r="A42" s="27" t="s">
        <v>42</v>
      </c>
      <c r="B42" s="27" t="s">
        <v>166</v>
      </c>
      <c r="C42" s="27" t="s">
        <v>167</v>
      </c>
      <c r="D42" s="27" t="s">
        <v>168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2537</f>
        <v>2537.0</v>
      </c>
      <c r="L42" s="34" t="s">
        <v>48</v>
      </c>
      <c r="M42" s="33" t="n">
        <f>2553</f>
        <v>2553.0</v>
      </c>
      <c r="N42" s="34" t="s">
        <v>61</v>
      </c>
      <c r="O42" s="33" t="n">
        <f>2420</f>
        <v>2420.0</v>
      </c>
      <c r="P42" s="34" t="s">
        <v>73</v>
      </c>
      <c r="Q42" s="33" t="n">
        <f>2527</f>
        <v>2527.0</v>
      </c>
      <c r="R42" s="34" t="s">
        <v>50</v>
      </c>
      <c r="S42" s="35" t="n">
        <f>2499.35</f>
        <v>2499.35</v>
      </c>
      <c r="T42" s="32" t="n">
        <f>2323198</f>
        <v>2323198.0</v>
      </c>
      <c r="U42" s="32" t="n">
        <f>441780</f>
        <v>441780.0</v>
      </c>
      <c r="V42" s="32" t="n">
        <f>5808930695</f>
        <v>5.808930695E9</v>
      </c>
      <c r="W42" s="32" t="n">
        <f>1108018356</f>
        <v>1.108018356E9</v>
      </c>
      <c r="X42" s="36" t="n">
        <f>20</f>
        <v>20.0</v>
      </c>
    </row>
    <row r="43">
      <c r="A43" s="27" t="s">
        <v>42</v>
      </c>
      <c r="B43" s="27" t="s">
        <v>169</v>
      </c>
      <c r="C43" s="27" t="s">
        <v>170</v>
      </c>
      <c r="D43" s="27" t="s">
        <v>171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3045</f>
        <v>3045.0</v>
      </c>
      <c r="L43" s="34" t="s">
        <v>48</v>
      </c>
      <c r="M43" s="33" t="n">
        <f>3060</f>
        <v>3060.0</v>
      </c>
      <c r="N43" s="34" t="s">
        <v>48</v>
      </c>
      <c r="O43" s="33" t="n">
        <f>2915</f>
        <v>2915.0</v>
      </c>
      <c r="P43" s="34" t="s">
        <v>54</v>
      </c>
      <c r="Q43" s="33" t="n">
        <f>3005</f>
        <v>3005.0</v>
      </c>
      <c r="R43" s="34" t="s">
        <v>50</v>
      </c>
      <c r="S43" s="35" t="n">
        <f>2986.55</f>
        <v>2986.55</v>
      </c>
      <c r="T43" s="32" t="n">
        <f>419623</f>
        <v>419623.0</v>
      </c>
      <c r="U43" s="32" t="n">
        <f>40</f>
        <v>40.0</v>
      </c>
      <c r="V43" s="32" t="n">
        <f>1256098333</f>
        <v>1.256098333E9</v>
      </c>
      <c r="W43" s="32" t="n">
        <f>120000</f>
        <v>120000.0</v>
      </c>
      <c r="X43" s="36" t="n">
        <f>20</f>
        <v>20.0</v>
      </c>
    </row>
    <row r="44">
      <c r="A44" s="27" t="s">
        <v>42</v>
      </c>
      <c r="B44" s="27" t="s">
        <v>172</v>
      </c>
      <c r="C44" s="27" t="s">
        <v>173</v>
      </c>
      <c r="D44" s="27" t="s">
        <v>174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30750</f>
        <v>30750.0</v>
      </c>
      <c r="L44" s="34" t="s">
        <v>48</v>
      </c>
      <c r="M44" s="33" t="n">
        <f>33440</f>
        <v>33440.0</v>
      </c>
      <c r="N44" s="34" t="s">
        <v>73</v>
      </c>
      <c r="O44" s="33" t="n">
        <f>29920</f>
        <v>29920.0</v>
      </c>
      <c r="P44" s="34" t="s">
        <v>61</v>
      </c>
      <c r="Q44" s="33" t="n">
        <f>30530</f>
        <v>30530.0</v>
      </c>
      <c r="R44" s="34" t="s">
        <v>50</v>
      </c>
      <c r="S44" s="35" t="n">
        <f>31321</f>
        <v>31321.0</v>
      </c>
      <c r="T44" s="32" t="n">
        <f>7662989</f>
        <v>7662989.0</v>
      </c>
      <c r="U44" s="32" t="n">
        <f>49206</f>
        <v>49206.0</v>
      </c>
      <c r="V44" s="32" t="n">
        <f>241529768805</f>
        <v>2.41529768805E11</v>
      </c>
      <c r="W44" s="32" t="n">
        <f>1546915555</f>
        <v>1.546915555E9</v>
      </c>
      <c r="X44" s="36" t="n">
        <f>20</f>
        <v>20.0</v>
      </c>
    </row>
    <row r="45">
      <c r="A45" s="27" t="s">
        <v>42</v>
      </c>
      <c r="B45" s="27" t="s">
        <v>175</v>
      </c>
      <c r="C45" s="27" t="s">
        <v>176</v>
      </c>
      <c r="D45" s="27" t="s">
        <v>177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507</f>
        <v>507.0</v>
      </c>
      <c r="L45" s="34" t="s">
        <v>48</v>
      </c>
      <c r="M45" s="33" t="n">
        <f>517</f>
        <v>517.0</v>
      </c>
      <c r="N45" s="34" t="s">
        <v>61</v>
      </c>
      <c r="O45" s="33" t="n">
        <f>464</f>
        <v>464.0</v>
      </c>
      <c r="P45" s="34" t="s">
        <v>73</v>
      </c>
      <c r="Q45" s="33" t="n">
        <f>506</f>
        <v>506.0</v>
      </c>
      <c r="R45" s="34" t="s">
        <v>50</v>
      </c>
      <c r="S45" s="35" t="n">
        <f>495.3</f>
        <v>495.3</v>
      </c>
      <c r="T45" s="32" t="n">
        <f>291530467</f>
        <v>2.91530467E8</v>
      </c>
      <c r="U45" s="32" t="n">
        <f>1496930</f>
        <v>1496930.0</v>
      </c>
      <c r="V45" s="32" t="n">
        <f>144039420856</f>
        <v>1.44039420856E11</v>
      </c>
      <c r="W45" s="32" t="n">
        <f>738908824</f>
        <v>7.38908824E8</v>
      </c>
      <c r="X45" s="36" t="n">
        <f>20</f>
        <v>20.0</v>
      </c>
    </row>
    <row r="46">
      <c r="A46" s="27" t="s">
        <v>42</v>
      </c>
      <c r="B46" s="27" t="s">
        <v>178</v>
      </c>
      <c r="C46" s="27" t="s">
        <v>179</v>
      </c>
      <c r="D46" s="27" t="s">
        <v>180</v>
      </c>
      <c r="E46" s="28" t="s">
        <v>181</v>
      </c>
      <c r="F46" s="29" t="s">
        <v>182</v>
      </c>
      <c r="G46" s="30" t="s">
        <v>183</v>
      </c>
      <c r="H46" s="31" t="s">
        <v>83</v>
      </c>
      <c r="I46" s="31"/>
      <c r="J46" s="32" t="n">
        <v>1.0</v>
      </c>
      <c r="K46" s="33" t="n">
        <f>29000</f>
        <v>29000.0</v>
      </c>
      <c r="L46" s="34" t="s">
        <v>48</v>
      </c>
      <c r="M46" s="33" t="n">
        <f>29420</f>
        <v>29420.0</v>
      </c>
      <c r="N46" s="34" t="s">
        <v>54</v>
      </c>
      <c r="O46" s="33" t="n">
        <f>29000</f>
        <v>29000.0</v>
      </c>
      <c r="P46" s="34" t="s">
        <v>48</v>
      </c>
      <c r="Q46" s="33" t="n">
        <f>29005</f>
        <v>29005.0</v>
      </c>
      <c r="R46" s="34" t="s">
        <v>54</v>
      </c>
      <c r="S46" s="35" t="n">
        <f>29064</f>
        <v>29064.0</v>
      </c>
      <c r="T46" s="32" t="n">
        <f>1006</f>
        <v>1006.0</v>
      </c>
      <c r="U46" s="32" t="n">
        <f>104</f>
        <v>104.0</v>
      </c>
      <c r="V46" s="32" t="n">
        <f>29277975</f>
        <v>2.9277975E7</v>
      </c>
      <c r="W46" s="32" t="n">
        <f>3021770</f>
        <v>3021770.0</v>
      </c>
      <c r="X46" s="36" t="n">
        <f>5</f>
        <v>5.0</v>
      </c>
    </row>
    <row r="47">
      <c r="A47" s="27" t="s">
        <v>42</v>
      </c>
      <c r="B47" s="27" t="s">
        <v>184</v>
      </c>
      <c r="C47" s="27" t="s">
        <v>185</v>
      </c>
      <c r="D47" s="27" t="s">
        <v>186</v>
      </c>
      <c r="E47" s="28" t="s">
        <v>181</v>
      </c>
      <c r="F47" s="29" t="s">
        <v>182</v>
      </c>
      <c r="G47" s="30" t="s">
        <v>183</v>
      </c>
      <c r="H47" s="31" t="s">
        <v>83</v>
      </c>
      <c r="I47" s="31"/>
      <c r="J47" s="32" t="n">
        <v>1.0</v>
      </c>
      <c r="K47" s="33" t="n">
        <f>2931</f>
        <v>2931.0</v>
      </c>
      <c r="L47" s="34" t="s">
        <v>48</v>
      </c>
      <c r="M47" s="33" t="n">
        <f>2959</f>
        <v>2959.0</v>
      </c>
      <c r="N47" s="34" t="s">
        <v>48</v>
      </c>
      <c r="O47" s="33" t="n">
        <f>2840</f>
        <v>2840.0</v>
      </c>
      <c r="P47" s="34" t="s">
        <v>73</v>
      </c>
      <c r="Q47" s="33" t="n">
        <f>2851</f>
        <v>2851.0</v>
      </c>
      <c r="R47" s="34" t="s">
        <v>54</v>
      </c>
      <c r="S47" s="35" t="n">
        <f>2877.4</f>
        <v>2877.4</v>
      </c>
      <c r="T47" s="32" t="n">
        <f>1055</f>
        <v>1055.0</v>
      </c>
      <c r="U47" s="32" t="str">
        <f>"－"</f>
        <v>－</v>
      </c>
      <c r="V47" s="32" t="n">
        <f>3043136</f>
        <v>3043136.0</v>
      </c>
      <c r="W47" s="32" t="str">
        <f>"－"</f>
        <v>－</v>
      </c>
      <c r="X47" s="36" t="n">
        <f>5</f>
        <v>5.0</v>
      </c>
    </row>
    <row r="48">
      <c r="A48" s="27" t="s">
        <v>42</v>
      </c>
      <c r="B48" s="27" t="s">
        <v>187</v>
      </c>
      <c r="C48" s="27" t="s">
        <v>188</v>
      </c>
      <c r="D48" s="27" t="s">
        <v>189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1.0</v>
      </c>
      <c r="K48" s="33" t="n">
        <f>616</f>
        <v>616.0</v>
      </c>
      <c r="L48" s="34" t="s">
        <v>48</v>
      </c>
      <c r="M48" s="33" t="n">
        <f>624</f>
        <v>624.0</v>
      </c>
      <c r="N48" s="34" t="s">
        <v>54</v>
      </c>
      <c r="O48" s="33" t="n">
        <f>593</f>
        <v>593.0</v>
      </c>
      <c r="P48" s="34" t="s">
        <v>54</v>
      </c>
      <c r="Q48" s="33" t="n">
        <f>611</f>
        <v>611.0</v>
      </c>
      <c r="R48" s="34" t="s">
        <v>50</v>
      </c>
      <c r="S48" s="35" t="n">
        <f>606.75</f>
        <v>606.75</v>
      </c>
      <c r="T48" s="32" t="n">
        <f>30935</f>
        <v>30935.0</v>
      </c>
      <c r="U48" s="32" t="str">
        <f>"－"</f>
        <v>－</v>
      </c>
      <c r="V48" s="32" t="n">
        <f>18795205</f>
        <v>1.8795205E7</v>
      </c>
      <c r="W48" s="32" t="str">
        <f>"－"</f>
        <v>－</v>
      </c>
      <c r="X48" s="36" t="n">
        <f>20</f>
        <v>20.0</v>
      </c>
    </row>
    <row r="49">
      <c r="A49" s="27" t="s">
        <v>42</v>
      </c>
      <c r="B49" s="27" t="s">
        <v>190</v>
      </c>
      <c r="C49" s="27" t="s">
        <v>191</v>
      </c>
      <c r="D49" s="27" t="s">
        <v>192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10.0</v>
      </c>
      <c r="K49" s="33" t="n">
        <f>610</f>
        <v>610.0</v>
      </c>
      <c r="L49" s="34" t="s">
        <v>48</v>
      </c>
      <c r="M49" s="33" t="n">
        <f>616</f>
        <v>616.0</v>
      </c>
      <c r="N49" s="34" t="s">
        <v>48</v>
      </c>
      <c r="O49" s="33" t="n">
        <f>583</f>
        <v>583.0</v>
      </c>
      <c r="P49" s="34" t="s">
        <v>87</v>
      </c>
      <c r="Q49" s="33" t="n">
        <f>598</f>
        <v>598.0</v>
      </c>
      <c r="R49" s="34" t="s">
        <v>50</v>
      </c>
      <c r="S49" s="35" t="n">
        <f>595.93</f>
        <v>595.93</v>
      </c>
      <c r="T49" s="32" t="n">
        <f>86300</f>
        <v>86300.0</v>
      </c>
      <c r="U49" s="32" t="n">
        <f>50</f>
        <v>50.0</v>
      </c>
      <c r="V49" s="32" t="n">
        <f>51544607</f>
        <v>5.1544607E7</v>
      </c>
      <c r="W49" s="32" t="n">
        <f>29975</f>
        <v>29975.0</v>
      </c>
      <c r="X49" s="36" t="n">
        <f>20</f>
        <v>20.0</v>
      </c>
    </row>
    <row r="50">
      <c r="A50" s="27" t="s">
        <v>42</v>
      </c>
      <c r="B50" s="27" t="s">
        <v>193</v>
      </c>
      <c r="C50" s="27" t="s">
        <v>194</v>
      </c>
      <c r="D50" s="27" t="s">
        <v>195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1.0</v>
      </c>
      <c r="K50" s="33" t="n">
        <f>248</f>
        <v>248.0</v>
      </c>
      <c r="L50" s="34" t="s">
        <v>48</v>
      </c>
      <c r="M50" s="33" t="n">
        <f>265</f>
        <v>265.0</v>
      </c>
      <c r="N50" s="34" t="s">
        <v>48</v>
      </c>
      <c r="O50" s="33" t="n">
        <f>232</f>
        <v>232.0</v>
      </c>
      <c r="P50" s="34" t="s">
        <v>73</v>
      </c>
      <c r="Q50" s="33" t="n">
        <f>241</f>
        <v>241.0</v>
      </c>
      <c r="R50" s="34" t="s">
        <v>50</v>
      </c>
      <c r="S50" s="35" t="n">
        <f>240.35</f>
        <v>240.35</v>
      </c>
      <c r="T50" s="32" t="n">
        <f>116224</f>
        <v>116224.0</v>
      </c>
      <c r="U50" s="32" t="str">
        <f>"－"</f>
        <v>－</v>
      </c>
      <c r="V50" s="32" t="n">
        <f>28139213</f>
        <v>2.8139213E7</v>
      </c>
      <c r="W50" s="32" t="str">
        <f>"－"</f>
        <v>－</v>
      </c>
      <c r="X50" s="36" t="n">
        <f>20</f>
        <v>20.0</v>
      </c>
    </row>
    <row r="51">
      <c r="A51" s="27" t="s">
        <v>42</v>
      </c>
      <c r="B51" s="27" t="s">
        <v>196</v>
      </c>
      <c r="C51" s="27" t="s">
        <v>197</v>
      </c>
      <c r="D51" s="27" t="s">
        <v>198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10.0</v>
      </c>
      <c r="K51" s="33" t="n">
        <f>2730.5</f>
        <v>2730.5</v>
      </c>
      <c r="L51" s="34" t="s">
        <v>48</v>
      </c>
      <c r="M51" s="33" t="n">
        <f>2835</f>
        <v>2835.0</v>
      </c>
      <c r="N51" s="34" t="s">
        <v>54</v>
      </c>
      <c r="O51" s="33" t="n">
        <f>2707</f>
        <v>2707.0</v>
      </c>
      <c r="P51" s="34" t="s">
        <v>48</v>
      </c>
      <c r="Q51" s="33" t="n">
        <f>2750</f>
        <v>2750.0</v>
      </c>
      <c r="R51" s="34" t="s">
        <v>50</v>
      </c>
      <c r="S51" s="35" t="n">
        <f>2765.1</f>
        <v>2765.1</v>
      </c>
      <c r="T51" s="32" t="n">
        <f>4438690</f>
        <v>4438690.0</v>
      </c>
      <c r="U51" s="32" t="n">
        <f>4110800</f>
        <v>4110800.0</v>
      </c>
      <c r="V51" s="32" t="n">
        <f>12449249871</f>
        <v>1.2449249871E10</v>
      </c>
      <c r="W51" s="32" t="n">
        <f>11543339606</f>
        <v>1.1543339606E10</v>
      </c>
      <c r="X51" s="36" t="n">
        <f>20</f>
        <v>20.0</v>
      </c>
    </row>
    <row r="52">
      <c r="A52" s="27" t="s">
        <v>42</v>
      </c>
      <c r="B52" s="27" t="s">
        <v>199</v>
      </c>
      <c r="C52" s="27" t="s">
        <v>200</v>
      </c>
      <c r="D52" s="27" t="s">
        <v>201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1.0</v>
      </c>
      <c r="K52" s="33" t="n">
        <f>24660</f>
        <v>24660.0</v>
      </c>
      <c r="L52" s="34" t="s">
        <v>48</v>
      </c>
      <c r="M52" s="33" t="n">
        <f>25710</f>
        <v>25710.0</v>
      </c>
      <c r="N52" s="34" t="s">
        <v>54</v>
      </c>
      <c r="O52" s="33" t="n">
        <f>24580</f>
        <v>24580.0</v>
      </c>
      <c r="P52" s="34" t="s">
        <v>48</v>
      </c>
      <c r="Q52" s="33" t="n">
        <f>24880</f>
        <v>24880.0</v>
      </c>
      <c r="R52" s="34" t="s">
        <v>50</v>
      </c>
      <c r="S52" s="35" t="n">
        <f>25100</f>
        <v>25100.0</v>
      </c>
      <c r="T52" s="32" t="n">
        <f>508514</f>
        <v>508514.0</v>
      </c>
      <c r="U52" s="32" t="n">
        <f>476965</f>
        <v>476965.0</v>
      </c>
      <c r="V52" s="32" t="n">
        <f>12883033261</f>
        <v>1.2883033261E10</v>
      </c>
      <c r="W52" s="32" t="n">
        <f>12091140376</f>
        <v>1.2091140376E10</v>
      </c>
      <c r="X52" s="36" t="n">
        <f>20</f>
        <v>20.0</v>
      </c>
    </row>
    <row r="53">
      <c r="A53" s="27" t="s">
        <v>42</v>
      </c>
      <c r="B53" s="27" t="s">
        <v>202</v>
      </c>
      <c r="C53" s="27" t="s">
        <v>203</v>
      </c>
      <c r="D53" s="27" t="s">
        <v>204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10.0</v>
      </c>
      <c r="K53" s="33" t="n">
        <f>273.9</f>
        <v>273.9</v>
      </c>
      <c r="L53" s="34" t="s">
        <v>48</v>
      </c>
      <c r="M53" s="33" t="n">
        <f>285.9</f>
        <v>285.9</v>
      </c>
      <c r="N53" s="34" t="s">
        <v>49</v>
      </c>
      <c r="O53" s="33" t="n">
        <f>272.2</f>
        <v>272.2</v>
      </c>
      <c r="P53" s="34" t="s">
        <v>48</v>
      </c>
      <c r="Q53" s="33" t="n">
        <f>277</f>
        <v>277.0</v>
      </c>
      <c r="R53" s="34" t="s">
        <v>50</v>
      </c>
      <c r="S53" s="35" t="n">
        <f>278.71</f>
        <v>278.71</v>
      </c>
      <c r="T53" s="32" t="n">
        <f>67786110</f>
        <v>6.778611E7</v>
      </c>
      <c r="U53" s="32" t="n">
        <f>30325590</f>
        <v>3.032559E7</v>
      </c>
      <c r="V53" s="32" t="n">
        <f>18922322975</f>
        <v>1.8922322975E10</v>
      </c>
      <c r="W53" s="32" t="n">
        <f>8527224646</f>
        <v>8.527224646E9</v>
      </c>
      <c r="X53" s="36" t="n">
        <f>20</f>
        <v>20.0</v>
      </c>
    </row>
    <row r="54">
      <c r="A54" s="27" t="s">
        <v>42</v>
      </c>
      <c r="B54" s="27" t="s">
        <v>205</v>
      </c>
      <c r="C54" s="27" t="s">
        <v>206</v>
      </c>
      <c r="D54" s="27" t="s">
        <v>207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1746</f>
        <v>1746.0</v>
      </c>
      <c r="L54" s="34" t="s">
        <v>48</v>
      </c>
      <c r="M54" s="33" t="n">
        <f>1760</f>
        <v>1760.0</v>
      </c>
      <c r="N54" s="34" t="s">
        <v>69</v>
      </c>
      <c r="O54" s="33" t="n">
        <f>1700</f>
        <v>1700.0</v>
      </c>
      <c r="P54" s="34" t="s">
        <v>108</v>
      </c>
      <c r="Q54" s="33" t="n">
        <f>1717</f>
        <v>1717.0</v>
      </c>
      <c r="R54" s="34" t="s">
        <v>50</v>
      </c>
      <c r="S54" s="35" t="n">
        <f>1726.25</f>
        <v>1726.25</v>
      </c>
      <c r="T54" s="32" t="n">
        <f>6302726</f>
        <v>6302726.0</v>
      </c>
      <c r="U54" s="32" t="n">
        <f>1731598</f>
        <v>1731598.0</v>
      </c>
      <c r="V54" s="32" t="n">
        <f>10865183195</f>
        <v>1.0865183195E10</v>
      </c>
      <c r="W54" s="32" t="n">
        <f>2986191841</f>
        <v>2.986191841E9</v>
      </c>
      <c r="X54" s="36" t="n">
        <f>20</f>
        <v>20.0</v>
      </c>
    </row>
    <row r="55">
      <c r="A55" s="27" t="s">
        <v>42</v>
      </c>
      <c r="B55" s="27" t="s">
        <v>208</v>
      </c>
      <c r="C55" s="27" t="s">
        <v>209</v>
      </c>
      <c r="D55" s="27" t="s">
        <v>210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2532</f>
        <v>2532.0</v>
      </c>
      <c r="L55" s="34" t="s">
        <v>48</v>
      </c>
      <c r="M55" s="33" t="n">
        <f>2649</f>
        <v>2649.0</v>
      </c>
      <c r="N55" s="34" t="s">
        <v>104</v>
      </c>
      <c r="O55" s="33" t="n">
        <f>2525</f>
        <v>2525.0</v>
      </c>
      <c r="P55" s="34" t="s">
        <v>121</v>
      </c>
      <c r="Q55" s="33" t="n">
        <f>2556</f>
        <v>2556.0</v>
      </c>
      <c r="R55" s="34" t="s">
        <v>50</v>
      </c>
      <c r="S55" s="35" t="n">
        <f>2571.8</f>
        <v>2571.8</v>
      </c>
      <c r="T55" s="32" t="n">
        <f>20072</f>
        <v>20072.0</v>
      </c>
      <c r="U55" s="32" t="n">
        <f>9854</f>
        <v>9854.0</v>
      </c>
      <c r="V55" s="32" t="n">
        <f>51524649</f>
        <v>5.1524649E7</v>
      </c>
      <c r="W55" s="32" t="n">
        <f>25174065</f>
        <v>2.5174065E7</v>
      </c>
      <c r="X55" s="36" t="n">
        <f>20</f>
        <v>20.0</v>
      </c>
    </row>
    <row r="56">
      <c r="A56" s="27" t="s">
        <v>42</v>
      </c>
      <c r="B56" s="27" t="s">
        <v>211</v>
      </c>
      <c r="C56" s="27" t="s">
        <v>212</v>
      </c>
      <c r="D56" s="27" t="s">
        <v>213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3625</f>
        <v>3625.0</v>
      </c>
      <c r="L56" s="34" t="s">
        <v>48</v>
      </c>
      <c r="M56" s="33" t="n">
        <f>3775</f>
        <v>3775.0</v>
      </c>
      <c r="N56" s="34" t="s">
        <v>49</v>
      </c>
      <c r="O56" s="33" t="n">
        <f>3615</f>
        <v>3615.0</v>
      </c>
      <c r="P56" s="34" t="s">
        <v>48</v>
      </c>
      <c r="Q56" s="33" t="n">
        <f>3670</f>
        <v>3670.0</v>
      </c>
      <c r="R56" s="34" t="s">
        <v>50</v>
      </c>
      <c r="S56" s="35" t="n">
        <f>3703.25</f>
        <v>3703.25</v>
      </c>
      <c r="T56" s="32" t="n">
        <f>1382350</f>
        <v>1382350.0</v>
      </c>
      <c r="U56" s="32" t="n">
        <f>1114580</f>
        <v>1114580.0</v>
      </c>
      <c r="V56" s="32" t="n">
        <f>5130933727</f>
        <v>5.130933727E9</v>
      </c>
      <c r="W56" s="32" t="n">
        <f>4140108862</f>
        <v>4.140108862E9</v>
      </c>
      <c r="X56" s="36" t="n">
        <f>20</f>
        <v>20.0</v>
      </c>
    </row>
    <row r="57">
      <c r="A57" s="27" t="s">
        <v>42</v>
      </c>
      <c r="B57" s="27" t="s">
        <v>214</v>
      </c>
      <c r="C57" s="27" t="s">
        <v>215</v>
      </c>
      <c r="D57" s="27" t="s">
        <v>216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35240</f>
        <v>35240.0</v>
      </c>
      <c r="L57" s="34" t="s">
        <v>48</v>
      </c>
      <c r="M57" s="33" t="n">
        <f>36520</f>
        <v>36520.0</v>
      </c>
      <c r="N57" s="34" t="s">
        <v>54</v>
      </c>
      <c r="O57" s="33" t="n">
        <f>35240</f>
        <v>35240.0</v>
      </c>
      <c r="P57" s="34" t="s">
        <v>48</v>
      </c>
      <c r="Q57" s="33" t="n">
        <f>36520</f>
        <v>36520.0</v>
      </c>
      <c r="R57" s="34" t="s">
        <v>54</v>
      </c>
      <c r="S57" s="35" t="n">
        <f>35880</f>
        <v>35880.0</v>
      </c>
      <c r="T57" s="32" t="n">
        <f>101</f>
        <v>101.0</v>
      </c>
      <c r="U57" s="32" t="str">
        <f>"－"</f>
        <v>－</v>
      </c>
      <c r="V57" s="32" t="n">
        <f>3560520</f>
        <v>3560520.0</v>
      </c>
      <c r="W57" s="32" t="str">
        <f>"－"</f>
        <v>－</v>
      </c>
      <c r="X57" s="36" t="n">
        <f>2</f>
        <v>2.0</v>
      </c>
    </row>
    <row r="58">
      <c r="A58" s="27" t="s">
        <v>42</v>
      </c>
      <c r="B58" s="27" t="s">
        <v>217</v>
      </c>
      <c r="C58" s="27" t="s">
        <v>218</v>
      </c>
      <c r="D58" s="27" t="s">
        <v>219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27320</f>
        <v>27320.0</v>
      </c>
      <c r="L58" s="34" t="s">
        <v>121</v>
      </c>
      <c r="M58" s="33" t="n">
        <f>27705</f>
        <v>27705.0</v>
      </c>
      <c r="N58" s="34" t="s">
        <v>54</v>
      </c>
      <c r="O58" s="33" t="n">
        <f>26200</f>
        <v>26200.0</v>
      </c>
      <c r="P58" s="34" t="s">
        <v>54</v>
      </c>
      <c r="Q58" s="33" t="n">
        <f>27010</f>
        <v>27010.0</v>
      </c>
      <c r="R58" s="34" t="s">
        <v>65</v>
      </c>
      <c r="S58" s="35" t="n">
        <f>27430</f>
        <v>27430.0</v>
      </c>
      <c r="T58" s="32" t="n">
        <f>39</f>
        <v>39.0</v>
      </c>
      <c r="U58" s="32" t="str">
        <f>"－"</f>
        <v>－</v>
      </c>
      <c r="V58" s="32" t="n">
        <f>1053920</f>
        <v>1053920.0</v>
      </c>
      <c r="W58" s="32" t="str">
        <f>"－"</f>
        <v>－</v>
      </c>
      <c r="X58" s="36" t="n">
        <f>4</f>
        <v>4.0</v>
      </c>
    </row>
    <row r="59">
      <c r="A59" s="27" t="s">
        <v>42</v>
      </c>
      <c r="B59" s="27" t="s">
        <v>220</v>
      </c>
      <c r="C59" s="27" t="s">
        <v>221</v>
      </c>
      <c r="D59" s="27" t="s">
        <v>222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2811</f>
        <v>2811.0</v>
      </c>
      <c r="L59" s="34" t="s">
        <v>48</v>
      </c>
      <c r="M59" s="33" t="n">
        <f>2886</f>
        <v>2886.0</v>
      </c>
      <c r="N59" s="34" t="s">
        <v>49</v>
      </c>
      <c r="O59" s="33" t="n">
        <f>2780</f>
        <v>2780.0</v>
      </c>
      <c r="P59" s="34" t="s">
        <v>162</v>
      </c>
      <c r="Q59" s="33" t="n">
        <f>2806</f>
        <v>2806.0</v>
      </c>
      <c r="R59" s="34" t="s">
        <v>50</v>
      </c>
      <c r="S59" s="35" t="n">
        <f>2829.8</f>
        <v>2829.8</v>
      </c>
      <c r="T59" s="32" t="n">
        <f>2112</f>
        <v>2112.0</v>
      </c>
      <c r="U59" s="32" t="n">
        <f>2</f>
        <v>2.0</v>
      </c>
      <c r="V59" s="32" t="n">
        <f>5957637</f>
        <v>5957637.0</v>
      </c>
      <c r="W59" s="32" t="n">
        <f>5694</f>
        <v>5694.0</v>
      </c>
      <c r="X59" s="36" t="n">
        <f>20</f>
        <v>20.0</v>
      </c>
    </row>
    <row r="60">
      <c r="A60" s="27" t="s">
        <v>42</v>
      </c>
      <c r="B60" s="27" t="s">
        <v>223</v>
      </c>
      <c r="C60" s="27" t="s">
        <v>224</v>
      </c>
      <c r="D60" s="27" t="s">
        <v>225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1.0</v>
      </c>
      <c r="K60" s="33" t="n">
        <f>1682</f>
        <v>1682.0</v>
      </c>
      <c r="L60" s="34" t="s">
        <v>48</v>
      </c>
      <c r="M60" s="33" t="n">
        <f>1687</f>
        <v>1687.0</v>
      </c>
      <c r="N60" s="34" t="s">
        <v>50</v>
      </c>
      <c r="O60" s="33" t="n">
        <f>1656</f>
        <v>1656.0</v>
      </c>
      <c r="P60" s="34" t="s">
        <v>108</v>
      </c>
      <c r="Q60" s="33" t="n">
        <f>1687</f>
        <v>1687.0</v>
      </c>
      <c r="R60" s="34" t="s">
        <v>50</v>
      </c>
      <c r="S60" s="35" t="n">
        <f>1671.1</f>
        <v>1671.1</v>
      </c>
      <c r="T60" s="32" t="n">
        <f>8185761</f>
        <v>8185761.0</v>
      </c>
      <c r="U60" s="32" t="n">
        <f>6321491</f>
        <v>6321491.0</v>
      </c>
      <c r="V60" s="32" t="n">
        <f>13650413838</f>
        <v>1.3650413838E10</v>
      </c>
      <c r="W60" s="32" t="n">
        <f>10537153171</f>
        <v>1.0537153171E10</v>
      </c>
      <c r="X60" s="36" t="n">
        <f>20</f>
        <v>20.0</v>
      </c>
    </row>
    <row r="61">
      <c r="A61" s="27" t="s">
        <v>42</v>
      </c>
      <c r="B61" s="27" t="s">
        <v>226</v>
      </c>
      <c r="C61" s="27" t="s">
        <v>227</v>
      </c>
      <c r="D61" s="27" t="s">
        <v>228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1.0</v>
      </c>
      <c r="K61" s="33" t="n">
        <f>2785</f>
        <v>2785.0</v>
      </c>
      <c r="L61" s="34" t="s">
        <v>48</v>
      </c>
      <c r="M61" s="33" t="n">
        <f>2853</f>
        <v>2853.0</v>
      </c>
      <c r="N61" s="34" t="s">
        <v>54</v>
      </c>
      <c r="O61" s="33" t="n">
        <f>2758</f>
        <v>2758.0</v>
      </c>
      <c r="P61" s="34" t="s">
        <v>162</v>
      </c>
      <c r="Q61" s="33" t="n">
        <f>2783</f>
        <v>2783.0</v>
      </c>
      <c r="R61" s="34" t="s">
        <v>50</v>
      </c>
      <c r="S61" s="35" t="n">
        <f>2805.95</f>
        <v>2805.95</v>
      </c>
      <c r="T61" s="32" t="n">
        <f>195596</f>
        <v>195596.0</v>
      </c>
      <c r="U61" s="32" t="str">
        <f>"－"</f>
        <v>－</v>
      </c>
      <c r="V61" s="32" t="n">
        <f>543557793</f>
        <v>5.43557793E8</v>
      </c>
      <c r="W61" s="32" t="str">
        <f>"－"</f>
        <v>－</v>
      </c>
      <c r="X61" s="36" t="n">
        <f>20</f>
        <v>20.0</v>
      </c>
    </row>
    <row r="62">
      <c r="A62" s="27" t="s">
        <v>42</v>
      </c>
      <c r="B62" s="27" t="s">
        <v>229</v>
      </c>
      <c r="C62" s="27" t="s">
        <v>230</v>
      </c>
      <c r="D62" s="27" t="s">
        <v>231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10.0</v>
      </c>
      <c r="K62" s="33" t="n">
        <f>2762.5</f>
        <v>2762.5</v>
      </c>
      <c r="L62" s="34" t="s">
        <v>48</v>
      </c>
      <c r="M62" s="33" t="n">
        <f>2840</f>
        <v>2840.0</v>
      </c>
      <c r="N62" s="34" t="s">
        <v>73</v>
      </c>
      <c r="O62" s="33" t="n">
        <f>2730.5</f>
        <v>2730.5</v>
      </c>
      <c r="P62" s="34" t="s">
        <v>162</v>
      </c>
      <c r="Q62" s="33" t="n">
        <f>2757.5</f>
        <v>2757.5</v>
      </c>
      <c r="R62" s="34" t="s">
        <v>50</v>
      </c>
      <c r="S62" s="35" t="n">
        <f>2784.88</f>
        <v>2784.88</v>
      </c>
      <c r="T62" s="32" t="n">
        <f>15860</f>
        <v>15860.0</v>
      </c>
      <c r="U62" s="32" t="str">
        <f>"－"</f>
        <v>－</v>
      </c>
      <c r="V62" s="32" t="n">
        <f>44169095</f>
        <v>4.4169095E7</v>
      </c>
      <c r="W62" s="32" t="str">
        <f>"－"</f>
        <v>－</v>
      </c>
      <c r="X62" s="36" t="n">
        <f>20</f>
        <v>20.0</v>
      </c>
    </row>
    <row r="63">
      <c r="A63" s="27" t="s">
        <v>42</v>
      </c>
      <c r="B63" s="27" t="s">
        <v>232</v>
      </c>
      <c r="C63" s="27" t="s">
        <v>233</v>
      </c>
      <c r="D63" s="27" t="s">
        <v>234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40280</f>
        <v>40280.0</v>
      </c>
      <c r="L63" s="34" t="s">
        <v>69</v>
      </c>
      <c r="M63" s="33" t="n">
        <f>41300</f>
        <v>41300.0</v>
      </c>
      <c r="N63" s="34" t="s">
        <v>49</v>
      </c>
      <c r="O63" s="33" t="n">
        <f>40280</f>
        <v>40280.0</v>
      </c>
      <c r="P63" s="34" t="s">
        <v>69</v>
      </c>
      <c r="Q63" s="33" t="n">
        <f>40790</f>
        <v>40790.0</v>
      </c>
      <c r="R63" s="34" t="s">
        <v>235</v>
      </c>
      <c r="S63" s="35" t="n">
        <f>40903.33</f>
        <v>40903.33</v>
      </c>
      <c r="T63" s="32" t="n">
        <f>14</f>
        <v>14.0</v>
      </c>
      <c r="U63" s="32" t="str">
        <f>"－"</f>
        <v>－</v>
      </c>
      <c r="V63" s="32" t="n">
        <f>566390</f>
        <v>566390.0</v>
      </c>
      <c r="W63" s="32" t="str">
        <f>"－"</f>
        <v>－</v>
      </c>
      <c r="X63" s="36" t="n">
        <f>3</f>
        <v>3.0</v>
      </c>
    </row>
    <row r="64">
      <c r="A64" s="27" t="s">
        <v>42</v>
      </c>
      <c r="B64" s="27" t="s">
        <v>236</v>
      </c>
      <c r="C64" s="27" t="s">
        <v>237</v>
      </c>
      <c r="D64" s="27" t="s">
        <v>238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1.0</v>
      </c>
      <c r="K64" s="33" t="n">
        <f>23705</f>
        <v>23705.0</v>
      </c>
      <c r="L64" s="34" t="s">
        <v>48</v>
      </c>
      <c r="M64" s="33" t="n">
        <f>24180</f>
        <v>24180.0</v>
      </c>
      <c r="N64" s="34" t="s">
        <v>104</v>
      </c>
      <c r="O64" s="33" t="n">
        <f>23500</f>
        <v>23500.0</v>
      </c>
      <c r="P64" s="34" t="s">
        <v>50</v>
      </c>
      <c r="Q64" s="33" t="n">
        <f>23585</f>
        <v>23585.0</v>
      </c>
      <c r="R64" s="34" t="s">
        <v>50</v>
      </c>
      <c r="S64" s="35" t="n">
        <f>23906.25</f>
        <v>23906.25</v>
      </c>
      <c r="T64" s="32" t="n">
        <f>545280</f>
        <v>545280.0</v>
      </c>
      <c r="U64" s="32" t="n">
        <f>488900</f>
        <v>488900.0</v>
      </c>
      <c r="V64" s="32" t="n">
        <f>13063869827</f>
        <v>1.3063869827E10</v>
      </c>
      <c r="W64" s="32" t="n">
        <f>11721757587</f>
        <v>1.1721757587E10</v>
      </c>
      <c r="X64" s="36" t="n">
        <f>20</f>
        <v>20.0</v>
      </c>
    </row>
    <row r="65">
      <c r="A65" s="27" t="s">
        <v>42</v>
      </c>
      <c r="B65" s="27" t="s">
        <v>239</v>
      </c>
      <c r="C65" s="27" t="s">
        <v>240</v>
      </c>
      <c r="D65" s="27" t="s">
        <v>241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13030</f>
        <v>13030.0</v>
      </c>
      <c r="L65" s="34" t="s">
        <v>48</v>
      </c>
      <c r="M65" s="33" t="n">
        <f>13095</f>
        <v>13095.0</v>
      </c>
      <c r="N65" s="34" t="s">
        <v>121</v>
      </c>
      <c r="O65" s="33" t="n">
        <f>12785</f>
        <v>12785.0</v>
      </c>
      <c r="P65" s="34" t="s">
        <v>108</v>
      </c>
      <c r="Q65" s="33" t="n">
        <f>13055</f>
        <v>13055.0</v>
      </c>
      <c r="R65" s="34" t="s">
        <v>50</v>
      </c>
      <c r="S65" s="35" t="n">
        <f>12939.75</f>
        <v>12939.75</v>
      </c>
      <c r="T65" s="32" t="n">
        <f>592786</f>
        <v>592786.0</v>
      </c>
      <c r="U65" s="32" t="n">
        <f>544905</f>
        <v>544905.0</v>
      </c>
      <c r="V65" s="32" t="n">
        <f>7656342731</f>
        <v>7.656342731E9</v>
      </c>
      <c r="W65" s="32" t="n">
        <f>7038612766</f>
        <v>7.038612766E9</v>
      </c>
      <c r="X65" s="36" t="n">
        <f>20</f>
        <v>20.0</v>
      </c>
    </row>
    <row r="66">
      <c r="A66" s="27" t="s">
        <v>42</v>
      </c>
      <c r="B66" s="27" t="s">
        <v>242</v>
      </c>
      <c r="C66" s="27" t="s">
        <v>243</v>
      </c>
      <c r="D66" s="27" t="s">
        <v>244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1.0</v>
      </c>
      <c r="K66" s="33" t="n">
        <f>1741</f>
        <v>1741.0</v>
      </c>
      <c r="L66" s="34" t="s">
        <v>48</v>
      </c>
      <c r="M66" s="33" t="n">
        <f>1752</f>
        <v>1752.0</v>
      </c>
      <c r="N66" s="34" t="s">
        <v>158</v>
      </c>
      <c r="O66" s="33" t="n">
        <f>1708</f>
        <v>1708.0</v>
      </c>
      <c r="P66" s="34" t="s">
        <v>108</v>
      </c>
      <c r="Q66" s="33" t="n">
        <f>1727</f>
        <v>1727.0</v>
      </c>
      <c r="R66" s="34" t="s">
        <v>50</v>
      </c>
      <c r="S66" s="35" t="n">
        <f>1734.55</f>
        <v>1734.55</v>
      </c>
      <c r="T66" s="32" t="n">
        <f>5782874</f>
        <v>5782874.0</v>
      </c>
      <c r="U66" s="32" t="n">
        <f>4247372</f>
        <v>4247372.0</v>
      </c>
      <c r="V66" s="32" t="n">
        <f>10007910968</f>
        <v>1.0007910968E10</v>
      </c>
      <c r="W66" s="32" t="n">
        <f>7347100681</f>
        <v>7.347100681E9</v>
      </c>
      <c r="X66" s="36" t="n">
        <f>20</f>
        <v>20.0</v>
      </c>
    </row>
    <row r="67">
      <c r="A67" s="27" t="s">
        <v>42</v>
      </c>
      <c r="B67" s="27" t="s">
        <v>245</v>
      </c>
      <c r="C67" s="27" t="s">
        <v>246</v>
      </c>
      <c r="D67" s="27" t="s">
        <v>247</v>
      </c>
      <c r="E67" s="28" t="s">
        <v>46</v>
      </c>
      <c r="F67" s="29" t="s">
        <v>46</v>
      </c>
      <c r="G67" s="30" t="s">
        <v>46</v>
      </c>
      <c r="H67" s="31"/>
      <c r="I67" s="31" t="s">
        <v>47</v>
      </c>
      <c r="J67" s="32" t="n">
        <v>1.0</v>
      </c>
      <c r="K67" s="33" t="n">
        <f>2220</f>
        <v>2220.0</v>
      </c>
      <c r="L67" s="34" t="s">
        <v>48</v>
      </c>
      <c r="M67" s="33" t="n">
        <f>2301</f>
        <v>2301.0</v>
      </c>
      <c r="N67" s="34" t="s">
        <v>73</v>
      </c>
      <c r="O67" s="33" t="n">
        <f>2202</f>
        <v>2202.0</v>
      </c>
      <c r="P67" s="34" t="s">
        <v>61</v>
      </c>
      <c r="Q67" s="33" t="n">
        <f>2224</f>
        <v>2224.0</v>
      </c>
      <c r="R67" s="34" t="s">
        <v>50</v>
      </c>
      <c r="S67" s="35" t="n">
        <f>2251.85</f>
        <v>2251.85</v>
      </c>
      <c r="T67" s="32" t="n">
        <f>10139433</f>
        <v>1.0139433E7</v>
      </c>
      <c r="U67" s="32" t="n">
        <f>1535769</f>
        <v>1535769.0</v>
      </c>
      <c r="V67" s="32" t="n">
        <f>22859171019</f>
        <v>2.2859171019E10</v>
      </c>
      <c r="W67" s="32" t="n">
        <f>3459436337</f>
        <v>3.459436337E9</v>
      </c>
      <c r="X67" s="36" t="n">
        <f>20</f>
        <v>20.0</v>
      </c>
    </row>
    <row r="68">
      <c r="A68" s="27" t="s">
        <v>42</v>
      </c>
      <c r="B68" s="27" t="s">
        <v>248</v>
      </c>
      <c r="C68" s="27" t="s">
        <v>249</v>
      </c>
      <c r="D68" s="27" t="s">
        <v>250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10.0</v>
      </c>
      <c r="K68" s="33" t="str">
        <f>"－"</f>
        <v>－</v>
      </c>
      <c r="L68" s="34"/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5" t="str">
        <f>"－"</f>
        <v>－</v>
      </c>
      <c r="T68" s="32" t="str">
        <f>"－"</f>
        <v>－</v>
      </c>
      <c r="U68" s="32" t="str">
        <f>"－"</f>
        <v>－</v>
      </c>
      <c r="V68" s="32" t="str">
        <f>"－"</f>
        <v>－</v>
      </c>
      <c r="W68" s="32" t="str">
        <f>"－"</f>
        <v>－</v>
      </c>
      <c r="X68" s="36" t="str">
        <f>"－"</f>
        <v>－</v>
      </c>
    </row>
    <row r="69">
      <c r="A69" s="27" t="s">
        <v>42</v>
      </c>
      <c r="B69" s="27" t="s">
        <v>251</v>
      </c>
      <c r="C69" s="27" t="s">
        <v>252</v>
      </c>
      <c r="D69" s="27" t="s">
        <v>253</v>
      </c>
      <c r="E69" s="28" t="s">
        <v>46</v>
      </c>
      <c r="F69" s="29" t="s">
        <v>46</v>
      </c>
      <c r="G69" s="30" t="s">
        <v>46</v>
      </c>
      <c r="H69" s="31"/>
      <c r="I69" s="31" t="s">
        <v>47</v>
      </c>
      <c r="J69" s="32" t="n">
        <v>1.0</v>
      </c>
      <c r="K69" s="33" t="n">
        <f>19205</f>
        <v>19205.0</v>
      </c>
      <c r="L69" s="34" t="s">
        <v>48</v>
      </c>
      <c r="M69" s="33" t="n">
        <f>20000</f>
        <v>20000.0</v>
      </c>
      <c r="N69" s="34" t="s">
        <v>158</v>
      </c>
      <c r="O69" s="33" t="n">
        <f>19100</f>
        <v>19100.0</v>
      </c>
      <c r="P69" s="34" t="s">
        <v>48</v>
      </c>
      <c r="Q69" s="33" t="n">
        <f>19810</f>
        <v>19810.0</v>
      </c>
      <c r="R69" s="34" t="s">
        <v>50</v>
      </c>
      <c r="S69" s="35" t="n">
        <f>19649.75</f>
        <v>19649.75</v>
      </c>
      <c r="T69" s="32" t="n">
        <f>3759</f>
        <v>3759.0</v>
      </c>
      <c r="U69" s="32" t="n">
        <f>4</f>
        <v>4.0</v>
      </c>
      <c r="V69" s="32" t="n">
        <f>74239730</f>
        <v>7.423973E7</v>
      </c>
      <c r="W69" s="32" t="n">
        <f>79110</f>
        <v>79110.0</v>
      </c>
      <c r="X69" s="36" t="n">
        <f>20</f>
        <v>20.0</v>
      </c>
    </row>
    <row r="70">
      <c r="A70" s="27" t="s">
        <v>42</v>
      </c>
      <c r="B70" s="27" t="s">
        <v>254</v>
      </c>
      <c r="C70" s="27" t="s">
        <v>255</v>
      </c>
      <c r="D70" s="27" t="s">
        <v>256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1.0</v>
      </c>
      <c r="K70" s="33" t="n">
        <f>30220</f>
        <v>30220.0</v>
      </c>
      <c r="L70" s="34" t="s">
        <v>48</v>
      </c>
      <c r="M70" s="33" t="n">
        <f>31500</f>
        <v>31500.0</v>
      </c>
      <c r="N70" s="34" t="s">
        <v>257</v>
      </c>
      <c r="O70" s="33" t="n">
        <f>30160</f>
        <v>30160.0</v>
      </c>
      <c r="P70" s="34" t="s">
        <v>48</v>
      </c>
      <c r="Q70" s="33" t="n">
        <f>30900</f>
        <v>30900.0</v>
      </c>
      <c r="R70" s="34" t="s">
        <v>50</v>
      </c>
      <c r="S70" s="35" t="n">
        <f>30926</f>
        <v>30926.0</v>
      </c>
      <c r="T70" s="32" t="n">
        <f>27613</f>
        <v>27613.0</v>
      </c>
      <c r="U70" s="32" t="n">
        <f>2602</f>
        <v>2602.0</v>
      </c>
      <c r="V70" s="32" t="n">
        <f>852481890</f>
        <v>8.5248189E8</v>
      </c>
      <c r="W70" s="32" t="n">
        <f>80699500</f>
        <v>8.06995E7</v>
      </c>
      <c r="X70" s="36" t="n">
        <f>20</f>
        <v>20.0</v>
      </c>
    </row>
    <row r="71">
      <c r="A71" s="27" t="s">
        <v>42</v>
      </c>
      <c r="B71" s="27" t="s">
        <v>258</v>
      </c>
      <c r="C71" s="27" t="s">
        <v>259</v>
      </c>
      <c r="D71" s="27" t="s">
        <v>260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10.0</v>
      </c>
      <c r="K71" s="33" t="n">
        <f>10580</f>
        <v>10580.0</v>
      </c>
      <c r="L71" s="34" t="s">
        <v>48</v>
      </c>
      <c r="M71" s="33" t="n">
        <f>10670</f>
        <v>10670.0</v>
      </c>
      <c r="N71" s="34" t="s">
        <v>48</v>
      </c>
      <c r="O71" s="33" t="n">
        <f>10120</f>
        <v>10120.0</v>
      </c>
      <c r="P71" s="34" t="s">
        <v>50</v>
      </c>
      <c r="Q71" s="33" t="n">
        <f>10165</f>
        <v>10165.0</v>
      </c>
      <c r="R71" s="34" t="s">
        <v>50</v>
      </c>
      <c r="S71" s="35" t="n">
        <f>10346.5</f>
        <v>10346.5</v>
      </c>
      <c r="T71" s="32" t="n">
        <f>7360</f>
        <v>7360.0</v>
      </c>
      <c r="U71" s="32" t="n">
        <f>10</f>
        <v>10.0</v>
      </c>
      <c r="V71" s="32" t="n">
        <f>76093500</f>
        <v>7.60935E7</v>
      </c>
      <c r="W71" s="32" t="n">
        <f>105600</f>
        <v>105600.0</v>
      </c>
      <c r="X71" s="36" t="n">
        <f>20</f>
        <v>20.0</v>
      </c>
    </row>
    <row r="72">
      <c r="A72" s="27" t="s">
        <v>42</v>
      </c>
      <c r="B72" s="27" t="s">
        <v>261</v>
      </c>
      <c r="C72" s="27" t="s">
        <v>262</v>
      </c>
      <c r="D72" s="27" t="s">
        <v>263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1.0</v>
      </c>
      <c r="K72" s="33" t="n">
        <f>1802</f>
        <v>1802.0</v>
      </c>
      <c r="L72" s="34" t="s">
        <v>48</v>
      </c>
      <c r="M72" s="33" t="n">
        <f>1819</f>
        <v>1819.0</v>
      </c>
      <c r="N72" s="34" t="s">
        <v>49</v>
      </c>
      <c r="O72" s="33" t="n">
        <f>1784</f>
        <v>1784.0</v>
      </c>
      <c r="P72" s="34" t="s">
        <v>108</v>
      </c>
      <c r="Q72" s="33" t="n">
        <f>1816</f>
        <v>1816.0</v>
      </c>
      <c r="R72" s="34" t="s">
        <v>50</v>
      </c>
      <c r="S72" s="35" t="n">
        <f>1801.3</f>
        <v>1801.3</v>
      </c>
      <c r="T72" s="32" t="n">
        <f>876195</f>
        <v>876195.0</v>
      </c>
      <c r="U72" s="32" t="n">
        <f>469000</f>
        <v>469000.0</v>
      </c>
      <c r="V72" s="32" t="n">
        <f>1571959120</f>
        <v>1.57195912E9</v>
      </c>
      <c r="W72" s="32" t="n">
        <f>839663200</f>
        <v>8.396632E8</v>
      </c>
      <c r="X72" s="36" t="n">
        <f>20</f>
        <v>20.0</v>
      </c>
    </row>
    <row r="73">
      <c r="A73" s="27" t="s">
        <v>42</v>
      </c>
      <c r="B73" s="27" t="s">
        <v>264</v>
      </c>
      <c r="C73" s="27" t="s">
        <v>265</v>
      </c>
      <c r="D73" s="27" t="s">
        <v>266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1851</f>
        <v>1851.0</v>
      </c>
      <c r="L73" s="34" t="s">
        <v>48</v>
      </c>
      <c r="M73" s="33" t="n">
        <f>1873</f>
        <v>1873.0</v>
      </c>
      <c r="N73" s="34" t="s">
        <v>87</v>
      </c>
      <c r="O73" s="33" t="n">
        <f>1848</f>
        <v>1848.0</v>
      </c>
      <c r="P73" s="34" t="s">
        <v>48</v>
      </c>
      <c r="Q73" s="33" t="n">
        <f>1867</f>
        <v>1867.0</v>
      </c>
      <c r="R73" s="34" t="s">
        <v>50</v>
      </c>
      <c r="S73" s="35" t="n">
        <f>1861</f>
        <v>1861.0</v>
      </c>
      <c r="T73" s="32" t="n">
        <f>213169</f>
        <v>213169.0</v>
      </c>
      <c r="U73" s="32" t="str">
        <f>"－"</f>
        <v>－</v>
      </c>
      <c r="V73" s="32" t="n">
        <f>396457096</f>
        <v>3.96457096E8</v>
      </c>
      <c r="W73" s="32" t="str">
        <f>"－"</f>
        <v>－</v>
      </c>
      <c r="X73" s="36" t="n">
        <f>20</f>
        <v>20.0</v>
      </c>
    </row>
    <row r="74">
      <c r="A74" s="27" t="s">
        <v>42</v>
      </c>
      <c r="B74" s="27" t="s">
        <v>267</v>
      </c>
      <c r="C74" s="27" t="s">
        <v>268</v>
      </c>
      <c r="D74" s="27" t="s">
        <v>269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21170</f>
        <v>21170.0</v>
      </c>
      <c r="L74" s="34" t="s">
        <v>48</v>
      </c>
      <c r="M74" s="33" t="n">
        <f>23000</f>
        <v>23000.0</v>
      </c>
      <c r="N74" s="34" t="s">
        <v>54</v>
      </c>
      <c r="O74" s="33" t="n">
        <f>21080</f>
        <v>21080.0</v>
      </c>
      <c r="P74" s="34" t="s">
        <v>121</v>
      </c>
      <c r="Q74" s="33" t="n">
        <f>21470</f>
        <v>21470.0</v>
      </c>
      <c r="R74" s="34" t="s">
        <v>50</v>
      </c>
      <c r="S74" s="35" t="n">
        <f>21659.5</f>
        <v>21659.5</v>
      </c>
      <c r="T74" s="32" t="n">
        <f>7067</f>
        <v>7067.0</v>
      </c>
      <c r="U74" s="32" t="n">
        <f>1</f>
        <v>1.0</v>
      </c>
      <c r="V74" s="32" t="n">
        <f>153311905</f>
        <v>1.53311905E8</v>
      </c>
      <c r="W74" s="32" t="n">
        <f>21795</f>
        <v>21795.0</v>
      </c>
      <c r="X74" s="36" t="n">
        <f>20</f>
        <v>20.0</v>
      </c>
    </row>
    <row r="75">
      <c r="A75" s="27" t="s">
        <v>42</v>
      </c>
      <c r="B75" s="27" t="s">
        <v>270</v>
      </c>
      <c r="C75" s="27" t="s">
        <v>271</v>
      </c>
      <c r="D75" s="27" t="s">
        <v>272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9297</f>
        <v>9297.0</v>
      </c>
      <c r="L75" s="34" t="s">
        <v>48</v>
      </c>
      <c r="M75" s="33" t="n">
        <f>9335</f>
        <v>9335.0</v>
      </c>
      <c r="N75" s="34" t="s">
        <v>48</v>
      </c>
      <c r="O75" s="33" t="n">
        <f>9125</f>
        <v>9125.0</v>
      </c>
      <c r="P75" s="34" t="s">
        <v>69</v>
      </c>
      <c r="Q75" s="33" t="n">
        <f>9263</f>
        <v>9263.0</v>
      </c>
      <c r="R75" s="34" t="s">
        <v>50</v>
      </c>
      <c r="S75" s="35" t="n">
        <f>9272.7</f>
        <v>9272.7</v>
      </c>
      <c r="T75" s="32" t="n">
        <f>2118</f>
        <v>2118.0</v>
      </c>
      <c r="U75" s="32" t="n">
        <f>28</f>
        <v>28.0</v>
      </c>
      <c r="V75" s="32" t="n">
        <f>19551985</f>
        <v>1.9551985E7</v>
      </c>
      <c r="W75" s="32" t="n">
        <f>258631</f>
        <v>258631.0</v>
      </c>
      <c r="X75" s="36" t="n">
        <f>20</f>
        <v>20.0</v>
      </c>
    </row>
    <row r="76">
      <c r="A76" s="27" t="s">
        <v>42</v>
      </c>
      <c r="B76" s="27" t="s">
        <v>273</v>
      </c>
      <c r="C76" s="27" t="s">
        <v>274</v>
      </c>
      <c r="D76" s="27" t="s">
        <v>275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12645</f>
        <v>12645.0</v>
      </c>
      <c r="L76" s="34" t="s">
        <v>48</v>
      </c>
      <c r="M76" s="33" t="n">
        <f>12760</f>
        <v>12760.0</v>
      </c>
      <c r="N76" s="34" t="s">
        <v>69</v>
      </c>
      <c r="O76" s="33" t="n">
        <f>11985</f>
        <v>11985.0</v>
      </c>
      <c r="P76" s="34" t="s">
        <v>65</v>
      </c>
      <c r="Q76" s="33" t="n">
        <f>12085</f>
        <v>12085.0</v>
      </c>
      <c r="R76" s="34" t="s">
        <v>50</v>
      </c>
      <c r="S76" s="35" t="n">
        <f>12328.5</f>
        <v>12328.5</v>
      </c>
      <c r="T76" s="32" t="n">
        <f>5516536</f>
        <v>5516536.0</v>
      </c>
      <c r="U76" s="32" t="n">
        <f>400684</f>
        <v>400684.0</v>
      </c>
      <c r="V76" s="32" t="n">
        <f>68001398653</f>
        <v>6.8001398653E10</v>
      </c>
      <c r="W76" s="32" t="n">
        <f>4866013833</f>
        <v>4.866013833E9</v>
      </c>
      <c r="X76" s="36" t="n">
        <f>20</f>
        <v>20.0</v>
      </c>
    </row>
    <row r="77">
      <c r="A77" s="27" t="s">
        <v>42</v>
      </c>
      <c r="B77" s="27" t="s">
        <v>276</v>
      </c>
      <c r="C77" s="27" t="s">
        <v>277</v>
      </c>
      <c r="D77" s="27" t="s">
        <v>278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4475</f>
        <v>4475.0</v>
      </c>
      <c r="L77" s="34" t="s">
        <v>48</v>
      </c>
      <c r="M77" s="33" t="n">
        <f>4560</f>
        <v>4560.0</v>
      </c>
      <c r="N77" s="34" t="s">
        <v>54</v>
      </c>
      <c r="O77" s="33" t="n">
        <f>4185</f>
        <v>4185.0</v>
      </c>
      <c r="P77" s="34" t="s">
        <v>50</v>
      </c>
      <c r="Q77" s="33" t="n">
        <f>4215</f>
        <v>4215.0</v>
      </c>
      <c r="R77" s="34" t="s">
        <v>50</v>
      </c>
      <c r="S77" s="35" t="n">
        <f>4395.75</f>
        <v>4395.75</v>
      </c>
      <c r="T77" s="32" t="n">
        <f>446851</f>
        <v>446851.0</v>
      </c>
      <c r="U77" s="32" t="n">
        <f>140</f>
        <v>140.0</v>
      </c>
      <c r="V77" s="32" t="n">
        <f>1956223345</f>
        <v>1.956223345E9</v>
      </c>
      <c r="W77" s="32" t="n">
        <f>623750</f>
        <v>623750.0</v>
      </c>
      <c r="X77" s="36" t="n">
        <f>20</f>
        <v>20.0</v>
      </c>
    </row>
    <row r="78">
      <c r="A78" s="27" t="s">
        <v>42</v>
      </c>
      <c r="B78" s="27" t="s">
        <v>279</v>
      </c>
      <c r="C78" s="27" t="s">
        <v>280</v>
      </c>
      <c r="D78" s="27" t="s">
        <v>281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14650</f>
        <v>14650.0</v>
      </c>
      <c r="L78" s="34" t="s">
        <v>48</v>
      </c>
      <c r="M78" s="33" t="n">
        <f>14805</f>
        <v>14805.0</v>
      </c>
      <c r="N78" s="34" t="s">
        <v>48</v>
      </c>
      <c r="O78" s="33" t="n">
        <f>13315</f>
        <v>13315.0</v>
      </c>
      <c r="P78" s="34" t="s">
        <v>61</v>
      </c>
      <c r="Q78" s="33" t="n">
        <f>13670</f>
        <v>13670.0</v>
      </c>
      <c r="R78" s="34" t="s">
        <v>50</v>
      </c>
      <c r="S78" s="35" t="n">
        <f>14124</f>
        <v>14124.0</v>
      </c>
      <c r="T78" s="32" t="n">
        <f>412209</f>
        <v>412209.0</v>
      </c>
      <c r="U78" s="32" t="n">
        <f>119</f>
        <v>119.0</v>
      </c>
      <c r="V78" s="32" t="n">
        <f>5814809985</f>
        <v>5.814809985E9</v>
      </c>
      <c r="W78" s="32" t="n">
        <f>1670050</f>
        <v>1670050.0</v>
      </c>
      <c r="X78" s="36" t="n">
        <f>20</f>
        <v>20.0</v>
      </c>
    </row>
    <row r="79">
      <c r="A79" s="27" t="s">
        <v>42</v>
      </c>
      <c r="B79" s="27" t="s">
        <v>282</v>
      </c>
      <c r="C79" s="27" t="s">
        <v>283</v>
      </c>
      <c r="D79" s="27" t="s">
        <v>284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50200</f>
        <v>50200.0</v>
      </c>
      <c r="L79" s="34" t="s">
        <v>48</v>
      </c>
      <c r="M79" s="33" t="n">
        <f>50310</f>
        <v>50310.0</v>
      </c>
      <c r="N79" s="34" t="s">
        <v>48</v>
      </c>
      <c r="O79" s="33" t="n">
        <f>42300</f>
        <v>42300.0</v>
      </c>
      <c r="P79" s="34" t="s">
        <v>108</v>
      </c>
      <c r="Q79" s="33" t="n">
        <f>44000</f>
        <v>44000.0</v>
      </c>
      <c r="R79" s="34" t="s">
        <v>50</v>
      </c>
      <c r="S79" s="35" t="n">
        <f>45546.5</f>
        <v>45546.5</v>
      </c>
      <c r="T79" s="32" t="n">
        <f>29731</f>
        <v>29731.0</v>
      </c>
      <c r="U79" s="32" t="n">
        <f>7</f>
        <v>7.0</v>
      </c>
      <c r="V79" s="32" t="n">
        <f>1354561760</f>
        <v>1.35456176E9</v>
      </c>
      <c r="W79" s="32" t="n">
        <f>308900</f>
        <v>308900.0</v>
      </c>
      <c r="X79" s="36" t="n">
        <f>20</f>
        <v>20.0</v>
      </c>
    </row>
    <row r="80">
      <c r="A80" s="27" t="s">
        <v>42</v>
      </c>
      <c r="B80" s="27" t="s">
        <v>285</v>
      </c>
      <c r="C80" s="27" t="s">
        <v>286</v>
      </c>
      <c r="D80" s="27" t="s">
        <v>287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30650</f>
        <v>30650.0</v>
      </c>
      <c r="L80" s="34" t="s">
        <v>48</v>
      </c>
      <c r="M80" s="33" t="n">
        <f>33180</f>
        <v>33180.0</v>
      </c>
      <c r="N80" s="34" t="s">
        <v>108</v>
      </c>
      <c r="O80" s="33" t="n">
        <f>30600</f>
        <v>30600.0</v>
      </c>
      <c r="P80" s="34" t="s">
        <v>48</v>
      </c>
      <c r="Q80" s="33" t="n">
        <f>31620</f>
        <v>31620.0</v>
      </c>
      <c r="R80" s="34" t="s">
        <v>50</v>
      </c>
      <c r="S80" s="35" t="n">
        <f>32242</f>
        <v>32242.0</v>
      </c>
      <c r="T80" s="32" t="n">
        <f>889629</f>
        <v>889629.0</v>
      </c>
      <c r="U80" s="32" t="n">
        <f>24668</f>
        <v>24668.0</v>
      </c>
      <c r="V80" s="32" t="n">
        <f>28661193558</f>
        <v>2.8661193558E10</v>
      </c>
      <c r="W80" s="32" t="n">
        <f>801273538</f>
        <v>8.01273538E8</v>
      </c>
      <c r="X80" s="36" t="n">
        <f>20</f>
        <v>20.0</v>
      </c>
    </row>
    <row r="81">
      <c r="A81" s="27" t="s">
        <v>42</v>
      </c>
      <c r="B81" s="27" t="s">
        <v>288</v>
      </c>
      <c r="C81" s="27" t="s">
        <v>289</v>
      </c>
      <c r="D81" s="27" t="s">
        <v>290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1.0</v>
      </c>
      <c r="K81" s="33" t="n">
        <f>61800</f>
        <v>61800.0</v>
      </c>
      <c r="L81" s="34" t="s">
        <v>48</v>
      </c>
      <c r="M81" s="33" t="n">
        <f>67110</f>
        <v>67110.0</v>
      </c>
      <c r="N81" s="34" t="s">
        <v>257</v>
      </c>
      <c r="O81" s="33" t="n">
        <f>61740</f>
        <v>61740.0</v>
      </c>
      <c r="P81" s="34" t="s">
        <v>48</v>
      </c>
      <c r="Q81" s="33" t="n">
        <f>65550</f>
        <v>65550.0</v>
      </c>
      <c r="R81" s="34" t="s">
        <v>50</v>
      </c>
      <c r="S81" s="35" t="n">
        <f>65509.5</f>
        <v>65509.5</v>
      </c>
      <c r="T81" s="32" t="n">
        <f>117148</f>
        <v>117148.0</v>
      </c>
      <c r="U81" s="32" t="n">
        <f>16002</f>
        <v>16002.0</v>
      </c>
      <c r="V81" s="32" t="n">
        <f>7704614600</f>
        <v>7.7046146E9</v>
      </c>
      <c r="W81" s="32" t="n">
        <f>1048207390</f>
        <v>1.04820739E9</v>
      </c>
      <c r="X81" s="36" t="n">
        <f>20</f>
        <v>20.0</v>
      </c>
    </row>
    <row r="82">
      <c r="A82" s="27" t="s">
        <v>42</v>
      </c>
      <c r="B82" s="27" t="s">
        <v>291</v>
      </c>
      <c r="C82" s="27" t="s">
        <v>292</v>
      </c>
      <c r="D82" s="27" t="s">
        <v>293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10.0</v>
      </c>
      <c r="K82" s="33" t="n">
        <f>9475</f>
        <v>9475.0</v>
      </c>
      <c r="L82" s="34" t="s">
        <v>48</v>
      </c>
      <c r="M82" s="33" t="n">
        <f>10210</f>
        <v>10210.0</v>
      </c>
      <c r="N82" s="34" t="s">
        <v>108</v>
      </c>
      <c r="O82" s="33" t="n">
        <f>9471</f>
        <v>9471.0</v>
      </c>
      <c r="P82" s="34" t="s">
        <v>48</v>
      </c>
      <c r="Q82" s="33" t="n">
        <f>9922</f>
        <v>9922.0</v>
      </c>
      <c r="R82" s="34" t="s">
        <v>50</v>
      </c>
      <c r="S82" s="35" t="n">
        <f>9978.05</f>
        <v>9978.05</v>
      </c>
      <c r="T82" s="32" t="n">
        <f>1558770</f>
        <v>1558770.0</v>
      </c>
      <c r="U82" s="32" t="n">
        <f>667940</f>
        <v>667940.0</v>
      </c>
      <c r="V82" s="32" t="n">
        <f>15494274456</f>
        <v>1.5494274456E10</v>
      </c>
      <c r="W82" s="32" t="n">
        <f>6654469156</f>
        <v>6.654469156E9</v>
      </c>
      <c r="X82" s="36" t="n">
        <f>20</f>
        <v>20.0</v>
      </c>
    </row>
    <row r="83">
      <c r="A83" s="27" t="s">
        <v>42</v>
      </c>
      <c r="B83" s="27" t="s">
        <v>294</v>
      </c>
      <c r="C83" s="27" t="s">
        <v>295</v>
      </c>
      <c r="D83" s="27" t="s">
        <v>296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5790</f>
        <v>5790.0</v>
      </c>
      <c r="L83" s="34" t="s">
        <v>48</v>
      </c>
      <c r="M83" s="33" t="n">
        <f>6146</f>
        <v>6146.0</v>
      </c>
      <c r="N83" s="34" t="s">
        <v>108</v>
      </c>
      <c r="O83" s="33" t="n">
        <f>5778</f>
        <v>5778.0</v>
      </c>
      <c r="P83" s="34" t="s">
        <v>48</v>
      </c>
      <c r="Q83" s="33" t="n">
        <f>5993</f>
        <v>5993.0</v>
      </c>
      <c r="R83" s="34" t="s">
        <v>50</v>
      </c>
      <c r="S83" s="35" t="n">
        <f>6041.1</f>
        <v>6041.1</v>
      </c>
      <c r="T83" s="32" t="n">
        <f>216360</f>
        <v>216360.0</v>
      </c>
      <c r="U83" s="32" t="n">
        <f>59590</f>
        <v>59590.0</v>
      </c>
      <c r="V83" s="32" t="n">
        <f>1302421239</f>
        <v>1.302421239E9</v>
      </c>
      <c r="W83" s="32" t="n">
        <f>358448199</f>
        <v>3.58448199E8</v>
      </c>
      <c r="X83" s="36" t="n">
        <f>20</f>
        <v>20.0</v>
      </c>
    </row>
    <row r="84">
      <c r="A84" s="27" t="s">
        <v>42</v>
      </c>
      <c r="B84" s="27" t="s">
        <v>297</v>
      </c>
      <c r="C84" s="27" t="s">
        <v>298</v>
      </c>
      <c r="D84" s="27" t="s">
        <v>299</v>
      </c>
      <c r="E84" s="28" t="s">
        <v>46</v>
      </c>
      <c r="F84" s="29" t="s">
        <v>46</v>
      </c>
      <c r="G84" s="30" t="s">
        <v>46</v>
      </c>
      <c r="H84" s="31"/>
      <c r="I84" s="31" t="s">
        <v>47</v>
      </c>
      <c r="J84" s="32" t="n">
        <v>10.0</v>
      </c>
      <c r="K84" s="33" t="n">
        <f>4913</f>
        <v>4913.0</v>
      </c>
      <c r="L84" s="34" t="s">
        <v>48</v>
      </c>
      <c r="M84" s="33" t="n">
        <f>5150</f>
        <v>5150.0</v>
      </c>
      <c r="N84" s="34" t="s">
        <v>49</v>
      </c>
      <c r="O84" s="33" t="n">
        <f>4901</f>
        <v>4901.0</v>
      </c>
      <c r="P84" s="34" t="s">
        <v>48</v>
      </c>
      <c r="Q84" s="33" t="n">
        <f>5006</f>
        <v>5006.0</v>
      </c>
      <c r="R84" s="34" t="s">
        <v>50</v>
      </c>
      <c r="S84" s="35" t="n">
        <f>4987.37</f>
        <v>4987.37</v>
      </c>
      <c r="T84" s="32" t="n">
        <f>3770</f>
        <v>3770.0</v>
      </c>
      <c r="U84" s="32" t="n">
        <f>130</f>
        <v>130.0</v>
      </c>
      <c r="V84" s="32" t="n">
        <f>18820990</f>
        <v>1.882099E7</v>
      </c>
      <c r="W84" s="32" t="n">
        <f>650380</f>
        <v>650380.0</v>
      </c>
      <c r="X84" s="36" t="n">
        <f>19</f>
        <v>19.0</v>
      </c>
    </row>
    <row r="85">
      <c r="A85" s="27" t="s">
        <v>42</v>
      </c>
      <c r="B85" s="27" t="s">
        <v>300</v>
      </c>
      <c r="C85" s="27" t="s">
        <v>301</v>
      </c>
      <c r="D85" s="27" t="s">
        <v>302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10.0</v>
      </c>
      <c r="K85" s="33" t="n">
        <f>4790</f>
        <v>4790.0</v>
      </c>
      <c r="L85" s="34" t="s">
        <v>48</v>
      </c>
      <c r="M85" s="33" t="n">
        <f>5054</f>
        <v>5054.0</v>
      </c>
      <c r="N85" s="34" t="s">
        <v>108</v>
      </c>
      <c r="O85" s="33" t="n">
        <f>4778</f>
        <v>4778.0</v>
      </c>
      <c r="P85" s="34" t="s">
        <v>48</v>
      </c>
      <c r="Q85" s="33" t="n">
        <f>4903</f>
        <v>4903.0</v>
      </c>
      <c r="R85" s="34" t="s">
        <v>50</v>
      </c>
      <c r="S85" s="35" t="n">
        <f>4972.75</f>
        <v>4972.75</v>
      </c>
      <c r="T85" s="32" t="n">
        <f>86850</f>
        <v>86850.0</v>
      </c>
      <c r="U85" s="32" t="str">
        <f>"－"</f>
        <v>－</v>
      </c>
      <c r="V85" s="32" t="n">
        <f>430863400</f>
        <v>4.308634E8</v>
      </c>
      <c r="W85" s="32" t="str">
        <f>"－"</f>
        <v>－</v>
      </c>
      <c r="X85" s="36" t="n">
        <f>20</f>
        <v>20.0</v>
      </c>
    </row>
    <row r="86">
      <c r="A86" s="27" t="s">
        <v>42</v>
      </c>
      <c r="B86" s="27" t="s">
        <v>303</v>
      </c>
      <c r="C86" s="27" t="s">
        <v>304</v>
      </c>
      <c r="D86" s="27" t="s">
        <v>305</v>
      </c>
      <c r="E86" s="28" t="s">
        <v>46</v>
      </c>
      <c r="F86" s="29" t="s">
        <v>46</v>
      </c>
      <c r="G86" s="30" t="s">
        <v>46</v>
      </c>
      <c r="H86" s="31"/>
      <c r="I86" s="31" t="s">
        <v>47</v>
      </c>
      <c r="J86" s="32" t="n">
        <v>10.0</v>
      </c>
      <c r="K86" s="33" t="n">
        <f>2369.5</f>
        <v>2369.5</v>
      </c>
      <c r="L86" s="34" t="s">
        <v>48</v>
      </c>
      <c r="M86" s="33" t="n">
        <f>2463</f>
        <v>2463.0</v>
      </c>
      <c r="N86" s="34" t="s">
        <v>158</v>
      </c>
      <c r="O86" s="33" t="n">
        <f>2341</f>
        <v>2341.0</v>
      </c>
      <c r="P86" s="34" t="s">
        <v>73</v>
      </c>
      <c r="Q86" s="33" t="n">
        <f>2386</f>
        <v>2386.0</v>
      </c>
      <c r="R86" s="34" t="s">
        <v>50</v>
      </c>
      <c r="S86" s="35" t="n">
        <f>2400.83</f>
        <v>2400.83</v>
      </c>
      <c r="T86" s="32" t="n">
        <f>46680</f>
        <v>46680.0</v>
      </c>
      <c r="U86" s="32" t="str">
        <f>"－"</f>
        <v>－</v>
      </c>
      <c r="V86" s="32" t="n">
        <f>112404100</f>
        <v>1.124041E8</v>
      </c>
      <c r="W86" s="32" t="str">
        <f>"－"</f>
        <v>－</v>
      </c>
      <c r="X86" s="36" t="n">
        <f>20</f>
        <v>20.0</v>
      </c>
    </row>
    <row r="87">
      <c r="A87" s="27" t="s">
        <v>42</v>
      </c>
      <c r="B87" s="27" t="s">
        <v>306</v>
      </c>
      <c r="C87" s="27" t="s">
        <v>307</v>
      </c>
      <c r="D87" s="27" t="s">
        <v>308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1.0</v>
      </c>
      <c r="K87" s="33" t="n">
        <f>86570</f>
        <v>86570.0</v>
      </c>
      <c r="L87" s="34" t="s">
        <v>48</v>
      </c>
      <c r="M87" s="33" t="n">
        <f>93260</f>
        <v>93260.0</v>
      </c>
      <c r="N87" s="34" t="s">
        <v>108</v>
      </c>
      <c r="O87" s="33" t="n">
        <f>86500</f>
        <v>86500.0</v>
      </c>
      <c r="P87" s="34" t="s">
        <v>48</v>
      </c>
      <c r="Q87" s="33" t="n">
        <f>90080</f>
        <v>90080.0</v>
      </c>
      <c r="R87" s="34" t="s">
        <v>50</v>
      </c>
      <c r="S87" s="35" t="n">
        <f>91114</f>
        <v>91114.0</v>
      </c>
      <c r="T87" s="32" t="n">
        <f>95397</f>
        <v>95397.0</v>
      </c>
      <c r="U87" s="32" t="n">
        <f>220</f>
        <v>220.0</v>
      </c>
      <c r="V87" s="32" t="n">
        <f>8660305646</f>
        <v>8.660305646E9</v>
      </c>
      <c r="W87" s="32" t="n">
        <f>19943726</f>
        <v>1.9943726E7</v>
      </c>
      <c r="X87" s="36" t="n">
        <f>20</f>
        <v>20.0</v>
      </c>
    </row>
    <row r="88">
      <c r="A88" s="27" t="s">
        <v>42</v>
      </c>
      <c r="B88" s="27" t="s">
        <v>309</v>
      </c>
      <c r="C88" s="27" t="s">
        <v>310</v>
      </c>
      <c r="D88" s="27" t="s">
        <v>311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1.0</v>
      </c>
      <c r="K88" s="33" t="n">
        <f>3770</f>
        <v>3770.0</v>
      </c>
      <c r="L88" s="34" t="s">
        <v>48</v>
      </c>
      <c r="M88" s="33" t="n">
        <f>4400</f>
        <v>4400.0</v>
      </c>
      <c r="N88" s="34" t="s">
        <v>54</v>
      </c>
      <c r="O88" s="33" t="n">
        <f>3595</f>
        <v>3595.0</v>
      </c>
      <c r="P88" s="34" t="s">
        <v>104</v>
      </c>
      <c r="Q88" s="33" t="n">
        <f>3695</f>
        <v>3695.0</v>
      </c>
      <c r="R88" s="34" t="s">
        <v>50</v>
      </c>
      <c r="S88" s="35" t="n">
        <f>3812.5</f>
        <v>3812.5</v>
      </c>
      <c r="T88" s="32" t="n">
        <f>86708</f>
        <v>86708.0</v>
      </c>
      <c r="U88" s="32" t="str">
        <f>"－"</f>
        <v>－</v>
      </c>
      <c r="V88" s="32" t="n">
        <f>344846790</f>
        <v>3.4484679E8</v>
      </c>
      <c r="W88" s="32" t="str">
        <f>"－"</f>
        <v>－</v>
      </c>
      <c r="X88" s="36" t="n">
        <f>20</f>
        <v>20.0</v>
      </c>
    </row>
    <row r="89">
      <c r="A89" s="27" t="s">
        <v>42</v>
      </c>
      <c r="B89" s="27" t="s">
        <v>312</v>
      </c>
      <c r="C89" s="27" t="s">
        <v>313</v>
      </c>
      <c r="D89" s="27" t="s">
        <v>314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5370</f>
        <v>5370.0</v>
      </c>
      <c r="L89" s="34" t="s">
        <v>48</v>
      </c>
      <c r="M89" s="33" t="n">
        <f>6840</f>
        <v>6840.0</v>
      </c>
      <c r="N89" s="34" t="s">
        <v>54</v>
      </c>
      <c r="O89" s="33" t="n">
        <f>5130</f>
        <v>5130.0</v>
      </c>
      <c r="P89" s="34" t="s">
        <v>104</v>
      </c>
      <c r="Q89" s="33" t="n">
        <f>5250</f>
        <v>5250.0</v>
      </c>
      <c r="R89" s="34" t="s">
        <v>50</v>
      </c>
      <c r="S89" s="35" t="n">
        <f>5438</f>
        <v>5438.0</v>
      </c>
      <c r="T89" s="32" t="n">
        <f>58200</f>
        <v>58200.0</v>
      </c>
      <c r="U89" s="32" t="str">
        <f>"－"</f>
        <v>－</v>
      </c>
      <c r="V89" s="32" t="n">
        <f>332089820</f>
        <v>3.3208982E8</v>
      </c>
      <c r="W89" s="32" t="str">
        <f>"－"</f>
        <v>－</v>
      </c>
      <c r="X89" s="36" t="n">
        <f>20</f>
        <v>20.0</v>
      </c>
    </row>
    <row r="90">
      <c r="A90" s="27" t="s">
        <v>42</v>
      </c>
      <c r="B90" s="27" t="s">
        <v>315</v>
      </c>
      <c r="C90" s="27" t="s">
        <v>316</v>
      </c>
      <c r="D90" s="27" t="s">
        <v>317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2307</f>
        <v>2307.0</v>
      </c>
      <c r="L90" s="34" t="s">
        <v>48</v>
      </c>
      <c r="M90" s="33" t="n">
        <f>2410</f>
        <v>2410.0</v>
      </c>
      <c r="N90" s="34" t="s">
        <v>49</v>
      </c>
      <c r="O90" s="33" t="n">
        <f>2251</f>
        <v>2251.0</v>
      </c>
      <c r="P90" s="34" t="s">
        <v>162</v>
      </c>
      <c r="Q90" s="33" t="n">
        <f>2359</f>
        <v>2359.0</v>
      </c>
      <c r="R90" s="34" t="s">
        <v>50</v>
      </c>
      <c r="S90" s="35" t="n">
        <f>2312.75</f>
        <v>2312.75</v>
      </c>
      <c r="T90" s="32" t="n">
        <f>597859</f>
        <v>597859.0</v>
      </c>
      <c r="U90" s="32" t="n">
        <f>230</f>
        <v>230.0</v>
      </c>
      <c r="V90" s="32" t="n">
        <f>1388465101</f>
        <v>1.388465101E9</v>
      </c>
      <c r="W90" s="32" t="n">
        <f>525965</f>
        <v>525965.0</v>
      </c>
      <c r="X90" s="36" t="n">
        <f>20</f>
        <v>20.0</v>
      </c>
    </row>
    <row r="91">
      <c r="A91" s="27" t="s">
        <v>42</v>
      </c>
      <c r="B91" s="27" t="s">
        <v>318</v>
      </c>
      <c r="C91" s="27" t="s">
        <v>319</v>
      </c>
      <c r="D91" s="27" t="s">
        <v>320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1.0</v>
      </c>
      <c r="K91" s="33" t="n">
        <f>49600</f>
        <v>49600.0</v>
      </c>
      <c r="L91" s="34" t="s">
        <v>48</v>
      </c>
      <c r="M91" s="33" t="n">
        <f>49990</f>
        <v>49990.0</v>
      </c>
      <c r="N91" s="34" t="s">
        <v>48</v>
      </c>
      <c r="O91" s="33" t="n">
        <f>48020</f>
        <v>48020.0</v>
      </c>
      <c r="P91" s="34" t="s">
        <v>50</v>
      </c>
      <c r="Q91" s="33" t="n">
        <f>48240</f>
        <v>48240.0</v>
      </c>
      <c r="R91" s="34" t="s">
        <v>50</v>
      </c>
      <c r="S91" s="35" t="n">
        <f>49240.5</f>
        <v>49240.5</v>
      </c>
      <c r="T91" s="32" t="n">
        <f>27028</f>
        <v>27028.0</v>
      </c>
      <c r="U91" s="32" t="n">
        <f>10449</f>
        <v>10449.0</v>
      </c>
      <c r="V91" s="32" t="n">
        <f>1330412044</f>
        <v>1.330412044E9</v>
      </c>
      <c r="W91" s="32" t="n">
        <f>511360784</f>
        <v>5.11360784E8</v>
      </c>
      <c r="X91" s="36" t="n">
        <f>20</f>
        <v>20.0</v>
      </c>
    </row>
    <row r="92">
      <c r="A92" s="27" t="s">
        <v>42</v>
      </c>
      <c r="B92" s="27" t="s">
        <v>321</v>
      </c>
      <c r="C92" s="27" t="s">
        <v>322</v>
      </c>
      <c r="D92" s="27" t="s">
        <v>323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10.0</v>
      </c>
      <c r="K92" s="33" t="n">
        <f>439.7</f>
        <v>439.7</v>
      </c>
      <c r="L92" s="34" t="s">
        <v>48</v>
      </c>
      <c r="M92" s="33" t="n">
        <f>480</f>
        <v>480.0</v>
      </c>
      <c r="N92" s="34" t="s">
        <v>54</v>
      </c>
      <c r="O92" s="33" t="n">
        <f>435.1</f>
        <v>435.1</v>
      </c>
      <c r="P92" s="34" t="s">
        <v>48</v>
      </c>
      <c r="Q92" s="33" t="n">
        <f>447</f>
        <v>447.0</v>
      </c>
      <c r="R92" s="34" t="s">
        <v>50</v>
      </c>
      <c r="S92" s="35" t="n">
        <f>455.84</f>
        <v>455.84</v>
      </c>
      <c r="T92" s="32" t="n">
        <f>108840920</f>
        <v>1.0884092E8</v>
      </c>
      <c r="U92" s="32" t="n">
        <f>300</f>
        <v>300.0</v>
      </c>
      <c r="V92" s="32" t="n">
        <f>49747490008</f>
        <v>4.9747490008E10</v>
      </c>
      <c r="W92" s="32" t="n">
        <f>136500</f>
        <v>136500.0</v>
      </c>
      <c r="X92" s="36" t="n">
        <f>20</f>
        <v>20.0</v>
      </c>
    </row>
    <row r="93">
      <c r="A93" s="27" t="s">
        <v>42</v>
      </c>
      <c r="B93" s="27" t="s">
        <v>324</v>
      </c>
      <c r="C93" s="27" t="s">
        <v>325</v>
      </c>
      <c r="D93" s="27" t="s">
        <v>326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10.0</v>
      </c>
      <c r="K93" s="33" t="n">
        <f>1278.5</f>
        <v>1278.5</v>
      </c>
      <c r="L93" s="34" t="s">
        <v>48</v>
      </c>
      <c r="M93" s="33" t="n">
        <f>1284</f>
        <v>1284.0</v>
      </c>
      <c r="N93" s="34" t="s">
        <v>48</v>
      </c>
      <c r="O93" s="33" t="n">
        <f>1222</f>
        <v>1222.0</v>
      </c>
      <c r="P93" s="34" t="s">
        <v>49</v>
      </c>
      <c r="Q93" s="33" t="n">
        <f>1265</f>
        <v>1265.0</v>
      </c>
      <c r="R93" s="34" t="s">
        <v>50</v>
      </c>
      <c r="S93" s="35" t="n">
        <f>1255.25</f>
        <v>1255.25</v>
      </c>
      <c r="T93" s="32" t="n">
        <f>1487650</f>
        <v>1487650.0</v>
      </c>
      <c r="U93" s="32" t="n">
        <f>14210</f>
        <v>14210.0</v>
      </c>
      <c r="V93" s="32" t="n">
        <f>1857964190</f>
        <v>1.85796419E9</v>
      </c>
      <c r="W93" s="32" t="n">
        <f>17847630</f>
        <v>1.784763E7</v>
      </c>
      <c r="X93" s="36" t="n">
        <f>20</f>
        <v>20.0</v>
      </c>
    </row>
    <row r="94">
      <c r="A94" s="27" t="s">
        <v>42</v>
      </c>
      <c r="B94" s="27" t="s">
        <v>327</v>
      </c>
      <c r="C94" s="27" t="s">
        <v>328</v>
      </c>
      <c r="D94" s="27" t="s">
        <v>329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1.0</v>
      </c>
      <c r="K94" s="33" t="n">
        <f>26015</f>
        <v>26015.0</v>
      </c>
      <c r="L94" s="34" t="s">
        <v>48</v>
      </c>
      <c r="M94" s="33" t="n">
        <f>28290</f>
        <v>28290.0</v>
      </c>
      <c r="N94" s="34" t="s">
        <v>73</v>
      </c>
      <c r="O94" s="33" t="n">
        <f>25320</f>
        <v>25320.0</v>
      </c>
      <c r="P94" s="34" t="s">
        <v>61</v>
      </c>
      <c r="Q94" s="33" t="n">
        <f>25815</f>
        <v>25815.0</v>
      </c>
      <c r="R94" s="34" t="s">
        <v>50</v>
      </c>
      <c r="S94" s="35" t="n">
        <f>26491.75</f>
        <v>26491.75</v>
      </c>
      <c r="T94" s="32" t="n">
        <f>104885084</f>
        <v>1.04885084E8</v>
      </c>
      <c r="U94" s="32" t="n">
        <f>409961</f>
        <v>409961.0</v>
      </c>
      <c r="V94" s="32" t="n">
        <f>2794590501935</f>
        <v>2.794590501935E12</v>
      </c>
      <c r="W94" s="32" t="n">
        <f>10794030565</f>
        <v>1.0794030565E10</v>
      </c>
      <c r="X94" s="36" t="n">
        <f>20</f>
        <v>20.0</v>
      </c>
    </row>
    <row r="95">
      <c r="A95" s="27" t="s">
        <v>42</v>
      </c>
      <c r="B95" s="27" t="s">
        <v>330</v>
      </c>
      <c r="C95" s="27" t="s">
        <v>331</v>
      </c>
      <c r="D95" s="27" t="s">
        <v>332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1.0</v>
      </c>
      <c r="K95" s="33" t="n">
        <f>595</f>
        <v>595.0</v>
      </c>
      <c r="L95" s="34" t="s">
        <v>48</v>
      </c>
      <c r="M95" s="33" t="n">
        <f>601</f>
        <v>601.0</v>
      </c>
      <c r="N95" s="34" t="s">
        <v>61</v>
      </c>
      <c r="O95" s="33" t="n">
        <f>569</f>
        <v>569.0</v>
      </c>
      <c r="P95" s="34" t="s">
        <v>73</v>
      </c>
      <c r="Q95" s="33" t="n">
        <f>594</f>
        <v>594.0</v>
      </c>
      <c r="R95" s="34" t="s">
        <v>50</v>
      </c>
      <c r="S95" s="35" t="n">
        <f>587.6</f>
        <v>587.6</v>
      </c>
      <c r="T95" s="32" t="n">
        <f>17778421</f>
        <v>1.7778421E7</v>
      </c>
      <c r="U95" s="32" t="n">
        <f>277142</f>
        <v>277142.0</v>
      </c>
      <c r="V95" s="32" t="n">
        <f>10429446513</f>
        <v>1.0429446513E10</v>
      </c>
      <c r="W95" s="32" t="n">
        <f>161966065</f>
        <v>1.61966065E8</v>
      </c>
      <c r="X95" s="36" t="n">
        <f>20</f>
        <v>20.0</v>
      </c>
    </row>
    <row r="96">
      <c r="A96" s="27" t="s">
        <v>42</v>
      </c>
      <c r="B96" s="27" t="s">
        <v>333</v>
      </c>
      <c r="C96" s="27" t="s">
        <v>334</v>
      </c>
      <c r="D96" s="27" t="s">
        <v>335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10.0</v>
      </c>
      <c r="K96" s="33" t="n">
        <f>5569</f>
        <v>5569.0</v>
      </c>
      <c r="L96" s="34" t="s">
        <v>48</v>
      </c>
      <c r="M96" s="33" t="n">
        <f>6233</f>
        <v>6233.0</v>
      </c>
      <c r="N96" s="34" t="s">
        <v>54</v>
      </c>
      <c r="O96" s="33" t="n">
        <f>4800</f>
        <v>4800.0</v>
      </c>
      <c r="P96" s="34" t="s">
        <v>257</v>
      </c>
      <c r="Q96" s="33" t="n">
        <f>4841</f>
        <v>4841.0</v>
      </c>
      <c r="R96" s="34" t="s">
        <v>50</v>
      </c>
      <c r="S96" s="35" t="n">
        <f>5317.75</f>
        <v>5317.75</v>
      </c>
      <c r="T96" s="32" t="n">
        <f>655340</f>
        <v>655340.0</v>
      </c>
      <c r="U96" s="32" t="str">
        <f>"－"</f>
        <v>－</v>
      </c>
      <c r="V96" s="32" t="n">
        <f>3512222640</f>
        <v>3.51222264E9</v>
      </c>
      <c r="W96" s="32" t="str">
        <f>"－"</f>
        <v>－</v>
      </c>
      <c r="X96" s="36" t="n">
        <f>20</f>
        <v>20.0</v>
      </c>
    </row>
    <row r="97">
      <c r="A97" s="27" t="s">
        <v>42</v>
      </c>
      <c r="B97" s="27" t="s">
        <v>336</v>
      </c>
      <c r="C97" s="27" t="s">
        <v>337</v>
      </c>
      <c r="D97" s="27" t="s">
        <v>338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10.0</v>
      </c>
      <c r="K97" s="33" t="n">
        <f>9943</f>
        <v>9943.0</v>
      </c>
      <c r="L97" s="34" t="s">
        <v>48</v>
      </c>
      <c r="M97" s="33" t="n">
        <f>10895</f>
        <v>10895.0</v>
      </c>
      <c r="N97" s="34" t="s">
        <v>257</v>
      </c>
      <c r="O97" s="33" t="n">
        <f>9501</f>
        <v>9501.0</v>
      </c>
      <c r="P97" s="34" t="s">
        <v>54</v>
      </c>
      <c r="Q97" s="33" t="n">
        <f>10400</f>
        <v>10400.0</v>
      </c>
      <c r="R97" s="34" t="s">
        <v>50</v>
      </c>
      <c r="S97" s="35" t="n">
        <f>10364.85</f>
        <v>10364.85</v>
      </c>
      <c r="T97" s="32" t="n">
        <f>123760</f>
        <v>123760.0</v>
      </c>
      <c r="U97" s="32" t="n">
        <f>110</f>
        <v>110.0</v>
      </c>
      <c r="V97" s="32" t="n">
        <f>1269920880</f>
        <v>1.26992088E9</v>
      </c>
      <c r="W97" s="32" t="n">
        <f>1138800</f>
        <v>1138800.0</v>
      </c>
      <c r="X97" s="36" t="n">
        <f>20</f>
        <v>20.0</v>
      </c>
    </row>
    <row r="98">
      <c r="A98" s="27" t="s">
        <v>42</v>
      </c>
      <c r="B98" s="27" t="s">
        <v>339</v>
      </c>
      <c r="C98" s="27" t="s">
        <v>340</v>
      </c>
      <c r="D98" s="27" t="s">
        <v>341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1.0</v>
      </c>
      <c r="K98" s="33" t="n">
        <f>36580</f>
        <v>36580.0</v>
      </c>
      <c r="L98" s="34" t="s">
        <v>48</v>
      </c>
      <c r="M98" s="33" t="n">
        <f>38390</f>
        <v>38390.0</v>
      </c>
      <c r="N98" s="34" t="s">
        <v>73</v>
      </c>
      <c r="O98" s="33" t="n">
        <f>36450</f>
        <v>36450.0</v>
      </c>
      <c r="P98" s="34" t="s">
        <v>48</v>
      </c>
      <c r="Q98" s="33" t="n">
        <f>37340</f>
        <v>37340.0</v>
      </c>
      <c r="R98" s="34" t="s">
        <v>50</v>
      </c>
      <c r="S98" s="35" t="n">
        <f>37609.5</f>
        <v>37609.5</v>
      </c>
      <c r="T98" s="32" t="n">
        <f>188351</f>
        <v>188351.0</v>
      </c>
      <c r="U98" s="32" t="n">
        <f>139324</f>
        <v>139324.0</v>
      </c>
      <c r="V98" s="32" t="n">
        <f>7100484084</f>
        <v>7.100484084E9</v>
      </c>
      <c r="W98" s="32" t="n">
        <f>5253120064</f>
        <v>5.253120064E9</v>
      </c>
      <c r="X98" s="36" t="n">
        <f>20</f>
        <v>20.0</v>
      </c>
    </row>
    <row r="99">
      <c r="A99" s="27" t="s">
        <v>42</v>
      </c>
      <c r="B99" s="27" t="s">
        <v>342</v>
      </c>
      <c r="C99" s="27" t="s">
        <v>343</v>
      </c>
      <c r="D99" s="27" t="s">
        <v>344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1.0</v>
      </c>
      <c r="K99" s="33" t="n">
        <f>3075</f>
        <v>3075.0</v>
      </c>
      <c r="L99" s="34" t="s">
        <v>48</v>
      </c>
      <c r="M99" s="33" t="n">
        <f>3200</f>
        <v>3200.0</v>
      </c>
      <c r="N99" s="34" t="s">
        <v>73</v>
      </c>
      <c r="O99" s="33" t="n">
        <f>3030</f>
        <v>3030.0</v>
      </c>
      <c r="P99" s="34" t="s">
        <v>61</v>
      </c>
      <c r="Q99" s="33" t="n">
        <f>3055</f>
        <v>3055.0</v>
      </c>
      <c r="R99" s="34" t="s">
        <v>50</v>
      </c>
      <c r="S99" s="35" t="n">
        <f>3107.25</f>
        <v>3107.25</v>
      </c>
      <c r="T99" s="32" t="n">
        <f>63359</f>
        <v>63359.0</v>
      </c>
      <c r="U99" s="32" t="n">
        <f>41</f>
        <v>41.0</v>
      </c>
      <c r="V99" s="32" t="n">
        <f>196372480</f>
        <v>1.9637248E8</v>
      </c>
      <c r="W99" s="32" t="n">
        <f>128970</f>
        <v>128970.0</v>
      </c>
      <c r="X99" s="36" t="n">
        <f>20</f>
        <v>20.0</v>
      </c>
    </row>
    <row r="100">
      <c r="A100" s="27" t="s">
        <v>42</v>
      </c>
      <c r="B100" s="27" t="s">
        <v>345</v>
      </c>
      <c r="C100" s="27" t="s">
        <v>346</v>
      </c>
      <c r="D100" s="27" t="s">
        <v>347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10.0</v>
      </c>
      <c r="K100" s="33" t="n">
        <f>278.1</f>
        <v>278.1</v>
      </c>
      <c r="L100" s="34" t="s">
        <v>48</v>
      </c>
      <c r="M100" s="33" t="n">
        <f>303.9</f>
        <v>303.9</v>
      </c>
      <c r="N100" s="34" t="s">
        <v>73</v>
      </c>
      <c r="O100" s="33" t="n">
        <f>271.7</f>
        <v>271.7</v>
      </c>
      <c r="P100" s="34" t="s">
        <v>61</v>
      </c>
      <c r="Q100" s="33" t="n">
        <f>277.5</f>
        <v>277.5</v>
      </c>
      <c r="R100" s="34" t="s">
        <v>50</v>
      </c>
      <c r="S100" s="35" t="n">
        <f>284.48</f>
        <v>284.48</v>
      </c>
      <c r="T100" s="32" t="n">
        <f>649042800</f>
        <v>6.490428E8</v>
      </c>
      <c r="U100" s="32" t="n">
        <f>10260470</f>
        <v>1.026047E7</v>
      </c>
      <c r="V100" s="32" t="n">
        <f>185177701485</f>
        <v>1.85177701485E11</v>
      </c>
      <c r="W100" s="32" t="n">
        <f>2932346097</f>
        <v>2.932346097E9</v>
      </c>
      <c r="X100" s="36" t="n">
        <f>20</f>
        <v>20.0</v>
      </c>
    </row>
    <row r="101">
      <c r="A101" s="27" t="s">
        <v>42</v>
      </c>
      <c r="B101" s="27" t="s">
        <v>348</v>
      </c>
      <c r="C101" s="27" t="s">
        <v>349</v>
      </c>
      <c r="D101" s="27" t="s">
        <v>350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10.0</v>
      </c>
      <c r="K101" s="33" t="n">
        <f>1581.5</f>
        <v>1581.5</v>
      </c>
      <c r="L101" s="34" t="s">
        <v>48</v>
      </c>
      <c r="M101" s="33" t="n">
        <f>1593.5</f>
        <v>1593.5</v>
      </c>
      <c r="N101" s="34" t="s">
        <v>61</v>
      </c>
      <c r="O101" s="33" t="n">
        <f>1511</f>
        <v>1511.0</v>
      </c>
      <c r="P101" s="34" t="s">
        <v>73</v>
      </c>
      <c r="Q101" s="33" t="n">
        <f>1577</f>
        <v>1577.0</v>
      </c>
      <c r="R101" s="34" t="s">
        <v>50</v>
      </c>
      <c r="S101" s="35" t="n">
        <f>1561.1</f>
        <v>1561.1</v>
      </c>
      <c r="T101" s="32" t="n">
        <f>9447680</f>
        <v>9447680.0</v>
      </c>
      <c r="U101" s="32" t="n">
        <f>808950</f>
        <v>808950.0</v>
      </c>
      <c r="V101" s="32" t="n">
        <f>14687869103</f>
        <v>1.4687869103E10</v>
      </c>
      <c r="W101" s="32" t="n">
        <f>1247365153</f>
        <v>1.247365153E9</v>
      </c>
      <c r="X101" s="36" t="n">
        <f>20</f>
        <v>20.0</v>
      </c>
    </row>
    <row r="102">
      <c r="A102" s="27" t="s">
        <v>42</v>
      </c>
      <c r="B102" s="27" t="s">
        <v>351</v>
      </c>
      <c r="C102" s="27" t="s">
        <v>352</v>
      </c>
      <c r="D102" s="27" t="s">
        <v>353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10.0</v>
      </c>
      <c r="K102" s="33" t="n">
        <f>1865</f>
        <v>1865.0</v>
      </c>
      <c r="L102" s="34" t="s">
        <v>48</v>
      </c>
      <c r="M102" s="33" t="n">
        <f>1895</f>
        <v>1895.0</v>
      </c>
      <c r="N102" s="34" t="s">
        <v>73</v>
      </c>
      <c r="O102" s="33" t="n">
        <f>1815</f>
        <v>1815.0</v>
      </c>
      <c r="P102" s="34" t="s">
        <v>61</v>
      </c>
      <c r="Q102" s="33" t="n">
        <f>1820</f>
        <v>1820.0</v>
      </c>
      <c r="R102" s="34" t="s">
        <v>50</v>
      </c>
      <c r="S102" s="35" t="n">
        <f>1850.38</f>
        <v>1850.38</v>
      </c>
      <c r="T102" s="32" t="n">
        <f>8330</f>
        <v>8330.0</v>
      </c>
      <c r="U102" s="32" t="str">
        <f>"－"</f>
        <v>－</v>
      </c>
      <c r="V102" s="32" t="n">
        <f>15346770</f>
        <v>1.534677E7</v>
      </c>
      <c r="W102" s="32" t="str">
        <f>"－"</f>
        <v>－</v>
      </c>
      <c r="X102" s="36" t="n">
        <f>16</f>
        <v>16.0</v>
      </c>
    </row>
    <row r="103">
      <c r="A103" s="27" t="s">
        <v>42</v>
      </c>
      <c r="B103" s="27" t="s">
        <v>354</v>
      </c>
      <c r="C103" s="27" t="s">
        <v>355</v>
      </c>
      <c r="D103" s="27" t="s">
        <v>356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1.0</v>
      </c>
      <c r="K103" s="33" t="n">
        <f>2176</f>
        <v>2176.0</v>
      </c>
      <c r="L103" s="34" t="s">
        <v>48</v>
      </c>
      <c r="M103" s="33" t="n">
        <f>2202</f>
        <v>2202.0</v>
      </c>
      <c r="N103" s="34" t="s">
        <v>73</v>
      </c>
      <c r="O103" s="33" t="n">
        <f>2115</f>
        <v>2115.0</v>
      </c>
      <c r="P103" s="34" t="s">
        <v>162</v>
      </c>
      <c r="Q103" s="33" t="n">
        <f>2130</f>
        <v>2130.0</v>
      </c>
      <c r="R103" s="34" t="s">
        <v>50</v>
      </c>
      <c r="S103" s="35" t="n">
        <f>2153.45</f>
        <v>2153.45</v>
      </c>
      <c r="T103" s="32" t="n">
        <f>1654</f>
        <v>1654.0</v>
      </c>
      <c r="U103" s="32" t="str">
        <f>"－"</f>
        <v>－</v>
      </c>
      <c r="V103" s="32" t="n">
        <f>3589788</f>
        <v>3589788.0</v>
      </c>
      <c r="W103" s="32" t="str">
        <f>"－"</f>
        <v>－</v>
      </c>
      <c r="X103" s="36" t="n">
        <f>20</f>
        <v>20.0</v>
      </c>
    </row>
    <row r="104">
      <c r="A104" s="27" t="s">
        <v>42</v>
      </c>
      <c r="B104" s="27" t="s">
        <v>357</v>
      </c>
      <c r="C104" s="27" t="s">
        <v>358</v>
      </c>
      <c r="D104" s="27" t="s">
        <v>359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1.0</v>
      </c>
      <c r="K104" s="33" t="n">
        <f>24285</f>
        <v>24285.0</v>
      </c>
      <c r="L104" s="34" t="s">
        <v>48</v>
      </c>
      <c r="M104" s="33" t="n">
        <f>25810</f>
        <v>25810.0</v>
      </c>
      <c r="N104" s="34" t="s">
        <v>108</v>
      </c>
      <c r="O104" s="33" t="n">
        <f>24165</f>
        <v>24165.0</v>
      </c>
      <c r="P104" s="34" t="s">
        <v>48</v>
      </c>
      <c r="Q104" s="33" t="n">
        <f>24430</f>
        <v>24430.0</v>
      </c>
      <c r="R104" s="34" t="s">
        <v>50</v>
      </c>
      <c r="S104" s="35" t="n">
        <f>24653</f>
        <v>24653.0</v>
      </c>
      <c r="T104" s="32" t="n">
        <f>87236</f>
        <v>87236.0</v>
      </c>
      <c r="U104" s="32" t="n">
        <f>43437</f>
        <v>43437.0</v>
      </c>
      <c r="V104" s="32" t="n">
        <f>2152251865</f>
        <v>2.152251865E9</v>
      </c>
      <c r="W104" s="32" t="n">
        <f>1070048020</f>
        <v>1.07004802E9</v>
      </c>
      <c r="X104" s="36" t="n">
        <f>20</f>
        <v>20.0</v>
      </c>
    </row>
    <row r="105">
      <c r="A105" s="27" t="s">
        <v>42</v>
      </c>
      <c r="B105" s="27" t="s">
        <v>360</v>
      </c>
      <c r="C105" s="27" t="s">
        <v>361</v>
      </c>
      <c r="D105" s="27" t="s">
        <v>362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2270</f>
        <v>2270.0</v>
      </c>
      <c r="L105" s="34" t="s">
        <v>48</v>
      </c>
      <c r="M105" s="33" t="n">
        <f>2338</f>
        <v>2338.0</v>
      </c>
      <c r="N105" s="34" t="s">
        <v>49</v>
      </c>
      <c r="O105" s="33" t="n">
        <f>2233</f>
        <v>2233.0</v>
      </c>
      <c r="P105" s="34" t="s">
        <v>48</v>
      </c>
      <c r="Q105" s="33" t="n">
        <f>2263</f>
        <v>2263.0</v>
      </c>
      <c r="R105" s="34" t="s">
        <v>50</v>
      </c>
      <c r="S105" s="35" t="n">
        <f>2279</f>
        <v>2279.0</v>
      </c>
      <c r="T105" s="32" t="n">
        <f>91127</f>
        <v>91127.0</v>
      </c>
      <c r="U105" s="32" t="n">
        <f>7</f>
        <v>7.0</v>
      </c>
      <c r="V105" s="32" t="n">
        <f>208588994</f>
        <v>2.08588994E8</v>
      </c>
      <c r="W105" s="32" t="n">
        <f>15404</f>
        <v>15404.0</v>
      </c>
      <c r="X105" s="36" t="n">
        <f>20</f>
        <v>20.0</v>
      </c>
    </row>
    <row r="106">
      <c r="A106" s="27" t="s">
        <v>42</v>
      </c>
      <c r="B106" s="27" t="s">
        <v>363</v>
      </c>
      <c r="C106" s="27" t="s">
        <v>364</v>
      </c>
      <c r="D106" s="27" t="s">
        <v>365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1.0</v>
      </c>
      <c r="K106" s="33" t="n">
        <f>25570</f>
        <v>25570.0</v>
      </c>
      <c r="L106" s="34" t="s">
        <v>48</v>
      </c>
      <c r="M106" s="33" t="n">
        <f>26155</f>
        <v>26155.0</v>
      </c>
      <c r="N106" s="34" t="s">
        <v>49</v>
      </c>
      <c r="O106" s="33" t="n">
        <f>24995</f>
        <v>24995.0</v>
      </c>
      <c r="P106" s="34" t="s">
        <v>48</v>
      </c>
      <c r="Q106" s="33" t="n">
        <f>25340</f>
        <v>25340.0</v>
      </c>
      <c r="R106" s="34" t="s">
        <v>50</v>
      </c>
      <c r="S106" s="35" t="n">
        <f>25573</f>
        <v>25573.0</v>
      </c>
      <c r="T106" s="32" t="n">
        <f>16536</f>
        <v>16536.0</v>
      </c>
      <c r="U106" s="32" t="n">
        <f>780</f>
        <v>780.0</v>
      </c>
      <c r="V106" s="32" t="n">
        <f>422243263</f>
        <v>4.22243263E8</v>
      </c>
      <c r="W106" s="32" t="n">
        <f>19866288</f>
        <v>1.9866288E7</v>
      </c>
      <c r="X106" s="36" t="n">
        <f>20</f>
        <v>20.0</v>
      </c>
    </row>
    <row r="107">
      <c r="A107" s="27" t="s">
        <v>42</v>
      </c>
      <c r="B107" s="27" t="s">
        <v>366</v>
      </c>
      <c r="C107" s="27" t="s">
        <v>367</v>
      </c>
      <c r="D107" s="27" t="s">
        <v>368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10.0</v>
      </c>
      <c r="K107" s="33" t="n">
        <f>1713</f>
        <v>1713.0</v>
      </c>
      <c r="L107" s="34" t="s">
        <v>48</v>
      </c>
      <c r="M107" s="33" t="n">
        <f>1725.5</f>
        <v>1725.5</v>
      </c>
      <c r="N107" s="34" t="s">
        <v>69</v>
      </c>
      <c r="O107" s="33" t="n">
        <f>1685</f>
        <v>1685.0</v>
      </c>
      <c r="P107" s="34" t="s">
        <v>108</v>
      </c>
      <c r="Q107" s="33" t="n">
        <f>1704.5</f>
        <v>1704.5</v>
      </c>
      <c r="R107" s="34" t="s">
        <v>50</v>
      </c>
      <c r="S107" s="35" t="n">
        <f>1709.83</f>
        <v>1709.83</v>
      </c>
      <c r="T107" s="32" t="n">
        <f>4707770</f>
        <v>4707770.0</v>
      </c>
      <c r="U107" s="32" t="n">
        <f>4040590</f>
        <v>4040590.0</v>
      </c>
      <c r="V107" s="32" t="n">
        <f>8010756321</f>
        <v>8.010756321E9</v>
      </c>
      <c r="W107" s="32" t="n">
        <f>6872057251</f>
        <v>6.872057251E9</v>
      </c>
      <c r="X107" s="36" t="n">
        <f>20</f>
        <v>20.0</v>
      </c>
    </row>
    <row r="108">
      <c r="A108" s="27" t="s">
        <v>42</v>
      </c>
      <c r="B108" s="27" t="s">
        <v>369</v>
      </c>
      <c r="C108" s="27" t="s">
        <v>370</v>
      </c>
      <c r="D108" s="27" t="s">
        <v>371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10.0</v>
      </c>
      <c r="K108" s="33" t="n">
        <f>2257.5</f>
        <v>2257.5</v>
      </c>
      <c r="L108" s="34" t="s">
        <v>372</v>
      </c>
      <c r="M108" s="33" t="n">
        <f>2257.5</f>
        <v>2257.5</v>
      </c>
      <c r="N108" s="34" t="s">
        <v>372</v>
      </c>
      <c r="O108" s="33" t="n">
        <f>2257.5</f>
        <v>2257.5</v>
      </c>
      <c r="P108" s="34" t="s">
        <v>372</v>
      </c>
      <c r="Q108" s="33" t="n">
        <f>2257.5</f>
        <v>2257.5</v>
      </c>
      <c r="R108" s="34" t="s">
        <v>372</v>
      </c>
      <c r="S108" s="35" t="n">
        <f>2257.5</f>
        <v>2257.5</v>
      </c>
      <c r="T108" s="32" t="n">
        <f>10</f>
        <v>10.0</v>
      </c>
      <c r="U108" s="32" t="str">
        <f>"－"</f>
        <v>－</v>
      </c>
      <c r="V108" s="32" t="n">
        <f>22575</f>
        <v>22575.0</v>
      </c>
      <c r="W108" s="32" t="str">
        <f>"－"</f>
        <v>－</v>
      </c>
      <c r="X108" s="36" t="n">
        <f>1</f>
        <v>1.0</v>
      </c>
    </row>
    <row r="109">
      <c r="A109" s="27" t="s">
        <v>42</v>
      </c>
      <c r="B109" s="27" t="s">
        <v>373</v>
      </c>
      <c r="C109" s="27" t="s">
        <v>374</v>
      </c>
      <c r="D109" s="27" t="s">
        <v>375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10.0</v>
      </c>
      <c r="K109" s="33" t="n">
        <f>1732</f>
        <v>1732.0</v>
      </c>
      <c r="L109" s="34" t="s">
        <v>48</v>
      </c>
      <c r="M109" s="33" t="n">
        <f>1743</f>
        <v>1743.0</v>
      </c>
      <c r="N109" s="34" t="s">
        <v>158</v>
      </c>
      <c r="O109" s="33" t="n">
        <f>1701</f>
        <v>1701.0</v>
      </c>
      <c r="P109" s="34" t="s">
        <v>108</v>
      </c>
      <c r="Q109" s="33" t="n">
        <f>1719.5</f>
        <v>1719.5</v>
      </c>
      <c r="R109" s="34" t="s">
        <v>50</v>
      </c>
      <c r="S109" s="35" t="n">
        <f>1727.1</f>
        <v>1727.1</v>
      </c>
      <c r="T109" s="32" t="n">
        <f>2209320</f>
        <v>2209320.0</v>
      </c>
      <c r="U109" s="32" t="n">
        <f>938990</f>
        <v>938990.0</v>
      </c>
      <c r="V109" s="32" t="n">
        <f>3814308615</f>
        <v>3.814308615E9</v>
      </c>
      <c r="W109" s="32" t="n">
        <f>1622657710</f>
        <v>1.62265771E9</v>
      </c>
      <c r="X109" s="36" t="n">
        <f>20</f>
        <v>20.0</v>
      </c>
    </row>
    <row r="110">
      <c r="A110" s="27" t="s">
        <v>42</v>
      </c>
      <c r="B110" s="27" t="s">
        <v>376</v>
      </c>
      <c r="C110" s="27" t="s">
        <v>377</v>
      </c>
      <c r="D110" s="27" t="s">
        <v>378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1.0</v>
      </c>
      <c r="K110" s="33" t="n">
        <f>25000</f>
        <v>25000.0</v>
      </c>
      <c r="L110" s="34" t="s">
        <v>48</v>
      </c>
      <c r="M110" s="33" t="n">
        <f>25855</f>
        <v>25855.0</v>
      </c>
      <c r="N110" s="34" t="s">
        <v>49</v>
      </c>
      <c r="O110" s="33" t="n">
        <f>24785</f>
        <v>24785.0</v>
      </c>
      <c r="P110" s="34" t="s">
        <v>162</v>
      </c>
      <c r="Q110" s="33" t="n">
        <f>24955</f>
        <v>24955.0</v>
      </c>
      <c r="R110" s="34" t="s">
        <v>50</v>
      </c>
      <c r="S110" s="35" t="n">
        <f>25272.81</f>
        <v>25272.81</v>
      </c>
      <c r="T110" s="32" t="n">
        <f>1358</f>
        <v>1358.0</v>
      </c>
      <c r="U110" s="32" t="str">
        <f>"－"</f>
        <v>－</v>
      </c>
      <c r="V110" s="32" t="n">
        <f>34239650</f>
        <v>3.423965E7</v>
      </c>
      <c r="W110" s="32" t="str">
        <f>"－"</f>
        <v>－</v>
      </c>
      <c r="X110" s="36" t="n">
        <f>16</f>
        <v>16.0</v>
      </c>
    </row>
    <row r="111">
      <c r="A111" s="27" t="s">
        <v>42</v>
      </c>
      <c r="B111" s="27" t="s">
        <v>379</v>
      </c>
      <c r="C111" s="27" t="s">
        <v>380</v>
      </c>
      <c r="D111" s="27" t="s">
        <v>381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10.0</v>
      </c>
      <c r="K111" s="33" t="n">
        <f>511.8</f>
        <v>511.8</v>
      </c>
      <c r="L111" s="34" t="s">
        <v>48</v>
      </c>
      <c r="M111" s="33" t="n">
        <f>532.3</f>
        <v>532.3</v>
      </c>
      <c r="N111" s="34" t="s">
        <v>49</v>
      </c>
      <c r="O111" s="33" t="n">
        <f>503.7</f>
        <v>503.7</v>
      </c>
      <c r="P111" s="34" t="s">
        <v>65</v>
      </c>
      <c r="Q111" s="33" t="n">
        <f>510.7</f>
        <v>510.7</v>
      </c>
      <c r="R111" s="34" t="s">
        <v>50</v>
      </c>
      <c r="S111" s="35" t="n">
        <f>517.24</f>
        <v>517.24</v>
      </c>
      <c r="T111" s="32" t="n">
        <f>1310240</f>
        <v>1310240.0</v>
      </c>
      <c r="U111" s="32" t="n">
        <f>380000</f>
        <v>380000.0</v>
      </c>
      <c r="V111" s="32" t="n">
        <f>679112658</f>
        <v>6.79112658E8</v>
      </c>
      <c r="W111" s="32" t="n">
        <f>198170000</f>
        <v>1.9817E8</v>
      </c>
      <c r="X111" s="36" t="n">
        <f>20</f>
        <v>20.0</v>
      </c>
    </row>
    <row r="112">
      <c r="A112" s="27" t="s">
        <v>42</v>
      </c>
      <c r="B112" s="27" t="s">
        <v>382</v>
      </c>
      <c r="C112" s="27" t="s">
        <v>383</v>
      </c>
      <c r="D112" s="27" t="s">
        <v>384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100.0</v>
      </c>
      <c r="K112" s="33" t="n">
        <f>332.5</f>
        <v>332.5</v>
      </c>
      <c r="L112" s="34" t="s">
        <v>48</v>
      </c>
      <c r="M112" s="33" t="n">
        <f>383.7</f>
        <v>383.7</v>
      </c>
      <c r="N112" s="34" t="s">
        <v>158</v>
      </c>
      <c r="O112" s="33" t="n">
        <f>332.1</f>
        <v>332.1</v>
      </c>
      <c r="P112" s="34" t="s">
        <v>48</v>
      </c>
      <c r="Q112" s="33" t="n">
        <f>375.6</f>
        <v>375.6</v>
      </c>
      <c r="R112" s="34" t="s">
        <v>50</v>
      </c>
      <c r="S112" s="35" t="n">
        <f>366.58</f>
        <v>366.58</v>
      </c>
      <c r="T112" s="32" t="n">
        <f>152278600</f>
        <v>1.522786E8</v>
      </c>
      <c r="U112" s="32" t="n">
        <f>61705200</f>
        <v>6.17052E7</v>
      </c>
      <c r="V112" s="32" t="n">
        <f>56288174305</f>
        <v>5.6288174305E10</v>
      </c>
      <c r="W112" s="32" t="n">
        <f>22902287125</f>
        <v>2.2902287125E10</v>
      </c>
      <c r="X112" s="36" t="n">
        <f>20</f>
        <v>20.0</v>
      </c>
    </row>
    <row r="113">
      <c r="A113" s="27" t="s">
        <v>42</v>
      </c>
      <c r="B113" s="27" t="s">
        <v>385</v>
      </c>
      <c r="C113" s="27" t="s">
        <v>386</v>
      </c>
      <c r="D113" s="27" t="s">
        <v>387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1.0</v>
      </c>
      <c r="K113" s="33" t="n">
        <f>37840</f>
        <v>37840.0</v>
      </c>
      <c r="L113" s="34" t="s">
        <v>48</v>
      </c>
      <c r="M113" s="33" t="n">
        <f>38500</f>
        <v>38500.0</v>
      </c>
      <c r="N113" s="34" t="s">
        <v>54</v>
      </c>
      <c r="O113" s="33" t="n">
        <f>37180</f>
        <v>37180.0</v>
      </c>
      <c r="P113" s="34" t="s">
        <v>162</v>
      </c>
      <c r="Q113" s="33" t="n">
        <f>37710</f>
        <v>37710.0</v>
      </c>
      <c r="R113" s="34" t="s">
        <v>50</v>
      </c>
      <c r="S113" s="35" t="n">
        <f>37615.5</f>
        <v>37615.5</v>
      </c>
      <c r="T113" s="32" t="n">
        <f>3290</f>
        <v>3290.0</v>
      </c>
      <c r="U113" s="32" t="n">
        <f>42</f>
        <v>42.0</v>
      </c>
      <c r="V113" s="32" t="n">
        <f>123990080</f>
        <v>1.2399008E8</v>
      </c>
      <c r="W113" s="32" t="n">
        <f>1582550</f>
        <v>1582550.0</v>
      </c>
      <c r="X113" s="36" t="n">
        <f>20</f>
        <v>20.0</v>
      </c>
    </row>
    <row r="114">
      <c r="A114" s="27" t="s">
        <v>42</v>
      </c>
      <c r="B114" s="27" t="s">
        <v>388</v>
      </c>
      <c r="C114" s="27" t="s">
        <v>389</v>
      </c>
      <c r="D114" s="27" t="s">
        <v>390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21265</f>
        <v>21265.0</v>
      </c>
      <c r="L114" s="34" t="s">
        <v>48</v>
      </c>
      <c r="M114" s="33" t="n">
        <f>21695</f>
        <v>21695.0</v>
      </c>
      <c r="N114" s="34" t="s">
        <v>73</v>
      </c>
      <c r="O114" s="33" t="n">
        <f>20605</f>
        <v>20605.0</v>
      </c>
      <c r="P114" s="34" t="s">
        <v>49</v>
      </c>
      <c r="Q114" s="33" t="n">
        <f>21125</f>
        <v>21125.0</v>
      </c>
      <c r="R114" s="34" t="s">
        <v>50</v>
      </c>
      <c r="S114" s="35" t="n">
        <f>21087</f>
        <v>21087.0</v>
      </c>
      <c r="T114" s="32" t="n">
        <f>16954</f>
        <v>16954.0</v>
      </c>
      <c r="U114" s="32" t="n">
        <f>42</f>
        <v>42.0</v>
      </c>
      <c r="V114" s="32" t="n">
        <f>356442955</f>
        <v>3.56442955E8</v>
      </c>
      <c r="W114" s="32" t="n">
        <f>880665</f>
        <v>880665.0</v>
      </c>
      <c r="X114" s="36" t="n">
        <f>20</f>
        <v>20.0</v>
      </c>
    </row>
    <row r="115">
      <c r="A115" s="27" t="s">
        <v>42</v>
      </c>
      <c r="B115" s="27" t="s">
        <v>391</v>
      </c>
      <c r="C115" s="27" t="s">
        <v>392</v>
      </c>
      <c r="D115" s="27" t="s">
        <v>393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30040</f>
        <v>30040.0</v>
      </c>
      <c r="L115" s="34" t="s">
        <v>48</v>
      </c>
      <c r="M115" s="33" t="n">
        <f>31300</f>
        <v>31300.0</v>
      </c>
      <c r="N115" s="34" t="s">
        <v>54</v>
      </c>
      <c r="O115" s="33" t="n">
        <f>30000</f>
        <v>30000.0</v>
      </c>
      <c r="P115" s="34" t="s">
        <v>121</v>
      </c>
      <c r="Q115" s="33" t="n">
        <f>30740</f>
        <v>30740.0</v>
      </c>
      <c r="R115" s="34" t="s">
        <v>50</v>
      </c>
      <c r="S115" s="35" t="n">
        <f>30691</f>
        <v>30691.0</v>
      </c>
      <c r="T115" s="32" t="n">
        <f>3084</f>
        <v>3084.0</v>
      </c>
      <c r="U115" s="32" t="str">
        <f>"－"</f>
        <v>－</v>
      </c>
      <c r="V115" s="32" t="n">
        <f>94799970</f>
        <v>9.479997E7</v>
      </c>
      <c r="W115" s="32" t="str">
        <f>"－"</f>
        <v>－</v>
      </c>
      <c r="X115" s="36" t="n">
        <f>20</f>
        <v>20.0</v>
      </c>
    </row>
    <row r="116">
      <c r="A116" s="27" t="s">
        <v>42</v>
      </c>
      <c r="B116" s="27" t="s">
        <v>394</v>
      </c>
      <c r="C116" s="27" t="s">
        <v>395</v>
      </c>
      <c r="D116" s="27" t="s">
        <v>396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29995</f>
        <v>29995.0</v>
      </c>
      <c r="L116" s="34" t="s">
        <v>48</v>
      </c>
      <c r="M116" s="33" t="n">
        <f>31080</f>
        <v>31080.0</v>
      </c>
      <c r="N116" s="34" t="s">
        <v>54</v>
      </c>
      <c r="O116" s="33" t="n">
        <f>29080</f>
        <v>29080.0</v>
      </c>
      <c r="P116" s="34" t="s">
        <v>397</v>
      </c>
      <c r="Q116" s="33" t="n">
        <f>29380</f>
        <v>29380.0</v>
      </c>
      <c r="R116" s="34" t="s">
        <v>50</v>
      </c>
      <c r="S116" s="35" t="n">
        <f>29781.75</f>
        <v>29781.75</v>
      </c>
      <c r="T116" s="32" t="n">
        <f>8492</f>
        <v>8492.0</v>
      </c>
      <c r="U116" s="32" t="n">
        <f>48</f>
        <v>48.0</v>
      </c>
      <c r="V116" s="32" t="n">
        <f>252359002</f>
        <v>2.52359002E8</v>
      </c>
      <c r="W116" s="32" t="n">
        <f>1405532</f>
        <v>1405532.0</v>
      </c>
      <c r="X116" s="36" t="n">
        <f>20</f>
        <v>20.0</v>
      </c>
    </row>
    <row r="117">
      <c r="A117" s="27" t="s">
        <v>42</v>
      </c>
      <c r="B117" s="27" t="s">
        <v>398</v>
      </c>
      <c r="C117" s="27" t="s">
        <v>399</v>
      </c>
      <c r="D117" s="27" t="s">
        <v>400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29420</f>
        <v>29420.0</v>
      </c>
      <c r="L117" s="34" t="s">
        <v>48</v>
      </c>
      <c r="M117" s="33" t="n">
        <f>30100</f>
        <v>30100.0</v>
      </c>
      <c r="N117" s="34" t="s">
        <v>121</v>
      </c>
      <c r="O117" s="33" t="n">
        <f>27400</f>
        <v>27400.0</v>
      </c>
      <c r="P117" s="34" t="s">
        <v>257</v>
      </c>
      <c r="Q117" s="33" t="n">
        <f>28095</f>
        <v>28095.0</v>
      </c>
      <c r="R117" s="34" t="s">
        <v>50</v>
      </c>
      <c r="S117" s="35" t="n">
        <f>28629.5</f>
        <v>28629.5</v>
      </c>
      <c r="T117" s="32" t="n">
        <f>12364</f>
        <v>12364.0</v>
      </c>
      <c r="U117" s="32" t="n">
        <f>39</f>
        <v>39.0</v>
      </c>
      <c r="V117" s="32" t="n">
        <f>351468362</f>
        <v>3.51468362E8</v>
      </c>
      <c r="W117" s="32" t="n">
        <f>1142302</f>
        <v>1142302.0</v>
      </c>
      <c r="X117" s="36" t="n">
        <f>20</f>
        <v>20.0</v>
      </c>
    </row>
    <row r="118">
      <c r="A118" s="27" t="s">
        <v>42</v>
      </c>
      <c r="B118" s="27" t="s">
        <v>401</v>
      </c>
      <c r="C118" s="27" t="s">
        <v>402</v>
      </c>
      <c r="D118" s="27" t="s">
        <v>403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29005</f>
        <v>29005.0</v>
      </c>
      <c r="L118" s="34" t="s">
        <v>48</v>
      </c>
      <c r="M118" s="33" t="n">
        <f>30190</f>
        <v>30190.0</v>
      </c>
      <c r="N118" s="34" t="s">
        <v>73</v>
      </c>
      <c r="O118" s="33" t="n">
        <f>27875</f>
        <v>27875.0</v>
      </c>
      <c r="P118" s="34" t="s">
        <v>61</v>
      </c>
      <c r="Q118" s="33" t="n">
        <f>28055</f>
        <v>28055.0</v>
      </c>
      <c r="R118" s="34" t="s">
        <v>50</v>
      </c>
      <c r="S118" s="35" t="n">
        <f>29116</f>
        <v>29116.0</v>
      </c>
      <c r="T118" s="32" t="n">
        <f>20074</f>
        <v>20074.0</v>
      </c>
      <c r="U118" s="32" t="n">
        <f>108</f>
        <v>108.0</v>
      </c>
      <c r="V118" s="32" t="n">
        <f>583387252</f>
        <v>5.83387252E8</v>
      </c>
      <c r="W118" s="32" t="n">
        <f>3178447</f>
        <v>3178447.0</v>
      </c>
      <c r="X118" s="36" t="n">
        <f>20</f>
        <v>20.0</v>
      </c>
    </row>
    <row r="119">
      <c r="A119" s="27" t="s">
        <v>42</v>
      </c>
      <c r="B119" s="27" t="s">
        <v>404</v>
      </c>
      <c r="C119" s="27" t="s">
        <v>405</v>
      </c>
      <c r="D119" s="27" t="s">
        <v>406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25730</f>
        <v>25730.0</v>
      </c>
      <c r="L119" s="34" t="s">
        <v>48</v>
      </c>
      <c r="M119" s="33" t="n">
        <f>27915</f>
        <v>27915.0</v>
      </c>
      <c r="N119" s="34" t="s">
        <v>54</v>
      </c>
      <c r="O119" s="33" t="n">
        <f>25730</f>
        <v>25730.0</v>
      </c>
      <c r="P119" s="34" t="s">
        <v>48</v>
      </c>
      <c r="Q119" s="33" t="n">
        <f>26380</f>
        <v>26380.0</v>
      </c>
      <c r="R119" s="34" t="s">
        <v>50</v>
      </c>
      <c r="S119" s="35" t="n">
        <f>26690</f>
        <v>26690.0</v>
      </c>
      <c r="T119" s="32" t="n">
        <f>6578</f>
        <v>6578.0</v>
      </c>
      <c r="U119" s="32" t="str">
        <f>"－"</f>
        <v>－</v>
      </c>
      <c r="V119" s="32" t="n">
        <f>177233875</f>
        <v>1.77233875E8</v>
      </c>
      <c r="W119" s="32" t="str">
        <f>"－"</f>
        <v>－</v>
      </c>
      <c r="X119" s="36" t="n">
        <f>20</f>
        <v>20.0</v>
      </c>
    </row>
    <row r="120">
      <c r="A120" s="27" t="s">
        <v>42</v>
      </c>
      <c r="B120" s="27" t="s">
        <v>407</v>
      </c>
      <c r="C120" s="27" t="s">
        <v>408</v>
      </c>
      <c r="D120" s="27" t="s">
        <v>409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56250</f>
        <v>56250.0</v>
      </c>
      <c r="L120" s="34" t="s">
        <v>48</v>
      </c>
      <c r="M120" s="33" t="n">
        <f>60400</f>
        <v>60400.0</v>
      </c>
      <c r="N120" s="34" t="s">
        <v>158</v>
      </c>
      <c r="O120" s="33" t="n">
        <f>55840</f>
        <v>55840.0</v>
      </c>
      <c r="P120" s="34" t="s">
        <v>48</v>
      </c>
      <c r="Q120" s="33" t="n">
        <f>56310</f>
        <v>56310.0</v>
      </c>
      <c r="R120" s="34" t="s">
        <v>50</v>
      </c>
      <c r="S120" s="35" t="n">
        <f>57997.5</f>
        <v>57997.5</v>
      </c>
      <c r="T120" s="32" t="n">
        <f>20218</f>
        <v>20218.0</v>
      </c>
      <c r="U120" s="32" t="n">
        <f>48</f>
        <v>48.0</v>
      </c>
      <c r="V120" s="32" t="n">
        <f>1189773910</f>
        <v>1.18977391E9</v>
      </c>
      <c r="W120" s="32" t="n">
        <f>2832830</f>
        <v>2832830.0</v>
      </c>
      <c r="X120" s="36" t="n">
        <f>20</f>
        <v>20.0</v>
      </c>
    </row>
    <row r="121">
      <c r="A121" s="27" t="s">
        <v>42</v>
      </c>
      <c r="B121" s="27" t="s">
        <v>410</v>
      </c>
      <c r="C121" s="27" t="s">
        <v>411</v>
      </c>
      <c r="D121" s="27" t="s">
        <v>412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37150</f>
        <v>37150.0</v>
      </c>
      <c r="L121" s="34" t="s">
        <v>48</v>
      </c>
      <c r="M121" s="33" t="n">
        <f>38920</f>
        <v>38920.0</v>
      </c>
      <c r="N121" s="34" t="s">
        <v>87</v>
      </c>
      <c r="O121" s="33" t="n">
        <f>36520</f>
        <v>36520.0</v>
      </c>
      <c r="P121" s="34" t="s">
        <v>257</v>
      </c>
      <c r="Q121" s="33" t="n">
        <f>36640</f>
        <v>36640.0</v>
      </c>
      <c r="R121" s="34" t="s">
        <v>50</v>
      </c>
      <c r="S121" s="35" t="n">
        <f>37448</f>
        <v>37448.0</v>
      </c>
      <c r="T121" s="32" t="n">
        <f>9001</f>
        <v>9001.0</v>
      </c>
      <c r="U121" s="32" t="n">
        <f>79</f>
        <v>79.0</v>
      </c>
      <c r="V121" s="32" t="n">
        <f>337543510</f>
        <v>3.3754351E8</v>
      </c>
      <c r="W121" s="32" t="n">
        <f>2961570</f>
        <v>2961570.0</v>
      </c>
      <c r="X121" s="36" t="n">
        <f>20</f>
        <v>20.0</v>
      </c>
    </row>
    <row r="122">
      <c r="A122" s="27" t="s">
        <v>42</v>
      </c>
      <c r="B122" s="27" t="s">
        <v>413</v>
      </c>
      <c r="C122" s="27" t="s">
        <v>414</v>
      </c>
      <c r="D122" s="27" t="s">
        <v>415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35140</f>
        <v>35140.0</v>
      </c>
      <c r="L122" s="34" t="s">
        <v>48</v>
      </c>
      <c r="M122" s="33" t="n">
        <f>37120</f>
        <v>37120.0</v>
      </c>
      <c r="N122" s="34" t="s">
        <v>49</v>
      </c>
      <c r="O122" s="33" t="n">
        <f>34800</f>
        <v>34800.0</v>
      </c>
      <c r="P122" s="34" t="s">
        <v>121</v>
      </c>
      <c r="Q122" s="33" t="n">
        <f>36450</f>
        <v>36450.0</v>
      </c>
      <c r="R122" s="34" t="s">
        <v>50</v>
      </c>
      <c r="S122" s="35" t="n">
        <f>35944</f>
        <v>35944.0</v>
      </c>
      <c r="T122" s="32" t="n">
        <f>3406</f>
        <v>3406.0</v>
      </c>
      <c r="U122" s="32" t="n">
        <f>5</f>
        <v>5.0</v>
      </c>
      <c r="V122" s="32" t="n">
        <f>122471230</f>
        <v>1.2247123E8</v>
      </c>
      <c r="W122" s="32" t="n">
        <f>179390</f>
        <v>179390.0</v>
      </c>
      <c r="X122" s="36" t="n">
        <f>20</f>
        <v>20.0</v>
      </c>
    </row>
    <row r="123">
      <c r="A123" s="27" t="s">
        <v>42</v>
      </c>
      <c r="B123" s="27" t="s">
        <v>416</v>
      </c>
      <c r="C123" s="27" t="s">
        <v>417</v>
      </c>
      <c r="D123" s="27" t="s">
        <v>418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9169</f>
        <v>9169.0</v>
      </c>
      <c r="L123" s="34" t="s">
        <v>48</v>
      </c>
      <c r="M123" s="33" t="n">
        <f>9332</f>
        <v>9332.0</v>
      </c>
      <c r="N123" s="34" t="s">
        <v>54</v>
      </c>
      <c r="O123" s="33" t="n">
        <f>8391</f>
        <v>8391.0</v>
      </c>
      <c r="P123" s="34" t="s">
        <v>162</v>
      </c>
      <c r="Q123" s="33" t="n">
        <f>8633</f>
        <v>8633.0</v>
      </c>
      <c r="R123" s="34" t="s">
        <v>50</v>
      </c>
      <c r="S123" s="35" t="n">
        <f>8828.1</f>
        <v>8828.1</v>
      </c>
      <c r="T123" s="32" t="n">
        <f>88705</f>
        <v>88705.0</v>
      </c>
      <c r="U123" s="32" t="n">
        <f>15000</f>
        <v>15000.0</v>
      </c>
      <c r="V123" s="32" t="n">
        <f>774576088</f>
        <v>7.74576088E8</v>
      </c>
      <c r="W123" s="32" t="n">
        <f>128144767</f>
        <v>1.28144767E8</v>
      </c>
      <c r="X123" s="36" t="n">
        <f>20</f>
        <v>20.0</v>
      </c>
    </row>
    <row r="124">
      <c r="A124" s="27" t="s">
        <v>42</v>
      </c>
      <c r="B124" s="27" t="s">
        <v>419</v>
      </c>
      <c r="C124" s="27" t="s">
        <v>420</v>
      </c>
      <c r="D124" s="27" t="s">
        <v>421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18250</f>
        <v>18250.0</v>
      </c>
      <c r="L124" s="34" t="s">
        <v>48</v>
      </c>
      <c r="M124" s="33" t="n">
        <f>18950</f>
        <v>18950.0</v>
      </c>
      <c r="N124" s="34" t="s">
        <v>235</v>
      </c>
      <c r="O124" s="33" t="n">
        <f>18115</f>
        <v>18115.0</v>
      </c>
      <c r="P124" s="34" t="s">
        <v>162</v>
      </c>
      <c r="Q124" s="33" t="n">
        <f>18300</f>
        <v>18300.0</v>
      </c>
      <c r="R124" s="34" t="s">
        <v>50</v>
      </c>
      <c r="S124" s="35" t="n">
        <f>18412.75</f>
        <v>18412.75</v>
      </c>
      <c r="T124" s="32" t="n">
        <f>3899</f>
        <v>3899.0</v>
      </c>
      <c r="U124" s="32" t="str">
        <f>"－"</f>
        <v>－</v>
      </c>
      <c r="V124" s="32" t="n">
        <f>72103865</f>
        <v>7.2103865E7</v>
      </c>
      <c r="W124" s="32" t="str">
        <f>"－"</f>
        <v>－</v>
      </c>
      <c r="X124" s="36" t="n">
        <f>20</f>
        <v>20.0</v>
      </c>
    </row>
    <row r="125">
      <c r="A125" s="27" t="s">
        <v>42</v>
      </c>
      <c r="B125" s="27" t="s">
        <v>422</v>
      </c>
      <c r="C125" s="27" t="s">
        <v>423</v>
      </c>
      <c r="D125" s="27" t="s">
        <v>424</v>
      </c>
      <c r="E125" s="28" t="s">
        <v>46</v>
      </c>
      <c r="F125" s="29" t="s">
        <v>46</v>
      </c>
      <c r="G125" s="30" t="s">
        <v>46</v>
      </c>
      <c r="H125" s="31"/>
      <c r="I125" s="31" t="s">
        <v>47</v>
      </c>
      <c r="J125" s="32" t="n">
        <v>1.0</v>
      </c>
      <c r="K125" s="33" t="n">
        <f>81770</f>
        <v>81770.0</v>
      </c>
      <c r="L125" s="34" t="s">
        <v>48</v>
      </c>
      <c r="M125" s="33" t="n">
        <f>85660</f>
        <v>85660.0</v>
      </c>
      <c r="N125" s="34" t="s">
        <v>73</v>
      </c>
      <c r="O125" s="33" t="n">
        <f>79020</f>
        <v>79020.0</v>
      </c>
      <c r="P125" s="34" t="s">
        <v>61</v>
      </c>
      <c r="Q125" s="33" t="n">
        <f>79910</f>
        <v>79910.0</v>
      </c>
      <c r="R125" s="34" t="s">
        <v>50</v>
      </c>
      <c r="S125" s="35" t="n">
        <f>82583</f>
        <v>82583.0</v>
      </c>
      <c r="T125" s="32" t="n">
        <f>12083</f>
        <v>12083.0</v>
      </c>
      <c r="U125" s="32" t="n">
        <f>11</f>
        <v>11.0</v>
      </c>
      <c r="V125" s="32" t="n">
        <f>996965980</f>
        <v>9.9696598E8</v>
      </c>
      <c r="W125" s="32" t="n">
        <f>899050</f>
        <v>899050.0</v>
      </c>
      <c r="X125" s="36" t="n">
        <f>20</f>
        <v>20.0</v>
      </c>
    </row>
    <row r="126">
      <c r="A126" s="27" t="s">
        <v>42</v>
      </c>
      <c r="B126" s="27" t="s">
        <v>425</v>
      </c>
      <c r="C126" s="27" t="s">
        <v>426</v>
      </c>
      <c r="D126" s="27" t="s">
        <v>427</v>
      </c>
      <c r="E126" s="28" t="s">
        <v>46</v>
      </c>
      <c r="F126" s="29" t="s">
        <v>46</v>
      </c>
      <c r="G126" s="30" t="s">
        <v>46</v>
      </c>
      <c r="H126" s="31"/>
      <c r="I126" s="31" t="s">
        <v>428</v>
      </c>
      <c r="J126" s="32" t="n">
        <v>1.0</v>
      </c>
      <c r="K126" s="33" t="n">
        <f>10245</f>
        <v>10245.0</v>
      </c>
      <c r="L126" s="34" t="s">
        <v>69</v>
      </c>
      <c r="M126" s="33" t="n">
        <f>10515</f>
        <v>10515.0</v>
      </c>
      <c r="N126" s="34" t="s">
        <v>54</v>
      </c>
      <c r="O126" s="33" t="n">
        <f>9894</f>
        <v>9894.0</v>
      </c>
      <c r="P126" s="34" t="s">
        <v>162</v>
      </c>
      <c r="Q126" s="33" t="n">
        <f>9915</f>
        <v>9915.0</v>
      </c>
      <c r="R126" s="34" t="s">
        <v>50</v>
      </c>
      <c r="S126" s="35" t="n">
        <f>10199.93</f>
        <v>10199.93</v>
      </c>
      <c r="T126" s="32" t="n">
        <f>2117</f>
        <v>2117.0</v>
      </c>
      <c r="U126" s="32" t="str">
        <f>"－"</f>
        <v>－</v>
      </c>
      <c r="V126" s="32" t="n">
        <f>21712976</f>
        <v>2.1712976E7</v>
      </c>
      <c r="W126" s="32" t="str">
        <f>"－"</f>
        <v>－</v>
      </c>
      <c r="X126" s="36" t="n">
        <f>14</f>
        <v>14.0</v>
      </c>
    </row>
    <row r="127">
      <c r="A127" s="27" t="s">
        <v>42</v>
      </c>
      <c r="B127" s="27" t="s">
        <v>429</v>
      </c>
      <c r="C127" s="27" t="s">
        <v>430</v>
      </c>
      <c r="D127" s="27" t="s">
        <v>431</v>
      </c>
      <c r="E127" s="28" t="s">
        <v>46</v>
      </c>
      <c r="F127" s="29" t="s">
        <v>46</v>
      </c>
      <c r="G127" s="30" t="s">
        <v>46</v>
      </c>
      <c r="H127" s="31"/>
      <c r="I127" s="31" t="s">
        <v>47</v>
      </c>
      <c r="J127" s="32" t="n">
        <v>1.0</v>
      </c>
      <c r="K127" s="33" t="n">
        <f>30140</f>
        <v>30140.0</v>
      </c>
      <c r="L127" s="34" t="s">
        <v>48</v>
      </c>
      <c r="M127" s="33" t="n">
        <f>31820</f>
        <v>31820.0</v>
      </c>
      <c r="N127" s="34" t="s">
        <v>235</v>
      </c>
      <c r="O127" s="33" t="n">
        <f>30050</f>
        <v>30050.0</v>
      </c>
      <c r="P127" s="34" t="s">
        <v>48</v>
      </c>
      <c r="Q127" s="33" t="n">
        <f>31790</f>
        <v>31790.0</v>
      </c>
      <c r="R127" s="34" t="s">
        <v>50</v>
      </c>
      <c r="S127" s="35" t="n">
        <f>31016.5</f>
        <v>31016.5</v>
      </c>
      <c r="T127" s="32" t="n">
        <f>11338</f>
        <v>11338.0</v>
      </c>
      <c r="U127" s="32" t="n">
        <f>68</f>
        <v>68.0</v>
      </c>
      <c r="V127" s="32" t="n">
        <f>355535265</f>
        <v>3.55535265E8</v>
      </c>
      <c r="W127" s="32" t="n">
        <f>2097745</f>
        <v>2097745.0</v>
      </c>
      <c r="X127" s="36" t="n">
        <f>20</f>
        <v>20.0</v>
      </c>
    </row>
    <row r="128">
      <c r="A128" s="27" t="s">
        <v>42</v>
      </c>
      <c r="B128" s="27" t="s">
        <v>432</v>
      </c>
      <c r="C128" s="27" t="s">
        <v>433</v>
      </c>
      <c r="D128" s="27" t="s">
        <v>434</v>
      </c>
      <c r="E128" s="28" t="s">
        <v>46</v>
      </c>
      <c r="F128" s="29" t="s">
        <v>46</v>
      </c>
      <c r="G128" s="30" t="s">
        <v>46</v>
      </c>
      <c r="H128" s="31"/>
      <c r="I128" s="31" t="s">
        <v>47</v>
      </c>
      <c r="J128" s="32" t="n">
        <v>1.0</v>
      </c>
      <c r="K128" s="33" t="n">
        <f>17635</f>
        <v>17635.0</v>
      </c>
      <c r="L128" s="34" t="s">
        <v>48</v>
      </c>
      <c r="M128" s="33" t="n">
        <f>20385</f>
        <v>20385.0</v>
      </c>
      <c r="N128" s="34" t="s">
        <v>158</v>
      </c>
      <c r="O128" s="33" t="n">
        <f>17635</f>
        <v>17635.0</v>
      </c>
      <c r="P128" s="34" t="s">
        <v>48</v>
      </c>
      <c r="Q128" s="33" t="n">
        <f>20100</f>
        <v>20100.0</v>
      </c>
      <c r="R128" s="34" t="s">
        <v>50</v>
      </c>
      <c r="S128" s="35" t="n">
        <f>19518.75</f>
        <v>19518.75</v>
      </c>
      <c r="T128" s="32" t="n">
        <f>89702</f>
        <v>89702.0</v>
      </c>
      <c r="U128" s="32" t="n">
        <f>5458</f>
        <v>5458.0</v>
      </c>
      <c r="V128" s="32" t="n">
        <f>1752058332</f>
        <v>1.752058332E9</v>
      </c>
      <c r="W128" s="32" t="n">
        <f>107938562</f>
        <v>1.07938562E8</v>
      </c>
      <c r="X128" s="36" t="n">
        <f>20</f>
        <v>20.0</v>
      </c>
    </row>
    <row r="129">
      <c r="A129" s="27" t="s">
        <v>42</v>
      </c>
      <c r="B129" s="27" t="s">
        <v>435</v>
      </c>
      <c r="C129" s="27" t="s">
        <v>436</v>
      </c>
      <c r="D129" s="27" t="s">
        <v>437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1.0</v>
      </c>
      <c r="K129" s="33" t="n">
        <f>26150</f>
        <v>26150.0</v>
      </c>
      <c r="L129" s="34" t="s">
        <v>48</v>
      </c>
      <c r="M129" s="33" t="n">
        <f>30160</f>
        <v>30160.0</v>
      </c>
      <c r="N129" s="34" t="s">
        <v>49</v>
      </c>
      <c r="O129" s="33" t="n">
        <f>26150</f>
        <v>26150.0</v>
      </c>
      <c r="P129" s="34" t="s">
        <v>48</v>
      </c>
      <c r="Q129" s="33" t="n">
        <f>27890</f>
        <v>27890.0</v>
      </c>
      <c r="R129" s="34" t="s">
        <v>50</v>
      </c>
      <c r="S129" s="35" t="n">
        <f>27868</f>
        <v>27868.0</v>
      </c>
      <c r="T129" s="32" t="n">
        <f>37070</f>
        <v>37070.0</v>
      </c>
      <c r="U129" s="32" t="n">
        <f>4304</f>
        <v>4304.0</v>
      </c>
      <c r="V129" s="32" t="n">
        <f>1032731337</f>
        <v>1.032731337E9</v>
      </c>
      <c r="W129" s="32" t="n">
        <f>113520287</f>
        <v>1.13520287E8</v>
      </c>
      <c r="X129" s="36" t="n">
        <f>20</f>
        <v>20.0</v>
      </c>
    </row>
    <row r="130">
      <c r="A130" s="27" t="s">
        <v>42</v>
      </c>
      <c r="B130" s="27" t="s">
        <v>438</v>
      </c>
      <c r="C130" s="27" t="s">
        <v>439</v>
      </c>
      <c r="D130" s="27" t="s">
        <v>440</v>
      </c>
      <c r="E130" s="28" t="s">
        <v>46</v>
      </c>
      <c r="F130" s="29" t="s">
        <v>46</v>
      </c>
      <c r="G130" s="30" t="s">
        <v>46</v>
      </c>
      <c r="H130" s="31"/>
      <c r="I130" s="31" t="s">
        <v>47</v>
      </c>
      <c r="J130" s="32" t="n">
        <v>1.0</v>
      </c>
      <c r="K130" s="33" t="n">
        <f>37880</f>
        <v>37880.0</v>
      </c>
      <c r="L130" s="34" t="s">
        <v>48</v>
      </c>
      <c r="M130" s="33" t="n">
        <f>39990</f>
        <v>39990.0</v>
      </c>
      <c r="N130" s="34" t="s">
        <v>54</v>
      </c>
      <c r="O130" s="33" t="n">
        <f>36920</f>
        <v>36920.0</v>
      </c>
      <c r="P130" s="34" t="s">
        <v>162</v>
      </c>
      <c r="Q130" s="33" t="n">
        <f>37390</f>
        <v>37390.0</v>
      </c>
      <c r="R130" s="34" t="s">
        <v>50</v>
      </c>
      <c r="S130" s="35" t="n">
        <f>37881.5</f>
        <v>37881.5</v>
      </c>
      <c r="T130" s="32" t="n">
        <f>3243</f>
        <v>3243.0</v>
      </c>
      <c r="U130" s="32" t="n">
        <f>33</f>
        <v>33.0</v>
      </c>
      <c r="V130" s="32" t="n">
        <f>122722960</f>
        <v>1.2272296E8</v>
      </c>
      <c r="W130" s="32" t="n">
        <f>1254920</f>
        <v>1254920.0</v>
      </c>
      <c r="X130" s="36" t="n">
        <f>20</f>
        <v>20.0</v>
      </c>
    </row>
    <row r="131">
      <c r="A131" s="27" t="s">
        <v>42</v>
      </c>
      <c r="B131" s="27" t="s">
        <v>441</v>
      </c>
      <c r="C131" s="27" t="s">
        <v>442</v>
      </c>
      <c r="D131" s="27" t="s">
        <v>443</v>
      </c>
      <c r="E131" s="28" t="s">
        <v>46</v>
      </c>
      <c r="F131" s="29" t="s">
        <v>46</v>
      </c>
      <c r="G131" s="30" t="s">
        <v>46</v>
      </c>
      <c r="H131" s="31"/>
      <c r="I131" s="31" t="s">
        <v>428</v>
      </c>
      <c r="J131" s="32" t="n">
        <v>1.0</v>
      </c>
      <c r="K131" s="33" t="n">
        <f>8599</f>
        <v>8599.0</v>
      </c>
      <c r="L131" s="34" t="s">
        <v>48</v>
      </c>
      <c r="M131" s="33" t="n">
        <f>8920</f>
        <v>8920.0</v>
      </c>
      <c r="N131" s="34" t="s">
        <v>73</v>
      </c>
      <c r="O131" s="33" t="n">
        <f>7900</f>
        <v>7900.0</v>
      </c>
      <c r="P131" s="34" t="s">
        <v>61</v>
      </c>
      <c r="Q131" s="33" t="n">
        <f>8075</f>
        <v>8075.0</v>
      </c>
      <c r="R131" s="34" t="s">
        <v>50</v>
      </c>
      <c r="S131" s="35" t="n">
        <f>8326.1</f>
        <v>8326.1</v>
      </c>
      <c r="T131" s="32" t="n">
        <f>65685</f>
        <v>65685.0</v>
      </c>
      <c r="U131" s="32" t="str">
        <f>"－"</f>
        <v>－</v>
      </c>
      <c r="V131" s="32" t="n">
        <f>550708542</f>
        <v>5.50708542E8</v>
      </c>
      <c r="W131" s="32" t="str">
        <f>"－"</f>
        <v>－</v>
      </c>
      <c r="X131" s="36" t="n">
        <f>20</f>
        <v>20.0</v>
      </c>
    </row>
    <row r="132">
      <c r="A132" s="27" t="s">
        <v>42</v>
      </c>
      <c r="B132" s="27" t="s">
        <v>444</v>
      </c>
      <c r="C132" s="27" t="s">
        <v>445</v>
      </c>
      <c r="D132" s="27" t="s">
        <v>446</v>
      </c>
      <c r="E132" s="28" t="s">
        <v>46</v>
      </c>
      <c r="F132" s="29" t="s">
        <v>46</v>
      </c>
      <c r="G132" s="30" t="s">
        <v>46</v>
      </c>
      <c r="H132" s="31"/>
      <c r="I132" s="31" t="s">
        <v>47</v>
      </c>
      <c r="J132" s="32" t="n">
        <v>1.0</v>
      </c>
      <c r="K132" s="33" t="n">
        <f>1969</f>
        <v>1969.0</v>
      </c>
      <c r="L132" s="34" t="s">
        <v>48</v>
      </c>
      <c r="M132" s="33" t="n">
        <f>2053</f>
        <v>2053.0</v>
      </c>
      <c r="N132" s="34" t="s">
        <v>73</v>
      </c>
      <c r="O132" s="33" t="n">
        <f>1900</f>
        <v>1900.0</v>
      </c>
      <c r="P132" s="34" t="s">
        <v>121</v>
      </c>
      <c r="Q132" s="33" t="n">
        <f>1995</f>
        <v>1995.0</v>
      </c>
      <c r="R132" s="34" t="s">
        <v>50</v>
      </c>
      <c r="S132" s="35" t="n">
        <f>2010.45</f>
        <v>2010.45</v>
      </c>
      <c r="T132" s="32" t="n">
        <f>1888771</f>
        <v>1888771.0</v>
      </c>
      <c r="U132" s="32" t="n">
        <f>1324379</f>
        <v>1324379.0</v>
      </c>
      <c r="V132" s="32" t="n">
        <f>3797214615</f>
        <v>3.797214615E9</v>
      </c>
      <c r="W132" s="32" t="n">
        <f>2668345435</f>
        <v>2.668345435E9</v>
      </c>
      <c r="X132" s="36" t="n">
        <f>20</f>
        <v>20.0</v>
      </c>
    </row>
    <row r="133">
      <c r="A133" s="27" t="s">
        <v>42</v>
      </c>
      <c r="B133" s="27" t="s">
        <v>447</v>
      </c>
      <c r="C133" s="27" t="s">
        <v>448</v>
      </c>
      <c r="D133" s="27" t="s">
        <v>449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10.0</v>
      </c>
      <c r="K133" s="33" t="n">
        <f>3196</f>
        <v>3196.0</v>
      </c>
      <c r="L133" s="34" t="s">
        <v>48</v>
      </c>
      <c r="M133" s="33" t="n">
        <f>3358</f>
        <v>3358.0</v>
      </c>
      <c r="N133" s="34" t="s">
        <v>73</v>
      </c>
      <c r="O133" s="33" t="n">
        <f>3184</f>
        <v>3184.0</v>
      </c>
      <c r="P133" s="34" t="s">
        <v>48</v>
      </c>
      <c r="Q133" s="33" t="n">
        <f>3261</f>
        <v>3261.0</v>
      </c>
      <c r="R133" s="34" t="s">
        <v>50</v>
      </c>
      <c r="S133" s="35" t="n">
        <f>3270.2</f>
        <v>3270.2</v>
      </c>
      <c r="T133" s="32" t="n">
        <f>130560</f>
        <v>130560.0</v>
      </c>
      <c r="U133" s="32" t="str">
        <f>"－"</f>
        <v>－</v>
      </c>
      <c r="V133" s="32" t="n">
        <f>426160310</f>
        <v>4.2616031E8</v>
      </c>
      <c r="W133" s="32" t="str">
        <f>"－"</f>
        <v>－</v>
      </c>
      <c r="X133" s="36" t="n">
        <f>20</f>
        <v>20.0</v>
      </c>
    </row>
    <row r="134">
      <c r="A134" s="27" t="s">
        <v>42</v>
      </c>
      <c r="B134" s="27" t="s">
        <v>450</v>
      </c>
      <c r="C134" s="27" t="s">
        <v>451</v>
      </c>
      <c r="D134" s="27" t="s">
        <v>452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3423</f>
        <v>3423.0</v>
      </c>
      <c r="L134" s="34" t="s">
        <v>48</v>
      </c>
      <c r="M134" s="33" t="n">
        <f>3607</f>
        <v>3607.0</v>
      </c>
      <c r="N134" s="34" t="s">
        <v>49</v>
      </c>
      <c r="O134" s="33" t="n">
        <f>3423</f>
        <v>3423.0</v>
      </c>
      <c r="P134" s="34" t="s">
        <v>48</v>
      </c>
      <c r="Q134" s="33" t="n">
        <f>3499</f>
        <v>3499.0</v>
      </c>
      <c r="R134" s="34" t="s">
        <v>94</v>
      </c>
      <c r="S134" s="35" t="n">
        <f>3518.75</f>
        <v>3518.75</v>
      </c>
      <c r="T134" s="32" t="n">
        <f>40660</f>
        <v>40660.0</v>
      </c>
      <c r="U134" s="32" t="str">
        <f>"－"</f>
        <v>－</v>
      </c>
      <c r="V134" s="32" t="n">
        <f>142630700</f>
        <v>1.426307E8</v>
      </c>
      <c r="W134" s="32" t="str">
        <f>"－"</f>
        <v>－</v>
      </c>
      <c r="X134" s="36" t="n">
        <f>12</f>
        <v>12.0</v>
      </c>
    </row>
    <row r="135">
      <c r="A135" s="27" t="s">
        <v>42</v>
      </c>
      <c r="B135" s="27" t="s">
        <v>453</v>
      </c>
      <c r="C135" s="27" t="s">
        <v>454</v>
      </c>
      <c r="D135" s="27" t="s">
        <v>455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10.0</v>
      </c>
      <c r="K135" s="33" t="n">
        <f>2229</f>
        <v>2229.0</v>
      </c>
      <c r="L135" s="34" t="s">
        <v>48</v>
      </c>
      <c r="M135" s="33" t="n">
        <f>2261.5</f>
        <v>2261.5</v>
      </c>
      <c r="N135" s="34" t="s">
        <v>108</v>
      </c>
      <c r="O135" s="33" t="n">
        <f>2139.5</f>
        <v>2139.5</v>
      </c>
      <c r="P135" s="34" t="s">
        <v>121</v>
      </c>
      <c r="Q135" s="33" t="n">
        <f>2176.5</f>
        <v>2176.5</v>
      </c>
      <c r="R135" s="34" t="s">
        <v>50</v>
      </c>
      <c r="S135" s="35" t="n">
        <f>2193.59</f>
        <v>2193.59</v>
      </c>
      <c r="T135" s="32" t="n">
        <f>29350</f>
        <v>29350.0</v>
      </c>
      <c r="U135" s="32" t="str">
        <f>"－"</f>
        <v>－</v>
      </c>
      <c r="V135" s="32" t="n">
        <f>64628055</f>
        <v>6.4628055E7</v>
      </c>
      <c r="W135" s="32" t="str">
        <f>"－"</f>
        <v>－</v>
      </c>
      <c r="X135" s="36" t="n">
        <f>11</f>
        <v>11.0</v>
      </c>
    </row>
    <row r="136">
      <c r="A136" s="27" t="s">
        <v>42</v>
      </c>
      <c r="B136" s="27" t="s">
        <v>456</v>
      </c>
      <c r="C136" s="27" t="s">
        <v>457</v>
      </c>
      <c r="D136" s="27" t="s">
        <v>458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10.0</v>
      </c>
      <c r="K136" s="33" t="n">
        <f>625.5</f>
        <v>625.5</v>
      </c>
      <c r="L136" s="34" t="s">
        <v>48</v>
      </c>
      <c r="M136" s="33" t="n">
        <f>674.5</f>
        <v>674.5</v>
      </c>
      <c r="N136" s="34" t="s">
        <v>108</v>
      </c>
      <c r="O136" s="33" t="n">
        <f>625.4</f>
        <v>625.4</v>
      </c>
      <c r="P136" s="34" t="s">
        <v>48</v>
      </c>
      <c r="Q136" s="33" t="n">
        <f>651.8</f>
        <v>651.8</v>
      </c>
      <c r="R136" s="34" t="s">
        <v>50</v>
      </c>
      <c r="S136" s="35" t="n">
        <f>658.95</f>
        <v>658.95</v>
      </c>
      <c r="T136" s="32" t="n">
        <f>65350220</f>
        <v>6.535022E7</v>
      </c>
      <c r="U136" s="32" t="n">
        <f>1313430</f>
        <v>1313430.0</v>
      </c>
      <c r="V136" s="32" t="n">
        <f>43054893096</f>
        <v>4.3054893096E10</v>
      </c>
      <c r="W136" s="32" t="n">
        <f>873802896</f>
        <v>8.73802896E8</v>
      </c>
      <c r="X136" s="36" t="n">
        <f>20</f>
        <v>20.0</v>
      </c>
    </row>
    <row r="137">
      <c r="A137" s="27" t="s">
        <v>42</v>
      </c>
      <c r="B137" s="27" t="s">
        <v>459</v>
      </c>
      <c r="C137" s="27" t="s">
        <v>460</v>
      </c>
      <c r="D137" s="27" t="s">
        <v>461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10.0</v>
      </c>
      <c r="K137" s="33" t="n">
        <f>301.7</f>
        <v>301.7</v>
      </c>
      <c r="L137" s="34" t="s">
        <v>48</v>
      </c>
      <c r="M137" s="33" t="n">
        <f>305.6</f>
        <v>305.6</v>
      </c>
      <c r="N137" s="34" t="s">
        <v>104</v>
      </c>
      <c r="O137" s="33" t="n">
        <f>297.4</f>
        <v>297.4</v>
      </c>
      <c r="P137" s="34" t="s">
        <v>50</v>
      </c>
      <c r="Q137" s="33" t="n">
        <f>298.4</f>
        <v>298.4</v>
      </c>
      <c r="R137" s="34" t="s">
        <v>50</v>
      </c>
      <c r="S137" s="35" t="n">
        <f>302.18</f>
        <v>302.18</v>
      </c>
      <c r="T137" s="32" t="n">
        <f>83608110</f>
        <v>8.360811E7</v>
      </c>
      <c r="U137" s="32" t="n">
        <f>79414350</f>
        <v>7.941435E7</v>
      </c>
      <c r="V137" s="32" t="n">
        <f>25256073555</f>
        <v>2.5256073555E10</v>
      </c>
      <c r="W137" s="32" t="n">
        <f>23991559903</f>
        <v>2.3991559903E10</v>
      </c>
      <c r="X137" s="36" t="n">
        <f>20</f>
        <v>20.0</v>
      </c>
    </row>
    <row r="138">
      <c r="A138" s="27" t="s">
        <v>42</v>
      </c>
      <c r="B138" s="27" t="s">
        <v>462</v>
      </c>
      <c r="C138" s="27" t="s">
        <v>463</v>
      </c>
      <c r="D138" s="27" t="s">
        <v>464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1.0</v>
      </c>
      <c r="K138" s="33" t="n">
        <f>5180</f>
        <v>5180.0</v>
      </c>
      <c r="L138" s="34" t="s">
        <v>48</v>
      </c>
      <c r="M138" s="33" t="n">
        <f>5490</f>
        <v>5490.0</v>
      </c>
      <c r="N138" s="34" t="s">
        <v>108</v>
      </c>
      <c r="O138" s="33" t="n">
        <f>5170</f>
        <v>5170.0</v>
      </c>
      <c r="P138" s="34" t="s">
        <v>48</v>
      </c>
      <c r="Q138" s="33" t="n">
        <f>5330</f>
        <v>5330.0</v>
      </c>
      <c r="R138" s="34" t="s">
        <v>50</v>
      </c>
      <c r="S138" s="35" t="n">
        <f>5384.5</f>
        <v>5384.5</v>
      </c>
      <c r="T138" s="32" t="n">
        <f>125779</f>
        <v>125779.0</v>
      </c>
      <c r="U138" s="32" t="n">
        <f>8995</f>
        <v>8995.0</v>
      </c>
      <c r="V138" s="32" t="n">
        <f>675822684</f>
        <v>6.75822684E8</v>
      </c>
      <c r="W138" s="32" t="n">
        <f>47864814</f>
        <v>4.7864814E7</v>
      </c>
      <c r="X138" s="36" t="n">
        <f>20</f>
        <v>20.0</v>
      </c>
    </row>
    <row r="139">
      <c r="A139" s="27" t="s">
        <v>42</v>
      </c>
      <c r="B139" s="27" t="s">
        <v>465</v>
      </c>
      <c r="C139" s="27" t="s">
        <v>466</v>
      </c>
      <c r="D139" s="27" t="s">
        <v>467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2826</f>
        <v>2826.0</v>
      </c>
      <c r="L139" s="34" t="s">
        <v>48</v>
      </c>
      <c r="M139" s="33" t="n">
        <f>2945</f>
        <v>2945.0</v>
      </c>
      <c r="N139" s="34" t="s">
        <v>54</v>
      </c>
      <c r="O139" s="33" t="n">
        <f>2708</f>
        <v>2708.0</v>
      </c>
      <c r="P139" s="34" t="s">
        <v>50</v>
      </c>
      <c r="Q139" s="33" t="n">
        <f>2730</f>
        <v>2730.0</v>
      </c>
      <c r="R139" s="34" t="s">
        <v>50</v>
      </c>
      <c r="S139" s="35" t="n">
        <f>2833.2</f>
        <v>2833.2</v>
      </c>
      <c r="T139" s="32" t="n">
        <f>200055</f>
        <v>200055.0</v>
      </c>
      <c r="U139" s="32" t="n">
        <f>73785</f>
        <v>73785.0</v>
      </c>
      <c r="V139" s="32" t="n">
        <f>563719776</f>
        <v>5.63719776E8</v>
      </c>
      <c r="W139" s="32" t="n">
        <f>207647141</f>
        <v>2.07647141E8</v>
      </c>
      <c r="X139" s="36" t="n">
        <f>20</f>
        <v>20.0</v>
      </c>
    </row>
    <row r="140">
      <c r="A140" s="27" t="s">
        <v>42</v>
      </c>
      <c r="B140" s="27" t="s">
        <v>468</v>
      </c>
      <c r="C140" s="27" t="s">
        <v>469</v>
      </c>
      <c r="D140" s="27" t="s">
        <v>470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3390</f>
        <v>3390.0</v>
      </c>
      <c r="L140" s="34" t="s">
        <v>48</v>
      </c>
      <c r="M140" s="33" t="n">
        <f>3540</f>
        <v>3540.0</v>
      </c>
      <c r="N140" s="34" t="s">
        <v>69</v>
      </c>
      <c r="O140" s="33" t="n">
        <f>3375</f>
        <v>3375.0</v>
      </c>
      <c r="P140" s="34" t="s">
        <v>48</v>
      </c>
      <c r="Q140" s="33" t="n">
        <f>3505</f>
        <v>3505.0</v>
      </c>
      <c r="R140" s="34" t="s">
        <v>50</v>
      </c>
      <c r="S140" s="35" t="n">
        <f>3476.25</f>
        <v>3476.25</v>
      </c>
      <c r="T140" s="32" t="n">
        <f>267371</f>
        <v>267371.0</v>
      </c>
      <c r="U140" s="32" t="str">
        <f>"－"</f>
        <v>－</v>
      </c>
      <c r="V140" s="32" t="n">
        <f>929815370</f>
        <v>9.2981537E8</v>
      </c>
      <c r="W140" s="32" t="str">
        <f>"－"</f>
        <v>－</v>
      </c>
      <c r="X140" s="36" t="n">
        <f>20</f>
        <v>20.0</v>
      </c>
    </row>
    <row r="141">
      <c r="A141" s="27" t="s">
        <v>42</v>
      </c>
      <c r="B141" s="27" t="s">
        <v>471</v>
      </c>
      <c r="C141" s="27" t="s">
        <v>472</v>
      </c>
      <c r="D141" s="27" t="s">
        <v>473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1.0</v>
      </c>
      <c r="K141" s="33" t="n">
        <f>9508</f>
        <v>9508.0</v>
      </c>
      <c r="L141" s="34" t="s">
        <v>48</v>
      </c>
      <c r="M141" s="33" t="n">
        <f>9620</f>
        <v>9620.0</v>
      </c>
      <c r="N141" s="34" t="s">
        <v>158</v>
      </c>
      <c r="O141" s="33" t="n">
        <f>9357</f>
        <v>9357.0</v>
      </c>
      <c r="P141" s="34" t="s">
        <v>108</v>
      </c>
      <c r="Q141" s="33" t="n">
        <f>9526</f>
        <v>9526.0</v>
      </c>
      <c r="R141" s="34" t="s">
        <v>50</v>
      </c>
      <c r="S141" s="35" t="n">
        <f>9504.6</f>
        <v>9504.6</v>
      </c>
      <c r="T141" s="32" t="n">
        <f>195172</f>
        <v>195172.0</v>
      </c>
      <c r="U141" s="32" t="n">
        <f>136490</f>
        <v>136490.0</v>
      </c>
      <c r="V141" s="32" t="n">
        <f>1857689870</f>
        <v>1.85768987E9</v>
      </c>
      <c r="W141" s="32" t="n">
        <f>1300323037</f>
        <v>1.300323037E9</v>
      </c>
      <c r="X141" s="36" t="n">
        <f>20</f>
        <v>20.0</v>
      </c>
    </row>
    <row r="142">
      <c r="A142" s="27" t="s">
        <v>42</v>
      </c>
      <c r="B142" s="27" t="s">
        <v>474</v>
      </c>
      <c r="C142" s="27" t="s">
        <v>475</v>
      </c>
      <c r="D142" s="27" t="s">
        <v>476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3050</f>
        <v>3050.0</v>
      </c>
      <c r="L142" s="34" t="s">
        <v>48</v>
      </c>
      <c r="M142" s="33" t="n">
        <f>3185</f>
        <v>3185.0</v>
      </c>
      <c r="N142" s="34" t="s">
        <v>73</v>
      </c>
      <c r="O142" s="33" t="n">
        <f>2955</f>
        <v>2955.0</v>
      </c>
      <c r="P142" s="34" t="s">
        <v>65</v>
      </c>
      <c r="Q142" s="33" t="n">
        <f>2973</f>
        <v>2973.0</v>
      </c>
      <c r="R142" s="34" t="s">
        <v>50</v>
      </c>
      <c r="S142" s="35" t="n">
        <f>3062.2</f>
        <v>3062.2</v>
      </c>
      <c r="T142" s="32" t="n">
        <f>4046997</f>
        <v>4046997.0</v>
      </c>
      <c r="U142" s="32" t="n">
        <f>150</f>
        <v>150.0</v>
      </c>
      <c r="V142" s="32" t="n">
        <f>12367640213</f>
        <v>1.2367640213E10</v>
      </c>
      <c r="W142" s="32" t="n">
        <f>470220</f>
        <v>470220.0</v>
      </c>
      <c r="X142" s="36" t="n">
        <f>20</f>
        <v>20.0</v>
      </c>
    </row>
    <row r="143">
      <c r="A143" s="27" t="s">
        <v>42</v>
      </c>
      <c r="B143" s="27" t="s">
        <v>477</v>
      </c>
      <c r="C143" s="27" t="s">
        <v>478</v>
      </c>
      <c r="D143" s="27" t="s">
        <v>479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1.0</v>
      </c>
      <c r="K143" s="33" t="n">
        <f>39100</f>
        <v>39100.0</v>
      </c>
      <c r="L143" s="34" t="s">
        <v>48</v>
      </c>
      <c r="M143" s="33" t="n">
        <f>39560</f>
        <v>39560.0</v>
      </c>
      <c r="N143" s="34" t="s">
        <v>158</v>
      </c>
      <c r="O143" s="33" t="n">
        <f>37030</f>
        <v>37030.0</v>
      </c>
      <c r="P143" s="34" t="s">
        <v>65</v>
      </c>
      <c r="Q143" s="33" t="n">
        <f>37300</f>
        <v>37300.0</v>
      </c>
      <c r="R143" s="34" t="s">
        <v>50</v>
      </c>
      <c r="S143" s="35" t="n">
        <f>38041.5</f>
        <v>38041.5</v>
      </c>
      <c r="T143" s="32" t="n">
        <f>14678</f>
        <v>14678.0</v>
      </c>
      <c r="U143" s="32" t="str">
        <f>"－"</f>
        <v>－</v>
      </c>
      <c r="V143" s="32" t="n">
        <f>559878450</f>
        <v>5.5987845E8</v>
      </c>
      <c r="W143" s="32" t="str">
        <f>"－"</f>
        <v>－</v>
      </c>
      <c r="X143" s="36" t="n">
        <f>20</f>
        <v>20.0</v>
      </c>
    </row>
    <row r="144">
      <c r="A144" s="27" t="s">
        <v>42</v>
      </c>
      <c r="B144" s="27" t="s">
        <v>480</v>
      </c>
      <c r="C144" s="27" t="s">
        <v>481</v>
      </c>
      <c r="D144" s="27" t="s">
        <v>482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10.0</v>
      </c>
      <c r="K144" s="33" t="n">
        <f>4550</f>
        <v>4550.0</v>
      </c>
      <c r="L144" s="34" t="s">
        <v>48</v>
      </c>
      <c r="M144" s="33" t="n">
        <f>4595</f>
        <v>4595.0</v>
      </c>
      <c r="N144" s="34" t="s">
        <v>48</v>
      </c>
      <c r="O144" s="33" t="n">
        <f>4136</f>
        <v>4136.0</v>
      </c>
      <c r="P144" s="34" t="s">
        <v>61</v>
      </c>
      <c r="Q144" s="33" t="n">
        <f>4231</f>
        <v>4231.0</v>
      </c>
      <c r="R144" s="34" t="s">
        <v>50</v>
      </c>
      <c r="S144" s="35" t="n">
        <f>4383.25</f>
        <v>4383.25</v>
      </c>
      <c r="T144" s="32" t="n">
        <f>74080</f>
        <v>74080.0</v>
      </c>
      <c r="U144" s="32" t="str">
        <f>"－"</f>
        <v>－</v>
      </c>
      <c r="V144" s="32" t="n">
        <f>325341890</f>
        <v>3.2534189E8</v>
      </c>
      <c r="W144" s="32" t="str">
        <f>"－"</f>
        <v>－</v>
      </c>
      <c r="X144" s="36" t="n">
        <f>20</f>
        <v>20.0</v>
      </c>
    </row>
    <row r="145">
      <c r="A145" s="27" t="s">
        <v>42</v>
      </c>
      <c r="B145" s="27" t="s">
        <v>483</v>
      </c>
      <c r="C145" s="27" t="s">
        <v>484</v>
      </c>
      <c r="D145" s="27" t="s">
        <v>485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1.0</v>
      </c>
      <c r="K145" s="33" t="n">
        <f>14035</f>
        <v>14035.0</v>
      </c>
      <c r="L145" s="34" t="s">
        <v>48</v>
      </c>
      <c r="M145" s="33" t="n">
        <f>14090</f>
        <v>14090.0</v>
      </c>
      <c r="N145" s="34" t="s">
        <v>54</v>
      </c>
      <c r="O145" s="33" t="n">
        <f>12905</f>
        <v>12905.0</v>
      </c>
      <c r="P145" s="34" t="s">
        <v>61</v>
      </c>
      <c r="Q145" s="33" t="n">
        <f>13005</f>
        <v>13005.0</v>
      </c>
      <c r="R145" s="34" t="s">
        <v>50</v>
      </c>
      <c r="S145" s="35" t="n">
        <f>13563</f>
        <v>13563.0</v>
      </c>
      <c r="T145" s="32" t="n">
        <f>8956</f>
        <v>8956.0</v>
      </c>
      <c r="U145" s="32" t="str">
        <f>"－"</f>
        <v>－</v>
      </c>
      <c r="V145" s="32" t="n">
        <f>121161940</f>
        <v>1.2116194E8</v>
      </c>
      <c r="W145" s="32" t="str">
        <f>"－"</f>
        <v>－</v>
      </c>
      <c r="X145" s="36" t="n">
        <f>20</f>
        <v>20.0</v>
      </c>
    </row>
    <row r="146">
      <c r="A146" s="27" t="s">
        <v>42</v>
      </c>
      <c r="B146" s="27" t="s">
        <v>486</v>
      </c>
      <c r="C146" s="27" t="s">
        <v>487</v>
      </c>
      <c r="D146" s="27" t="s">
        <v>488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1.0</v>
      </c>
      <c r="K146" s="33" t="n">
        <f>15920</f>
        <v>15920.0</v>
      </c>
      <c r="L146" s="34" t="s">
        <v>48</v>
      </c>
      <c r="M146" s="33" t="n">
        <f>15920</f>
        <v>15920.0</v>
      </c>
      <c r="N146" s="34" t="s">
        <v>48</v>
      </c>
      <c r="O146" s="33" t="n">
        <f>13340</f>
        <v>13340.0</v>
      </c>
      <c r="P146" s="34" t="s">
        <v>108</v>
      </c>
      <c r="Q146" s="33" t="n">
        <f>13760</f>
        <v>13760.0</v>
      </c>
      <c r="R146" s="34" t="s">
        <v>50</v>
      </c>
      <c r="S146" s="35" t="n">
        <f>14235.25</f>
        <v>14235.25</v>
      </c>
      <c r="T146" s="32" t="n">
        <f>18100</f>
        <v>18100.0</v>
      </c>
      <c r="U146" s="32" t="str">
        <f>"－"</f>
        <v>－</v>
      </c>
      <c r="V146" s="32" t="n">
        <f>257652990</f>
        <v>2.5765299E8</v>
      </c>
      <c r="W146" s="32" t="str">
        <f>"－"</f>
        <v>－</v>
      </c>
      <c r="X146" s="36" t="n">
        <f>20</f>
        <v>20.0</v>
      </c>
    </row>
    <row r="147">
      <c r="A147" s="27" t="s">
        <v>42</v>
      </c>
      <c r="B147" s="27" t="s">
        <v>489</v>
      </c>
      <c r="C147" s="27" t="s">
        <v>490</v>
      </c>
      <c r="D147" s="27" t="s">
        <v>491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1.0</v>
      </c>
      <c r="K147" s="33" t="n">
        <f>25845</f>
        <v>25845.0</v>
      </c>
      <c r="L147" s="34" t="s">
        <v>48</v>
      </c>
      <c r="M147" s="33" t="n">
        <f>25845</f>
        <v>25845.0</v>
      </c>
      <c r="N147" s="34" t="s">
        <v>48</v>
      </c>
      <c r="O147" s="33" t="n">
        <f>23350</f>
        <v>23350.0</v>
      </c>
      <c r="P147" s="34" t="s">
        <v>61</v>
      </c>
      <c r="Q147" s="33" t="n">
        <f>24275</f>
        <v>24275.0</v>
      </c>
      <c r="R147" s="34" t="s">
        <v>50</v>
      </c>
      <c r="S147" s="35" t="n">
        <f>24784.75</f>
        <v>24784.75</v>
      </c>
      <c r="T147" s="32" t="n">
        <f>795</f>
        <v>795.0</v>
      </c>
      <c r="U147" s="32" t="str">
        <f>"－"</f>
        <v>－</v>
      </c>
      <c r="V147" s="32" t="n">
        <f>19593745</f>
        <v>1.9593745E7</v>
      </c>
      <c r="W147" s="32" t="str">
        <f>"－"</f>
        <v>－</v>
      </c>
      <c r="X147" s="36" t="n">
        <f>20</f>
        <v>20.0</v>
      </c>
    </row>
    <row r="148">
      <c r="A148" s="27" t="s">
        <v>42</v>
      </c>
      <c r="B148" s="27" t="s">
        <v>492</v>
      </c>
      <c r="C148" s="27" t="s">
        <v>493</v>
      </c>
      <c r="D148" s="27" t="s">
        <v>494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10.0</v>
      </c>
      <c r="K148" s="33" t="n">
        <f>56310</f>
        <v>56310.0</v>
      </c>
      <c r="L148" s="34" t="s">
        <v>48</v>
      </c>
      <c r="M148" s="33" t="n">
        <f>57000</f>
        <v>57000.0</v>
      </c>
      <c r="N148" s="34" t="s">
        <v>104</v>
      </c>
      <c r="O148" s="33" t="n">
        <f>55380</f>
        <v>55380.0</v>
      </c>
      <c r="P148" s="34" t="s">
        <v>121</v>
      </c>
      <c r="Q148" s="33" t="n">
        <f>55850</f>
        <v>55850.0</v>
      </c>
      <c r="R148" s="34" t="s">
        <v>61</v>
      </c>
      <c r="S148" s="35" t="n">
        <f>56432.11</f>
        <v>56432.11</v>
      </c>
      <c r="T148" s="32" t="n">
        <f>2910</f>
        <v>2910.0</v>
      </c>
      <c r="U148" s="32" t="n">
        <f>10</f>
        <v>10.0</v>
      </c>
      <c r="V148" s="32" t="n">
        <f>164235800</f>
        <v>1.642358E8</v>
      </c>
      <c r="W148" s="32" t="n">
        <f>563900</f>
        <v>563900.0</v>
      </c>
      <c r="X148" s="36" t="n">
        <f>19</f>
        <v>19.0</v>
      </c>
    </row>
    <row r="149">
      <c r="A149" s="27" t="s">
        <v>42</v>
      </c>
      <c r="B149" s="27" t="s">
        <v>495</v>
      </c>
      <c r="C149" s="27" t="s">
        <v>496</v>
      </c>
      <c r="D149" s="27" t="s">
        <v>497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10.0</v>
      </c>
      <c r="K149" s="33" t="n">
        <f>366.9</f>
        <v>366.9</v>
      </c>
      <c r="L149" s="34" t="s">
        <v>48</v>
      </c>
      <c r="M149" s="33" t="n">
        <f>375.5</f>
        <v>375.5</v>
      </c>
      <c r="N149" s="34" t="s">
        <v>73</v>
      </c>
      <c r="O149" s="33" t="n">
        <f>356.3</f>
        <v>356.3</v>
      </c>
      <c r="P149" s="34" t="s">
        <v>50</v>
      </c>
      <c r="Q149" s="33" t="n">
        <f>358.6</f>
        <v>358.6</v>
      </c>
      <c r="R149" s="34" t="s">
        <v>50</v>
      </c>
      <c r="S149" s="35" t="n">
        <f>365.15</f>
        <v>365.15</v>
      </c>
      <c r="T149" s="32" t="n">
        <f>38126610</f>
        <v>3.812661E7</v>
      </c>
      <c r="U149" s="32" t="n">
        <f>5330</f>
        <v>5330.0</v>
      </c>
      <c r="V149" s="32" t="n">
        <f>13917472038</f>
        <v>1.3917472038E10</v>
      </c>
      <c r="W149" s="32" t="n">
        <f>1942038</f>
        <v>1942038.0</v>
      </c>
      <c r="X149" s="36" t="n">
        <f>20</f>
        <v>20.0</v>
      </c>
    </row>
    <row r="150">
      <c r="A150" s="27" t="s">
        <v>42</v>
      </c>
      <c r="B150" s="27" t="s">
        <v>498</v>
      </c>
      <c r="C150" s="27" t="s">
        <v>499</v>
      </c>
      <c r="D150" s="27" t="s">
        <v>500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10.0</v>
      </c>
      <c r="K150" s="33" t="n">
        <f>53120</f>
        <v>53120.0</v>
      </c>
      <c r="L150" s="34" t="s">
        <v>48</v>
      </c>
      <c r="M150" s="33" t="n">
        <f>57550</f>
        <v>57550.0</v>
      </c>
      <c r="N150" s="34" t="s">
        <v>158</v>
      </c>
      <c r="O150" s="33" t="n">
        <f>53090</f>
        <v>53090.0</v>
      </c>
      <c r="P150" s="34" t="s">
        <v>48</v>
      </c>
      <c r="Q150" s="33" t="n">
        <f>56740</f>
        <v>56740.0</v>
      </c>
      <c r="R150" s="34" t="s">
        <v>61</v>
      </c>
      <c r="S150" s="35" t="n">
        <f>56050.63</f>
        <v>56050.63</v>
      </c>
      <c r="T150" s="32" t="n">
        <f>25730</f>
        <v>25730.0</v>
      </c>
      <c r="U150" s="32" t="n">
        <f>22500</f>
        <v>22500.0</v>
      </c>
      <c r="V150" s="32" t="n">
        <f>1466153000</f>
        <v>1.466153E9</v>
      </c>
      <c r="W150" s="32" t="n">
        <f>1284250500</f>
        <v>1.2842505E9</v>
      </c>
      <c r="X150" s="36" t="n">
        <f>16</f>
        <v>16.0</v>
      </c>
    </row>
    <row r="151">
      <c r="A151" s="27" t="s">
        <v>42</v>
      </c>
      <c r="B151" s="27" t="s">
        <v>501</v>
      </c>
      <c r="C151" s="27" t="s">
        <v>502</v>
      </c>
      <c r="D151" s="27" t="s">
        <v>503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5966</f>
        <v>5966.0</v>
      </c>
      <c r="L151" s="34" t="s">
        <v>48</v>
      </c>
      <c r="M151" s="33" t="n">
        <f>6322</f>
        <v>6322.0</v>
      </c>
      <c r="N151" s="34" t="s">
        <v>108</v>
      </c>
      <c r="O151" s="33" t="n">
        <f>5951</f>
        <v>5951.0</v>
      </c>
      <c r="P151" s="34" t="s">
        <v>48</v>
      </c>
      <c r="Q151" s="33" t="n">
        <f>6140</f>
        <v>6140.0</v>
      </c>
      <c r="R151" s="34" t="s">
        <v>50</v>
      </c>
      <c r="S151" s="35" t="n">
        <f>6203.15</f>
        <v>6203.15</v>
      </c>
      <c r="T151" s="32" t="n">
        <f>75060</f>
        <v>75060.0</v>
      </c>
      <c r="U151" s="32" t="str">
        <f>"－"</f>
        <v>－</v>
      </c>
      <c r="V151" s="32" t="n">
        <f>465706800</f>
        <v>4.657068E8</v>
      </c>
      <c r="W151" s="32" t="str">
        <f>"－"</f>
        <v>－</v>
      </c>
      <c r="X151" s="36" t="n">
        <f>20</f>
        <v>20.0</v>
      </c>
    </row>
    <row r="152">
      <c r="A152" s="27" t="s">
        <v>42</v>
      </c>
      <c r="B152" s="27" t="s">
        <v>504</v>
      </c>
      <c r="C152" s="27" t="s">
        <v>505</v>
      </c>
      <c r="D152" s="27" t="s">
        <v>506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10.0</v>
      </c>
      <c r="K152" s="33" t="n">
        <f>2166</f>
        <v>2166.0</v>
      </c>
      <c r="L152" s="34" t="s">
        <v>48</v>
      </c>
      <c r="M152" s="33" t="n">
        <f>2245</f>
        <v>2245.0</v>
      </c>
      <c r="N152" s="34" t="s">
        <v>54</v>
      </c>
      <c r="O152" s="33" t="n">
        <f>2059.5</f>
        <v>2059.5</v>
      </c>
      <c r="P152" s="34" t="s">
        <v>50</v>
      </c>
      <c r="Q152" s="33" t="n">
        <f>2075</f>
        <v>2075.0</v>
      </c>
      <c r="R152" s="34" t="s">
        <v>50</v>
      </c>
      <c r="S152" s="35" t="n">
        <f>2158.08</f>
        <v>2158.08</v>
      </c>
      <c r="T152" s="32" t="n">
        <f>164890</f>
        <v>164890.0</v>
      </c>
      <c r="U152" s="32" t="n">
        <f>26400</f>
        <v>26400.0</v>
      </c>
      <c r="V152" s="32" t="n">
        <f>355412040</f>
        <v>3.5541204E8</v>
      </c>
      <c r="W152" s="32" t="n">
        <f>57228540</f>
        <v>5.722854E7</v>
      </c>
      <c r="X152" s="36" t="n">
        <f>20</f>
        <v>20.0</v>
      </c>
    </row>
    <row r="153">
      <c r="A153" s="27" t="s">
        <v>42</v>
      </c>
      <c r="B153" s="27" t="s">
        <v>507</v>
      </c>
      <c r="C153" s="27" t="s">
        <v>508</v>
      </c>
      <c r="D153" s="27" t="s">
        <v>509</v>
      </c>
      <c r="E153" s="28" t="s">
        <v>46</v>
      </c>
      <c r="F153" s="29" t="s">
        <v>46</v>
      </c>
      <c r="G153" s="30" t="s">
        <v>46</v>
      </c>
      <c r="H153" s="31"/>
      <c r="I153" s="31" t="s">
        <v>47</v>
      </c>
      <c r="J153" s="32" t="n">
        <v>10.0</v>
      </c>
      <c r="K153" s="33" t="n">
        <f>1713</f>
        <v>1713.0</v>
      </c>
      <c r="L153" s="34" t="s">
        <v>48</v>
      </c>
      <c r="M153" s="33" t="n">
        <f>1755.5</f>
        <v>1755.5</v>
      </c>
      <c r="N153" s="34" t="s">
        <v>54</v>
      </c>
      <c r="O153" s="33" t="n">
        <f>1662</f>
        <v>1662.0</v>
      </c>
      <c r="P153" s="34" t="s">
        <v>49</v>
      </c>
      <c r="Q153" s="33" t="n">
        <f>1711.5</f>
        <v>1711.5</v>
      </c>
      <c r="R153" s="34" t="s">
        <v>50</v>
      </c>
      <c r="S153" s="35" t="n">
        <f>1720.5</f>
        <v>1720.5</v>
      </c>
      <c r="T153" s="32" t="n">
        <f>340</f>
        <v>340.0</v>
      </c>
      <c r="U153" s="32" t="str">
        <f>"－"</f>
        <v>－</v>
      </c>
      <c r="V153" s="32" t="n">
        <f>583425</f>
        <v>583425.0</v>
      </c>
      <c r="W153" s="32" t="str">
        <f>"－"</f>
        <v>－</v>
      </c>
      <c r="X153" s="36" t="n">
        <f>10</f>
        <v>10.0</v>
      </c>
    </row>
    <row r="154">
      <c r="A154" s="27" t="s">
        <v>42</v>
      </c>
      <c r="B154" s="27" t="s">
        <v>510</v>
      </c>
      <c r="C154" s="27" t="s">
        <v>511</v>
      </c>
      <c r="D154" s="27" t="s">
        <v>512</v>
      </c>
      <c r="E154" s="28" t="s">
        <v>46</v>
      </c>
      <c r="F154" s="29" t="s">
        <v>46</v>
      </c>
      <c r="G154" s="30" t="s">
        <v>46</v>
      </c>
      <c r="H154" s="31"/>
      <c r="I154" s="31" t="s">
        <v>47</v>
      </c>
      <c r="J154" s="32" t="n">
        <v>10.0</v>
      </c>
      <c r="K154" s="33" t="n">
        <f>506</f>
        <v>506.0</v>
      </c>
      <c r="L154" s="34" t="s">
        <v>48</v>
      </c>
      <c r="M154" s="33" t="n">
        <f>540.3</f>
        <v>540.3</v>
      </c>
      <c r="N154" s="34" t="s">
        <v>158</v>
      </c>
      <c r="O154" s="33" t="n">
        <f>501.8</f>
        <v>501.8</v>
      </c>
      <c r="P154" s="34" t="s">
        <v>108</v>
      </c>
      <c r="Q154" s="33" t="n">
        <f>510.1</f>
        <v>510.1</v>
      </c>
      <c r="R154" s="34" t="s">
        <v>50</v>
      </c>
      <c r="S154" s="35" t="n">
        <f>517.55</f>
        <v>517.55</v>
      </c>
      <c r="T154" s="32" t="n">
        <f>66560</f>
        <v>66560.0</v>
      </c>
      <c r="U154" s="32" t="str">
        <f>"－"</f>
        <v>－</v>
      </c>
      <c r="V154" s="32" t="n">
        <f>34706854</f>
        <v>3.4706854E7</v>
      </c>
      <c r="W154" s="32" t="str">
        <f>"－"</f>
        <v>－</v>
      </c>
      <c r="X154" s="36" t="n">
        <f>20</f>
        <v>20.0</v>
      </c>
    </row>
    <row r="155">
      <c r="A155" s="27" t="s">
        <v>42</v>
      </c>
      <c r="B155" s="27" t="s">
        <v>513</v>
      </c>
      <c r="C155" s="27" t="s">
        <v>514</v>
      </c>
      <c r="D155" s="27" t="s">
        <v>515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10.0</v>
      </c>
      <c r="K155" s="33" t="n">
        <f>2369</f>
        <v>2369.0</v>
      </c>
      <c r="L155" s="34" t="s">
        <v>48</v>
      </c>
      <c r="M155" s="33" t="n">
        <f>2425</f>
        <v>2425.0</v>
      </c>
      <c r="N155" s="34" t="s">
        <v>73</v>
      </c>
      <c r="O155" s="33" t="n">
        <f>2287</f>
        <v>2287.0</v>
      </c>
      <c r="P155" s="34" t="s">
        <v>50</v>
      </c>
      <c r="Q155" s="33" t="n">
        <f>2290</f>
        <v>2290.0</v>
      </c>
      <c r="R155" s="34" t="s">
        <v>50</v>
      </c>
      <c r="S155" s="35" t="n">
        <f>2351.3</f>
        <v>2351.3</v>
      </c>
      <c r="T155" s="32" t="n">
        <f>1740</f>
        <v>1740.0</v>
      </c>
      <c r="U155" s="32" t="str">
        <f>"－"</f>
        <v>－</v>
      </c>
      <c r="V155" s="32" t="n">
        <f>4069275</f>
        <v>4069275.0</v>
      </c>
      <c r="W155" s="32" t="str">
        <f>"－"</f>
        <v>－</v>
      </c>
      <c r="X155" s="36" t="n">
        <f>20</f>
        <v>20.0</v>
      </c>
    </row>
    <row r="156">
      <c r="A156" s="27" t="s">
        <v>42</v>
      </c>
      <c r="B156" s="27" t="s">
        <v>516</v>
      </c>
      <c r="C156" s="27" t="s">
        <v>517</v>
      </c>
      <c r="D156" s="27" t="s">
        <v>518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10.0</v>
      </c>
      <c r="K156" s="33" t="n">
        <f>891.1</f>
        <v>891.1</v>
      </c>
      <c r="L156" s="34" t="s">
        <v>48</v>
      </c>
      <c r="M156" s="33" t="n">
        <f>933.6</f>
        <v>933.6</v>
      </c>
      <c r="N156" s="34" t="s">
        <v>519</v>
      </c>
      <c r="O156" s="33" t="n">
        <f>888.1</f>
        <v>888.1</v>
      </c>
      <c r="P156" s="34" t="s">
        <v>121</v>
      </c>
      <c r="Q156" s="33" t="n">
        <f>900</f>
        <v>900.0</v>
      </c>
      <c r="R156" s="34" t="s">
        <v>50</v>
      </c>
      <c r="S156" s="35" t="n">
        <f>916.27</f>
        <v>916.27</v>
      </c>
      <c r="T156" s="32" t="n">
        <f>31320</f>
        <v>31320.0</v>
      </c>
      <c r="U156" s="32" t="str">
        <f>"－"</f>
        <v>－</v>
      </c>
      <c r="V156" s="32" t="n">
        <f>28672768</f>
        <v>2.8672768E7</v>
      </c>
      <c r="W156" s="32" t="str">
        <f>"－"</f>
        <v>－</v>
      </c>
      <c r="X156" s="36" t="n">
        <f>20</f>
        <v>20.0</v>
      </c>
    </row>
    <row r="157">
      <c r="A157" s="27" t="s">
        <v>42</v>
      </c>
      <c r="B157" s="27" t="s">
        <v>520</v>
      </c>
      <c r="C157" s="27" t="s">
        <v>521</v>
      </c>
      <c r="D157" s="27" t="s">
        <v>522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10.0</v>
      </c>
      <c r="K157" s="33" t="n">
        <f>524.8</f>
        <v>524.8</v>
      </c>
      <c r="L157" s="34" t="s">
        <v>48</v>
      </c>
      <c r="M157" s="33" t="n">
        <f>545.6</f>
        <v>545.6</v>
      </c>
      <c r="N157" s="34" t="s">
        <v>87</v>
      </c>
      <c r="O157" s="33" t="n">
        <f>507</f>
        <v>507.0</v>
      </c>
      <c r="P157" s="34" t="s">
        <v>50</v>
      </c>
      <c r="Q157" s="33" t="n">
        <f>509.3</f>
        <v>509.3</v>
      </c>
      <c r="R157" s="34" t="s">
        <v>50</v>
      </c>
      <c r="S157" s="35" t="n">
        <f>530.48</f>
        <v>530.48</v>
      </c>
      <c r="T157" s="32" t="n">
        <f>96840</f>
        <v>96840.0</v>
      </c>
      <c r="U157" s="32" t="str">
        <f>"－"</f>
        <v>－</v>
      </c>
      <c r="V157" s="32" t="n">
        <f>51469434</f>
        <v>5.1469434E7</v>
      </c>
      <c r="W157" s="32" t="str">
        <f>"－"</f>
        <v>－</v>
      </c>
      <c r="X157" s="36" t="n">
        <f>20</f>
        <v>20.0</v>
      </c>
    </row>
    <row r="158">
      <c r="A158" s="27" t="s">
        <v>42</v>
      </c>
      <c r="B158" s="27" t="s">
        <v>523</v>
      </c>
      <c r="C158" s="27" t="s">
        <v>524</v>
      </c>
      <c r="D158" s="27" t="s">
        <v>525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1.0</v>
      </c>
      <c r="K158" s="33" t="n">
        <f>961</f>
        <v>961.0</v>
      </c>
      <c r="L158" s="34" t="s">
        <v>48</v>
      </c>
      <c r="M158" s="33" t="n">
        <f>1172</f>
        <v>1172.0</v>
      </c>
      <c r="N158" s="34" t="s">
        <v>94</v>
      </c>
      <c r="O158" s="33" t="n">
        <f>952</f>
        <v>952.0</v>
      </c>
      <c r="P158" s="34" t="s">
        <v>69</v>
      </c>
      <c r="Q158" s="33" t="n">
        <f>1054</f>
        <v>1054.0</v>
      </c>
      <c r="R158" s="34" t="s">
        <v>50</v>
      </c>
      <c r="S158" s="35" t="n">
        <f>1041.85</f>
        <v>1041.85</v>
      </c>
      <c r="T158" s="32" t="n">
        <f>1020921</f>
        <v>1020921.0</v>
      </c>
      <c r="U158" s="32" t="str">
        <f>"－"</f>
        <v>－</v>
      </c>
      <c r="V158" s="32" t="n">
        <f>1064422087</f>
        <v>1.064422087E9</v>
      </c>
      <c r="W158" s="32" t="str">
        <f>"－"</f>
        <v>－</v>
      </c>
      <c r="X158" s="36" t="n">
        <f>20</f>
        <v>20.0</v>
      </c>
    </row>
    <row r="159">
      <c r="A159" s="27" t="s">
        <v>42</v>
      </c>
      <c r="B159" s="27" t="s">
        <v>526</v>
      </c>
      <c r="C159" s="27" t="s">
        <v>527</v>
      </c>
      <c r="D159" s="27" t="s">
        <v>528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10.0</v>
      </c>
      <c r="K159" s="33" t="n">
        <f>1456</f>
        <v>1456.0</v>
      </c>
      <c r="L159" s="34" t="s">
        <v>48</v>
      </c>
      <c r="M159" s="33" t="n">
        <f>1523</f>
        <v>1523.0</v>
      </c>
      <c r="N159" s="34" t="s">
        <v>73</v>
      </c>
      <c r="O159" s="33" t="n">
        <f>1423</f>
        <v>1423.0</v>
      </c>
      <c r="P159" s="34" t="s">
        <v>65</v>
      </c>
      <c r="Q159" s="33" t="n">
        <f>1428</f>
        <v>1428.0</v>
      </c>
      <c r="R159" s="34" t="s">
        <v>50</v>
      </c>
      <c r="S159" s="35" t="n">
        <f>1468.83</f>
        <v>1468.83</v>
      </c>
      <c r="T159" s="32" t="n">
        <f>56720</f>
        <v>56720.0</v>
      </c>
      <c r="U159" s="32" t="str">
        <f>"－"</f>
        <v>－</v>
      </c>
      <c r="V159" s="32" t="n">
        <f>83732070</f>
        <v>8.373207E7</v>
      </c>
      <c r="W159" s="32" t="str">
        <f>"－"</f>
        <v>－</v>
      </c>
      <c r="X159" s="36" t="n">
        <f>20</f>
        <v>20.0</v>
      </c>
    </row>
    <row r="160">
      <c r="A160" s="27" t="s">
        <v>42</v>
      </c>
      <c r="B160" s="27" t="s">
        <v>529</v>
      </c>
      <c r="C160" s="27" t="s">
        <v>530</v>
      </c>
      <c r="D160" s="27" t="s">
        <v>531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1.0</v>
      </c>
      <c r="K160" s="33" t="n">
        <f>7895</f>
        <v>7895.0</v>
      </c>
      <c r="L160" s="34" t="s">
        <v>48</v>
      </c>
      <c r="M160" s="33" t="n">
        <f>8299</f>
        <v>8299.0</v>
      </c>
      <c r="N160" s="34" t="s">
        <v>54</v>
      </c>
      <c r="O160" s="33" t="n">
        <f>7525</f>
        <v>7525.0</v>
      </c>
      <c r="P160" s="34" t="s">
        <v>61</v>
      </c>
      <c r="Q160" s="33" t="n">
        <f>7550</f>
        <v>7550.0</v>
      </c>
      <c r="R160" s="34" t="s">
        <v>50</v>
      </c>
      <c r="S160" s="35" t="n">
        <f>7880.2</f>
        <v>7880.2</v>
      </c>
      <c r="T160" s="32" t="n">
        <f>4656</f>
        <v>4656.0</v>
      </c>
      <c r="U160" s="32" t="str">
        <f>"－"</f>
        <v>－</v>
      </c>
      <c r="V160" s="32" t="n">
        <f>36639640</f>
        <v>3.663964E7</v>
      </c>
      <c r="W160" s="32" t="str">
        <f>"－"</f>
        <v>－</v>
      </c>
      <c r="X160" s="36" t="n">
        <f>20</f>
        <v>20.0</v>
      </c>
    </row>
    <row r="161">
      <c r="A161" s="27" t="s">
        <v>42</v>
      </c>
      <c r="B161" s="27" t="s">
        <v>532</v>
      </c>
      <c r="C161" s="27" t="s">
        <v>533</v>
      </c>
      <c r="D161" s="27" t="s">
        <v>534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100.0</v>
      </c>
      <c r="K161" s="33" t="n">
        <f>516.1</f>
        <v>516.1</v>
      </c>
      <c r="L161" s="34" t="s">
        <v>48</v>
      </c>
      <c r="M161" s="33" t="n">
        <f>539.9</f>
        <v>539.9</v>
      </c>
      <c r="N161" s="34" t="s">
        <v>65</v>
      </c>
      <c r="O161" s="33" t="n">
        <f>488.9</f>
        <v>488.9</v>
      </c>
      <c r="P161" s="34" t="s">
        <v>61</v>
      </c>
      <c r="Q161" s="33" t="n">
        <f>509.9</f>
        <v>509.9</v>
      </c>
      <c r="R161" s="34" t="s">
        <v>50</v>
      </c>
      <c r="S161" s="35" t="n">
        <f>520.2</f>
        <v>520.2</v>
      </c>
      <c r="T161" s="32" t="n">
        <f>77600</f>
        <v>77600.0</v>
      </c>
      <c r="U161" s="32" t="str">
        <f>"－"</f>
        <v>－</v>
      </c>
      <c r="V161" s="32" t="n">
        <f>40514320</f>
        <v>4.051432E7</v>
      </c>
      <c r="W161" s="32" t="str">
        <f>"－"</f>
        <v>－</v>
      </c>
      <c r="X161" s="36" t="n">
        <f>20</f>
        <v>20.0</v>
      </c>
    </row>
    <row r="162">
      <c r="A162" s="27" t="s">
        <v>42</v>
      </c>
      <c r="B162" s="27" t="s">
        <v>535</v>
      </c>
      <c r="C162" s="27" t="s">
        <v>536</v>
      </c>
      <c r="D162" s="27" t="s">
        <v>537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10.0</v>
      </c>
      <c r="K162" s="33" t="n">
        <f>5993</f>
        <v>5993.0</v>
      </c>
      <c r="L162" s="34" t="s">
        <v>48</v>
      </c>
      <c r="M162" s="33" t="n">
        <f>6163</f>
        <v>6163.0</v>
      </c>
      <c r="N162" s="34" t="s">
        <v>121</v>
      </c>
      <c r="O162" s="33" t="n">
        <f>5504</f>
        <v>5504.0</v>
      </c>
      <c r="P162" s="34" t="s">
        <v>50</v>
      </c>
      <c r="Q162" s="33" t="n">
        <f>5578</f>
        <v>5578.0</v>
      </c>
      <c r="R162" s="34" t="s">
        <v>50</v>
      </c>
      <c r="S162" s="35" t="n">
        <f>5828.45</f>
        <v>5828.45</v>
      </c>
      <c r="T162" s="32" t="n">
        <f>62150</f>
        <v>62150.0</v>
      </c>
      <c r="U162" s="32" t="str">
        <f>"－"</f>
        <v>－</v>
      </c>
      <c r="V162" s="32" t="n">
        <f>361799790</f>
        <v>3.6179979E8</v>
      </c>
      <c r="W162" s="32" t="str">
        <f>"－"</f>
        <v>－</v>
      </c>
      <c r="X162" s="36" t="n">
        <f>20</f>
        <v>20.0</v>
      </c>
    </row>
    <row r="163">
      <c r="A163" s="27" t="s">
        <v>42</v>
      </c>
      <c r="B163" s="27" t="s">
        <v>538</v>
      </c>
      <c r="C163" s="27" t="s">
        <v>539</v>
      </c>
      <c r="D163" s="27" t="s">
        <v>540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10.0</v>
      </c>
      <c r="K163" s="33" t="n">
        <f>2179.5</f>
        <v>2179.5</v>
      </c>
      <c r="L163" s="34" t="s">
        <v>48</v>
      </c>
      <c r="M163" s="33" t="n">
        <f>2317</f>
        <v>2317.0</v>
      </c>
      <c r="N163" s="34" t="s">
        <v>54</v>
      </c>
      <c r="O163" s="33" t="n">
        <f>2094.5</f>
        <v>2094.5</v>
      </c>
      <c r="P163" s="34" t="s">
        <v>162</v>
      </c>
      <c r="Q163" s="33" t="n">
        <f>2177</f>
        <v>2177.0</v>
      </c>
      <c r="R163" s="34" t="s">
        <v>50</v>
      </c>
      <c r="S163" s="35" t="n">
        <f>2225.78</f>
        <v>2225.78</v>
      </c>
      <c r="T163" s="32" t="n">
        <f>13830</f>
        <v>13830.0</v>
      </c>
      <c r="U163" s="32" t="str">
        <f>"－"</f>
        <v>－</v>
      </c>
      <c r="V163" s="32" t="n">
        <f>30543850</f>
        <v>3.054385E7</v>
      </c>
      <c r="W163" s="32" t="str">
        <f>"－"</f>
        <v>－</v>
      </c>
      <c r="X163" s="36" t="n">
        <f>20</f>
        <v>20.0</v>
      </c>
    </row>
    <row r="164">
      <c r="A164" s="27" t="s">
        <v>42</v>
      </c>
      <c r="B164" s="27" t="s">
        <v>541</v>
      </c>
      <c r="C164" s="27" t="s">
        <v>542</v>
      </c>
      <c r="D164" s="27" t="s">
        <v>543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1.0</v>
      </c>
      <c r="K164" s="33" t="n">
        <f>3350</f>
        <v>3350.0</v>
      </c>
      <c r="L164" s="34" t="s">
        <v>48</v>
      </c>
      <c r="M164" s="33" t="n">
        <f>3420</f>
        <v>3420.0</v>
      </c>
      <c r="N164" s="34" t="s">
        <v>73</v>
      </c>
      <c r="O164" s="33" t="n">
        <f>3085</f>
        <v>3085.0</v>
      </c>
      <c r="P164" s="34" t="s">
        <v>50</v>
      </c>
      <c r="Q164" s="33" t="n">
        <f>3095</f>
        <v>3095.0</v>
      </c>
      <c r="R164" s="34" t="s">
        <v>50</v>
      </c>
      <c r="S164" s="35" t="n">
        <f>3272.5</f>
        <v>3272.5</v>
      </c>
      <c r="T164" s="32" t="n">
        <f>181965</f>
        <v>181965.0</v>
      </c>
      <c r="U164" s="32" t="str">
        <f>"－"</f>
        <v>－</v>
      </c>
      <c r="V164" s="32" t="n">
        <f>595025530</f>
        <v>5.9502553E8</v>
      </c>
      <c r="W164" s="32" t="str">
        <f>"－"</f>
        <v>－</v>
      </c>
      <c r="X164" s="36" t="n">
        <f>20</f>
        <v>20.0</v>
      </c>
    </row>
    <row r="165">
      <c r="A165" s="27" t="s">
        <v>42</v>
      </c>
      <c r="B165" s="27" t="s">
        <v>544</v>
      </c>
      <c r="C165" s="27" t="s">
        <v>545</v>
      </c>
      <c r="D165" s="27" t="s">
        <v>546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1.0</v>
      </c>
      <c r="K165" s="33" t="n">
        <f>2962</f>
        <v>2962.0</v>
      </c>
      <c r="L165" s="34" t="s">
        <v>48</v>
      </c>
      <c r="M165" s="33" t="n">
        <f>3145</f>
        <v>3145.0</v>
      </c>
      <c r="N165" s="34" t="s">
        <v>397</v>
      </c>
      <c r="O165" s="33" t="n">
        <f>2900</f>
        <v>2900.0</v>
      </c>
      <c r="P165" s="34" t="s">
        <v>61</v>
      </c>
      <c r="Q165" s="33" t="n">
        <f>2950</f>
        <v>2950.0</v>
      </c>
      <c r="R165" s="34" t="s">
        <v>50</v>
      </c>
      <c r="S165" s="35" t="n">
        <f>3063.15</f>
        <v>3063.15</v>
      </c>
      <c r="T165" s="32" t="n">
        <f>44960</f>
        <v>44960.0</v>
      </c>
      <c r="U165" s="32" t="str">
        <f>"－"</f>
        <v>－</v>
      </c>
      <c r="V165" s="32" t="n">
        <f>137853114</f>
        <v>1.37853114E8</v>
      </c>
      <c r="W165" s="32" t="str">
        <f>"－"</f>
        <v>－</v>
      </c>
      <c r="X165" s="36" t="n">
        <f>20</f>
        <v>20.0</v>
      </c>
    </row>
    <row r="166">
      <c r="A166" s="27" t="s">
        <v>42</v>
      </c>
      <c r="B166" s="27" t="s">
        <v>547</v>
      </c>
      <c r="C166" s="27" t="s">
        <v>548</v>
      </c>
      <c r="D166" s="27" t="s">
        <v>549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10.0</v>
      </c>
      <c r="K166" s="33" t="n">
        <f>3741</f>
        <v>3741.0</v>
      </c>
      <c r="L166" s="34" t="s">
        <v>48</v>
      </c>
      <c r="M166" s="33" t="n">
        <f>3927</f>
        <v>3927.0</v>
      </c>
      <c r="N166" s="34" t="s">
        <v>87</v>
      </c>
      <c r="O166" s="33" t="n">
        <f>3650</f>
        <v>3650.0</v>
      </c>
      <c r="P166" s="34" t="s">
        <v>50</v>
      </c>
      <c r="Q166" s="33" t="n">
        <f>3650</f>
        <v>3650.0</v>
      </c>
      <c r="R166" s="34" t="s">
        <v>50</v>
      </c>
      <c r="S166" s="35" t="n">
        <f>3766.25</f>
        <v>3766.25</v>
      </c>
      <c r="T166" s="32" t="n">
        <f>31660</f>
        <v>31660.0</v>
      </c>
      <c r="U166" s="32" t="str">
        <f>"－"</f>
        <v>－</v>
      </c>
      <c r="V166" s="32" t="n">
        <f>119490980</f>
        <v>1.1949098E8</v>
      </c>
      <c r="W166" s="32" t="str">
        <f>"－"</f>
        <v>－</v>
      </c>
      <c r="X166" s="36" t="n">
        <f>20</f>
        <v>20.0</v>
      </c>
    </row>
    <row r="167">
      <c r="A167" s="27" t="s">
        <v>42</v>
      </c>
      <c r="B167" s="27" t="s">
        <v>550</v>
      </c>
      <c r="C167" s="27" t="s">
        <v>551</v>
      </c>
      <c r="D167" s="27" t="s">
        <v>552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10.0</v>
      </c>
      <c r="K167" s="33" t="n">
        <f>2922</f>
        <v>2922.0</v>
      </c>
      <c r="L167" s="34" t="s">
        <v>48</v>
      </c>
      <c r="M167" s="33" t="n">
        <f>3020</f>
        <v>3020.0</v>
      </c>
      <c r="N167" s="34" t="s">
        <v>54</v>
      </c>
      <c r="O167" s="33" t="n">
        <f>2908.5</f>
        <v>2908.5</v>
      </c>
      <c r="P167" s="34" t="s">
        <v>48</v>
      </c>
      <c r="Q167" s="33" t="n">
        <f>2944</f>
        <v>2944.0</v>
      </c>
      <c r="R167" s="34" t="s">
        <v>50</v>
      </c>
      <c r="S167" s="35" t="n">
        <f>2969.3</f>
        <v>2969.3</v>
      </c>
      <c r="T167" s="32" t="n">
        <f>383660</f>
        <v>383660.0</v>
      </c>
      <c r="U167" s="32" t="n">
        <f>254360</f>
        <v>254360.0</v>
      </c>
      <c r="V167" s="32" t="n">
        <f>1138887711</f>
        <v>1.138887711E9</v>
      </c>
      <c r="W167" s="32" t="n">
        <f>755309591</f>
        <v>7.55309591E8</v>
      </c>
      <c r="X167" s="36" t="n">
        <f>20</f>
        <v>20.0</v>
      </c>
    </row>
    <row r="168">
      <c r="A168" s="27" t="s">
        <v>42</v>
      </c>
      <c r="B168" s="27" t="s">
        <v>553</v>
      </c>
      <c r="C168" s="27" t="s">
        <v>554</v>
      </c>
      <c r="D168" s="27" t="s">
        <v>555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10.0</v>
      </c>
      <c r="K168" s="33" t="n">
        <f>403.8</f>
        <v>403.8</v>
      </c>
      <c r="L168" s="34" t="s">
        <v>48</v>
      </c>
      <c r="M168" s="33" t="n">
        <f>420.6</f>
        <v>420.6</v>
      </c>
      <c r="N168" s="34" t="s">
        <v>73</v>
      </c>
      <c r="O168" s="33" t="n">
        <f>392</f>
        <v>392.0</v>
      </c>
      <c r="P168" s="34" t="s">
        <v>50</v>
      </c>
      <c r="Q168" s="33" t="n">
        <f>394.4</f>
        <v>394.4</v>
      </c>
      <c r="R168" s="34" t="s">
        <v>50</v>
      </c>
      <c r="S168" s="35" t="n">
        <f>405.45</f>
        <v>405.45</v>
      </c>
      <c r="T168" s="32" t="n">
        <f>44114340</f>
        <v>4.411434E7</v>
      </c>
      <c r="U168" s="32" t="n">
        <f>21586510</f>
        <v>2.158651E7</v>
      </c>
      <c r="V168" s="32" t="n">
        <f>18139050455</f>
        <v>1.8139050455E10</v>
      </c>
      <c r="W168" s="32" t="n">
        <f>8968790659</f>
        <v>8.968790659E9</v>
      </c>
      <c r="X168" s="36" t="n">
        <f>20</f>
        <v>20.0</v>
      </c>
    </row>
    <row r="169">
      <c r="A169" s="27" t="s">
        <v>42</v>
      </c>
      <c r="B169" s="27" t="s">
        <v>556</v>
      </c>
      <c r="C169" s="27" t="s">
        <v>557</v>
      </c>
      <c r="D169" s="27" t="s">
        <v>558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1.0</v>
      </c>
      <c r="K169" s="33" t="n">
        <f>1910</f>
        <v>1910.0</v>
      </c>
      <c r="L169" s="34" t="s">
        <v>48</v>
      </c>
      <c r="M169" s="33" t="n">
        <f>2028</f>
        <v>2028.0</v>
      </c>
      <c r="N169" s="34" t="s">
        <v>54</v>
      </c>
      <c r="O169" s="33" t="n">
        <f>1910</f>
        <v>1910.0</v>
      </c>
      <c r="P169" s="34" t="s">
        <v>48</v>
      </c>
      <c r="Q169" s="33" t="n">
        <f>1954</f>
        <v>1954.0</v>
      </c>
      <c r="R169" s="34" t="s">
        <v>50</v>
      </c>
      <c r="S169" s="35" t="n">
        <f>1967.8</f>
        <v>1967.8</v>
      </c>
      <c r="T169" s="32" t="n">
        <f>228284</f>
        <v>228284.0</v>
      </c>
      <c r="U169" s="32" t="n">
        <f>50000</f>
        <v>50000.0</v>
      </c>
      <c r="V169" s="32" t="n">
        <f>448680963</f>
        <v>4.48680963E8</v>
      </c>
      <c r="W169" s="32" t="n">
        <f>98102005</f>
        <v>9.8102005E7</v>
      </c>
      <c r="X169" s="36" t="n">
        <f>20</f>
        <v>20.0</v>
      </c>
    </row>
    <row r="170">
      <c r="A170" s="27" t="s">
        <v>42</v>
      </c>
      <c r="B170" s="27" t="s">
        <v>559</v>
      </c>
      <c r="C170" s="27" t="s">
        <v>560</v>
      </c>
      <c r="D170" s="27" t="s">
        <v>561</v>
      </c>
      <c r="E170" s="28" t="s">
        <v>46</v>
      </c>
      <c r="F170" s="29" t="s">
        <v>46</v>
      </c>
      <c r="G170" s="30" t="s">
        <v>46</v>
      </c>
      <c r="H170" s="31"/>
      <c r="I170" s="31" t="s">
        <v>47</v>
      </c>
      <c r="J170" s="32" t="n">
        <v>1.0</v>
      </c>
      <c r="K170" s="33" t="n">
        <f>1131</f>
        <v>1131.0</v>
      </c>
      <c r="L170" s="34" t="s">
        <v>48</v>
      </c>
      <c r="M170" s="33" t="n">
        <f>1206</f>
        <v>1206.0</v>
      </c>
      <c r="N170" s="34" t="s">
        <v>108</v>
      </c>
      <c r="O170" s="33" t="n">
        <f>1120</f>
        <v>1120.0</v>
      </c>
      <c r="P170" s="34" t="s">
        <v>50</v>
      </c>
      <c r="Q170" s="33" t="n">
        <f>1127</f>
        <v>1127.0</v>
      </c>
      <c r="R170" s="34" t="s">
        <v>50</v>
      </c>
      <c r="S170" s="35" t="n">
        <f>1167.45</f>
        <v>1167.45</v>
      </c>
      <c r="T170" s="32" t="n">
        <f>2003338</f>
        <v>2003338.0</v>
      </c>
      <c r="U170" s="32" t="n">
        <f>80</f>
        <v>80.0</v>
      </c>
      <c r="V170" s="32" t="n">
        <f>2338737632</f>
        <v>2.338737632E9</v>
      </c>
      <c r="W170" s="32" t="n">
        <f>95040</f>
        <v>95040.0</v>
      </c>
      <c r="X170" s="36" t="n">
        <f>20</f>
        <v>20.0</v>
      </c>
    </row>
    <row r="171">
      <c r="A171" s="27" t="s">
        <v>42</v>
      </c>
      <c r="B171" s="27" t="s">
        <v>562</v>
      </c>
      <c r="C171" s="27" t="s">
        <v>563</v>
      </c>
      <c r="D171" s="27" t="s">
        <v>564</v>
      </c>
      <c r="E171" s="28" t="s">
        <v>46</v>
      </c>
      <c r="F171" s="29" t="s">
        <v>46</v>
      </c>
      <c r="G171" s="30" t="s">
        <v>46</v>
      </c>
      <c r="H171" s="31"/>
      <c r="I171" s="31" t="s">
        <v>47</v>
      </c>
      <c r="J171" s="32" t="n">
        <v>10.0</v>
      </c>
      <c r="K171" s="33" t="n">
        <f>295</f>
        <v>295.0</v>
      </c>
      <c r="L171" s="34" t="s">
        <v>48</v>
      </c>
      <c r="M171" s="33" t="n">
        <f>297.6</f>
        <v>297.6</v>
      </c>
      <c r="N171" s="34" t="s">
        <v>69</v>
      </c>
      <c r="O171" s="33" t="n">
        <f>284.1</f>
        <v>284.1</v>
      </c>
      <c r="P171" s="34" t="s">
        <v>108</v>
      </c>
      <c r="Q171" s="33" t="n">
        <f>294.3</f>
        <v>294.3</v>
      </c>
      <c r="R171" s="34" t="s">
        <v>50</v>
      </c>
      <c r="S171" s="35" t="n">
        <f>289.54</f>
        <v>289.54</v>
      </c>
      <c r="T171" s="32" t="n">
        <f>3513650</f>
        <v>3513650.0</v>
      </c>
      <c r="U171" s="32" t="n">
        <f>50</f>
        <v>50.0</v>
      </c>
      <c r="V171" s="32" t="n">
        <f>1012551724</f>
        <v>1.012551724E9</v>
      </c>
      <c r="W171" s="32" t="n">
        <f>14851</f>
        <v>14851.0</v>
      </c>
      <c r="X171" s="36" t="n">
        <f>20</f>
        <v>20.0</v>
      </c>
    </row>
    <row r="172">
      <c r="A172" s="27" t="s">
        <v>42</v>
      </c>
      <c r="B172" s="27" t="s">
        <v>565</v>
      </c>
      <c r="C172" s="27" t="s">
        <v>566</v>
      </c>
      <c r="D172" s="27" t="s">
        <v>567</v>
      </c>
      <c r="E172" s="28" t="s">
        <v>46</v>
      </c>
      <c r="F172" s="29" t="s">
        <v>46</v>
      </c>
      <c r="G172" s="30" t="s">
        <v>46</v>
      </c>
      <c r="H172" s="31"/>
      <c r="I172" s="31" t="s">
        <v>47</v>
      </c>
      <c r="J172" s="32" t="n">
        <v>10.0</v>
      </c>
      <c r="K172" s="33" t="n">
        <f>303.3</f>
        <v>303.3</v>
      </c>
      <c r="L172" s="34" t="s">
        <v>48</v>
      </c>
      <c r="M172" s="33" t="n">
        <f>309</f>
        <v>309.0</v>
      </c>
      <c r="N172" s="34" t="s">
        <v>49</v>
      </c>
      <c r="O172" s="33" t="n">
        <f>300.2</f>
        <v>300.2</v>
      </c>
      <c r="P172" s="34" t="s">
        <v>94</v>
      </c>
      <c r="Q172" s="33" t="n">
        <f>302.4</f>
        <v>302.4</v>
      </c>
      <c r="R172" s="34" t="s">
        <v>50</v>
      </c>
      <c r="S172" s="35" t="n">
        <f>304.38</f>
        <v>304.38</v>
      </c>
      <c r="T172" s="32" t="n">
        <f>767530</f>
        <v>767530.0</v>
      </c>
      <c r="U172" s="32" t="n">
        <f>16000</f>
        <v>16000.0</v>
      </c>
      <c r="V172" s="32" t="n">
        <f>233724416</f>
        <v>2.33724416E8</v>
      </c>
      <c r="W172" s="32" t="n">
        <f>4841600</f>
        <v>4841600.0</v>
      </c>
      <c r="X172" s="36" t="n">
        <f>20</f>
        <v>20.0</v>
      </c>
    </row>
    <row r="173">
      <c r="A173" s="27" t="s">
        <v>42</v>
      </c>
      <c r="B173" s="27" t="s">
        <v>568</v>
      </c>
      <c r="C173" s="27" t="s">
        <v>569</v>
      </c>
      <c r="D173" s="27" t="s">
        <v>570</v>
      </c>
      <c r="E173" s="28" t="s">
        <v>46</v>
      </c>
      <c r="F173" s="29" t="s">
        <v>46</v>
      </c>
      <c r="G173" s="30" t="s">
        <v>46</v>
      </c>
      <c r="H173" s="31"/>
      <c r="I173" s="31" t="s">
        <v>47</v>
      </c>
      <c r="J173" s="32" t="n">
        <v>10.0</v>
      </c>
      <c r="K173" s="33" t="n">
        <f>506.1</f>
        <v>506.1</v>
      </c>
      <c r="L173" s="34" t="s">
        <v>48</v>
      </c>
      <c r="M173" s="33" t="n">
        <f>544.6</f>
        <v>544.6</v>
      </c>
      <c r="N173" s="34" t="s">
        <v>121</v>
      </c>
      <c r="O173" s="33" t="n">
        <f>494.1</f>
        <v>494.1</v>
      </c>
      <c r="P173" s="34" t="s">
        <v>50</v>
      </c>
      <c r="Q173" s="33" t="n">
        <f>494.1</f>
        <v>494.1</v>
      </c>
      <c r="R173" s="34" t="s">
        <v>50</v>
      </c>
      <c r="S173" s="35" t="n">
        <f>505.98</f>
        <v>505.98</v>
      </c>
      <c r="T173" s="32" t="n">
        <f>7260</f>
        <v>7260.0</v>
      </c>
      <c r="U173" s="32" t="str">
        <f>"－"</f>
        <v>－</v>
      </c>
      <c r="V173" s="32" t="n">
        <f>3673191</f>
        <v>3673191.0</v>
      </c>
      <c r="W173" s="32" t="str">
        <f>"－"</f>
        <v>－</v>
      </c>
      <c r="X173" s="36" t="n">
        <f>17</f>
        <v>17.0</v>
      </c>
    </row>
    <row r="174">
      <c r="A174" s="27" t="s">
        <v>42</v>
      </c>
      <c r="B174" s="27" t="s">
        <v>571</v>
      </c>
      <c r="C174" s="27" t="s">
        <v>572</v>
      </c>
      <c r="D174" s="27" t="s">
        <v>573</v>
      </c>
      <c r="E174" s="28" t="s">
        <v>46</v>
      </c>
      <c r="F174" s="29" t="s">
        <v>46</v>
      </c>
      <c r="G174" s="30" t="s">
        <v>46</v>
      </c>
      <c r="H174" s="31"/>
      <c r="I174" s="31" t="s">
        <v>47</v>
      </c>
      <c r="J174" s="32" t="n">
        <v>10.0</v>
      </c>
      <c r="K174" s="33" t="n">
        <f>527.8</f>
        <v>527.8</v>
      </c>
      <c r="L174" s="34" t="s">
        <v>48</v>
      </c>
      <c r="M174" s="33" t="n">
        <f>542</f>
        <v>542.0</v>
      </c>
      <c r="N174" s="34" t="s">
        <v>69</v>
      </c>
      <c r="O174" s="33" t="n">
        <f>506.8</f>
        <v>506.8</v>
      </c>
      <c r="P174" s="34" t="s">
        <v>65</v>
      </c>
      <c r="Q174" s="33" t="n">
        <f>514.5</f>
        <v>514.5</v>
      </c>
      <c r="R174" s="34" t="s">
        <v>50</v>
      </c>
      <c r="S174" s="35" t="n">
        <f>519.05</f>
        <v>519.05</v>
      </c>
      <c r="T174" s="32" t="n">
        <f>3700</f>
        <v>3700.0</v>
      </c>
      <c r="U174" s="32" t="str">
        <f>"－"</f>
        <v>－</v>
      </c>
      <c r="V174" s="32" t="n">
        <f>1915999</f>
        <v>1915999.0</v>
      </c>
      <c r="W174" s="32" t="str">
        <f>"－"</f>
        <v>－</v>
      </c>
      <c r="X174" s="36" t="n">
        <f>18</f>
        <v>18.0</v>
      </c>
    </row>
    <row r="175">
      <c r="A175" s="27" t="s">
        <v>42</v>
      </c>
      <c r="B175" s="27" t="s">
        <v>574</v>
      </c>
      <c r="C175" s="27" t="s">
        <v>575</v>
      </c>
      <c r="D175" s="27" t="s">
        <v>576</v>
      </c>
      <c r="E175" s="28" t="s">
        <v>46</v>
      </c>
      <c r="F175" s="29" t="s">
        <v>46</v>
      </c>
      <c r="G175" s="30" t="s">
        <v>46</v>
      </c>
      <c r="H175" s="31"/>
      <c r="I175" s="31" t="s">
        <v>47</v>
      </c>
      <c r="J175" s="32" t="n">
        <v>10.0</v>
      </c>
      <c r="K175" s="33" t="n">
        <f>510.8</f>
        <v>510.8</v>
      </c>
      <c r="L175" s="34" t="s">
        <v>48</v>
      </c>
      <c r="M175" s="33" t="n">
        <f>527.3</f>
        <v>527.3</v>
      </c>
      <c r="N175" s="34" t="s">
        <v>69</v>
      </c>
      <c r="O175" s="33" t="n">
        <f>490</f>
        <v>490.0</v>
      </c>
      <c r="P175" s="34" t="s">
        <v>65</v>
      </c>
      <c r="Q175" s="33" t="n">
        <f>513.1</f>
        <v>513.1</v>
      </c>
      <c r="R175" s="34" t="s">
        <v>50</v>
      </c>
      <c r="S175" s="35" t="n">
        <f>505.76</f>
        <v>505.76</v>
      </c>
      <c r="T175" s="32" t="n">
        <f>1623940</f>
        <v>1623940.0</v>
      </c>
      <c r="U175" s="32" t="n">
        <f>1600010</f>
        <v>1600010.0</v>
      </c>
      <c r="V175" s="32" t="n">
        <f>814726718</f>
        <v>8.14726718E8</v>
      </c>
      <c r="W175" s="32" t="n">
        <f>802740831</f>
        <v>8.02740831E8</v>
      </c>
      <c r="X175" s="36" t="n">
        <f>19</f>
        <v>19.0</v>
      </c>
    </row>
    <row r="176">
      <c r="A176" s="27" t="s">
        <v>42</v>
      </c>
      <c r="B176" s="27" t="s">
        <v>577</v>
      </c>
      <c r="C176" s="27" t="s">
        <v>578</v>
      </c>
      <c r="D176" s="27" t="s">
        <v>579</v>
      </c>
      <c r="E176" s="28" t="s">
        <v>46</v>
      </c>
      <c r="F176" s="29" t="s">
        <v>46</v>
      </c>
      <c r="G176" s="30" t="s">
        <v>46</v>
      </c>
      <c r="H176" s="31"/>
      <c r="I176" s="31" t="s">
        <v>47</v>
      </c>
      <c r="J176" s="32" t="n">
        <v>1.0</v>
      </c>
      <c r="K176" s="33" t="n">
        <f>1003</f>
        <v>1003.0</v>
      </c>
      <c r="L176" s="34" t="s">
        <v>48</v>
      </c>
      <c r="M176" s="33" t="n">
        <f>1020</f>
        <v>1020.0</v>
      </c>
      <c r="N176" s="34" t="s">
        <v>257</v>
      </c>
      <c r="O176" s="33" t="n">
        <f>967</f>
        <v>967.0</v>
      </c>
      <c r="P176" s="34" t="s">
        <v>50</v>
      </c>
      <c r="Q176" s="33" t="n">
        <f>978</f>
        <v>978.0</v>
      </c>
      <c r="R176" s="34" t="s">
        <v>50</v>
      </c>
      <c r="S176" s="35" t="n">
        <f>997.45</f>
        <v>997.45</v>
      </c>
      <c r="T176" s="32" t="n">
        <f>513783</f>
        <v>513783.0</v>
      </c>
      <c r="U176" s="32" t="n">
        <f>4</f>
        <v>4.0</v>
      </c>
      <c r="V176" s="32" t="n">
        <f>511611895</f>
        <v>5.11611895E8</v>
      </c>
      <c r="W176" s="32" t="n">
        <f>3915</f>
        <v>3915.0</v>
      </c>
      <c r="X176" s="36" t="n">
        <f>20</f>
        <v>20.0</v>
      </c>
    </row>
    <row r="177">
      <c r="A177" s="27" t="s">
        <v>42</v>
      </c>
      <c r="B177" s="27" t="s">
        <v>580</v>
      </c>
      <c r="C177" s="27" t="s">
        <v>581</v>
      </c>
      <c r="D177" s="27" t="s">
        <v>582</v>
      </c>
      <c r="E177" s="28" t="s">
        <v>46</v>
      </c>
      <c r="F177" s="29" t="s">
        <v>46</v>
      </c>
      <c r="G177" s="30" t="s">
        <v>46</v>
      </c>
      <c r="H177" s="31"/>
      <c r="I177" s="31" t="s">
        <v>47</v>
      </c>
      <c r="J177" s="32" t="n">
        <v>1.0</v>
      </c>
      <c r="K177" s="33" t="n">
        <f>1628</f>
        <v>1628.0</v>
      </c>
      <c r="L177" s="34" t="s">
        <v>48</v>
      </c>
      <c r="M177" s="33" t="n">
        <f>1747</f>
        <v>1747.0</v>
      </c>
      <c r="N177" s="34" t="s">
        <v>73</v>
      </c>
      <c r="O177" s="33" t="n">
        <f>1546</f>
        <v>1546.0</v>
      </c>
      <c r="P177" s="34" t="s">
        <v>61</v>
      </c>
      <c r="Q177" s="33" t="n">
        <f>1565</f>
        <v>1565.0</v>
      </c>
      <c r="R177" s="34" t="s">
        <v>50</v>
      </c>
      <c r="S177" s="35" t="n">
        <f>1636.8</f>
        <v>1636.8</v>
      </c>
      <c r="T177" s="32" t="n">
        <f>2794864</f>
        <v>2794864.0</v>
      </c>
      <c r="U177" s="32" t="n">
        <f>487670</f>
        <v>487670.0</v>
      </c>
      <c r="V177" s="32" t="n">
        <f>4630171018</f>
        <v>4.630171018E9</v>
      </c>
      <c r="W177" s="32" t="n">
        <f>824140505</f>
        <v>8.24140505E8</v>
      </c>
      <c r="X177" s="36" t="n">
        <f>20</f>
        <v>20.0</v>
      </c>
    </row>
    <row r="178">
      <c r="A178" s="27" t="s">
        <v>42</v>
      </c>
      <c r="B178" s="27" t="s">
        <v>583</v>
      </c>
      <c r="C178" s="27" t="s">
        <v>584</v>
      </c>
      <c r="D178" s="27" t="s">
        <v>585</v>
      </c>
      <c r="E178" s="28" t="s">
        <v>46</v>
      </c>
      <c r="F178" s="29" t="s">
        <v>46</v>
      </c>
      <c r="G178" s="30" t="s">
        <v>46</v>
      </c>
      <c r="H178" s="31"/>
      <c r="I178" s="31" t="s">
        <v>47</v>
      </c>
      <c r="J178" s="32" t="n">
        <v>10.0</v>
      </c>
      <c r="K178" s="33" t="n">
        <f>565.3</f>
        <v>565.3</v>
      </c>
      <c r="L178" s="34" t="s">
        <v>48</v>
      </c>
      <c r="M178" s="33" t="n">
        <f>583</f>
        <v>583.0</v>
      </c>
      <c r="N178" s="34" t="s">
        <v>73</v>
      </c>
      <c r="O178" s="33" t="n">
        <f>561.1</f>
        <v>561.1</v>
      </c>
      <c r="P178" s="34" t="s">
        <v>48</v>
      </c>
      <c r="Q178" s="33" t="n">
        <f>568.9</f>
        <v>568.9</v>
      </c>
      <c r="R178" s="34" t="s">
        <v>50</v>
      </c>
      <c r="S178" s="35" t="n">
        <f>572.78</f>
        <v>572.78</v>
      </c>
      <c r="T178" s="32" t="n">
        <f>1079560</f>
        <v>1079560.0</v>
      </c>
      <c r="U178" s="32" t="n">
        <f>52000</f>
        <v>52000.0</v>
      </c>
      <c r="V178" s="32" t="n">
        <f>618215032</f>
        <v>6.18215032E8</v>
      </c>
      <c r="W178" s="32" t="n">
        <f>30206800</f>
        <v>3.02068E7</v>
      </c>
      <c r="X178" s="36" t="n">
        <f>20</f>
        <v>20.0</v>
      </c>
    </row>
    <row r="179">
      <c r="A179" s="27" t="s">
        <v>42</v>
      </c>
      <c r="B179" s="27" t="s">
        <v>586</v>
      </c>
      <c r="C179" s="27" t="s">
        <v>587</v>
      </c>
      <c r="D179" s="27" t="s">
        <v>588</v>
      </c>
      <c r="E179" s="28" t="s">
        <v>46</v>
      </c>
      <c r="F179" s="29" t="s">
        <v>46</v>
      </c>
      <c r="G179" s="30" t="s">
        <v>46</v>
      </c>
      <c r="H179" s="31"/>
      <c r="I179" s="31" t="s">
        <v>47</v>
      </c>
      <c r="J179" s="32" t="n">
        <v>10.0</v>
      </c>
      <c r="K179" s="33" t="n">
        <f>215.7</f>
        <v>215.7</v>
      </c>
      <c r="L179" s="34" t="s">
        <v>48</v>
      </c>
      <c r="M179" s="33" t="n">
        <f>222.7</f>
        <v>222.7</v>
      </c>
      <c r="N179" s="34" t="s">
        <v>104</v>
      </c>
      <c r="O179" s="33" t="n">
        <f>213.3</f>
        <v>213.3</v>
      </c>
      <c r="P179" s="34" t="s">
        <v>50</v>
      </c>
      <c r="Q179" s="33" t="n">
        <f>213.7</f>
        <v>213.7</v>
      </c>
      <c r="R179" s="34" t="s">
        <v>50</v>
      </c>
      <c r="S179" s="35" t="n">
        <f>218.48</f>
        <v>218.48</v>
      </c>
      <c r="T179" s="32" t="n">
        <f>32342730</f>
        <v>3.234273E7</v>
      </c>
      <c r="U179" s="32" t="n">
        <f>31265580</f>
        <v>3.126558E7</v>
      </c>
      <c r="V179" s="32" t="n">
        <f>7098424779</f>
        <v>7.098424779E9</v>
      </c>
      <c r="W179" s="32" t="n">
        <f>6866453736</f>
        <v>6.866453736E9</v>
      </c>
      <c r="X179" s="36" t="n">
        <f>20</f>
        <v>20.0</v>
      </c>
    </row>
    <row r="180">
      <c r="A180" s="27" t="s">
        <v>42</v>
      </c>
      <c r="B180" s="27" t="s">
        <v>589</v>
      </c>
      <c r="C180" s="27" t="s">
        <v>590</v>
      </c>
      <c r="D180" s="27" t="s">
        <v>591</v>
      </c>
      <c r="E180" s="28" t="s">
        <v>46</v>
      </c>
      <c r="F180" s="29" t="s">
        <v>46</v>
      </c>
      <c r="G180" s="30" t="s">
        <v>46</v>
      </c>
      <c r="H180" s="31"/>
      <c r="I180" s="31" t="s">
        <v>47</v>
      </c>
      <c r="J180" s="32" t="n">
        <v>10.0</v>
      </c>
      <c r="K180" s="33" t="n">
        <f>240</f>
        <v>240.0</v>
      </c>
      <c r="L180" s="34" t="s">
        <v>48</v>
      </c>
      <c r="M180" s="33" t="n">
        <f>250</f>
        <v>250.0</v>
      </c>
      <c r="N180" s="34" t="s">
        <v>158</v>
      </c>
      <c r="O180" s="33" t="n">
        <f>239.4</f>
        <v>239.4</v>
      </c>
      <c r="P180" s="34" t="s">
        <v>121</v>
      </c>
      <c r="Q180" s="33" t="n">
        <f>243</f>
        <v>243.0</v>
      </c>
      <c r="R180" s="34" t="s">
        <v>50</v>
      </c>
      <c r="S180" s="35" t="n">
        <f>245.36</f>
        <v>245.36</v>
      </c>
      <c r="T180" s="32" t="n">
        <f>6248360</f>
        <v>6248360.0</v>
      </c>
      <c r="U180" s="32" t="n">
        <f>1247360</f>
        <v>1247360.0</v>
      </c>
      <c r="V180" s="32" t="n">
        <f>1529639998</f>
        <v>1.529639998E9</v>
      </c>
      <c r="W180" s="32" t="n">
        <f>302666916</f>
        <v>3.02666916E8</v>
      </c>
      <c r="X180" s="36" t="n">
        <f>20</f>
        <v>20.0</v>
      </c>
    </row>
    <row r="181">
      <c r="A181" s="27" t="s">
        <v>42</v>
      </c>
      <c r="B181" s="27" t="s">
        <v>592</v>
      </c>
      <c r="C181" s="27" t="s">
        <v>593</v>
      </c>
      <c r="D181" s="27" t="s">
        <v>594</v>
      </c>
      <c r="E181" s="28" t="s">
        <v>46</v>
      </c>
      <c r="F181" s="29" t="s">
        <v>46</v>
      </c>
      <c r="G181" s="30" t="s">
        <v>46</v>
      </c>
      <c r="H181" s="31"/>
      <c r="I181" s="31" t="s">
        <v>47</v>
      </c>
      <c r="J181" s="32" t="n">
        <v>10.0</v>
      </c>
      <c r="K181" s="33" t="n">
        <f>241.1</f>
        <v>241.1</v>
      </c>
      <c r="L181" s="34" t="s">
        <v>48</v>
      </c>
      <c r="M181" s="33" t="n">
        <f>254.4</f>
        <v>254.4</v>
      </c>
      <c r="N181" s="34" t="s">
        <v>73</v>
      </c>
      <c r="O181" s="33" t="n">
        <f>240.6</f>
        <v>240.6</v>
      </c>
      <c r="P181" s="34" t="s">
        <v>48</v>
      </c>
      <c r="Q181" s="33" t="n">
        <f>249.2</f>
        <v>249.2</v>
      </c>
      <c r="R181" s="34" t="s">
        <v>50</v>
      </c>
      <c r="S181" s="35" t="n">
        <f>249.83</f>
        <v>249.83</v>
      </c>
      <c r="T181" s="32" t="n">
        <f>5444050</f>
        <v>5444050.0</v>
      </c>
      <c r="U181" s="32" t="n">
        <f>1630000</f>
        <v>1630000.0</v>
      </c>
      <c r="V181" s="32" t="n">
        <f>1359684342</f>
        <v>1.359684342E9</v>
      </c>
      <c r="W181" s="32" t="n">
        <f>409732000</f>
        <v>4.09732E8</v>
      </c>
      <c r="X181" s="36" t="n">
        <f>20</f>
        <v>20.0</v>
      </c>
    </row>
    <row r="182">
      <c r="A182" s="27" t="s">
        <v>42</v>
      </c>
      <c r="B182" s="27" t="s">
        <v>595</v>
      </c>
      <c r="C182" s="27" t="s">
        <v>596</v>
      </c>
      <c r="D182" s="27" t="s">
        <v>597</v>
      </c>
      <c r="E182" s="28" t="s">
        <v>46</v>
      </c>
      <c r="F182" s="29" t="s">
        <v>46</v>
      </c>
      <c r="G182" s="30" t="s">
        <v>46</v>
      </c>
      <c r="H182" s="31"/>
      <c r="I182" s="31" t="s">
        <v>47</v>
      </c>
      <c r="J182" s="32" t="n">
        <v>1.0</v>
      </c>
      <c r="K182" s="33" t="n">
        <f>2071</f>
        <v>2071.0</v>
      </c>
      <c r="L182" s="34" t="s">
        <v>48</v>
      </c>
      <c r="M182" s="33" t="n">
        <f>2198</f>
        <v>2198.0</v>
      </c>
      <c r="N182" s="34" t="s">
        <v>104</v>
      </c>
      <c r="O182" s="33" t="n">
        <f>2036</f>
        <v>2036.0</v>
      </c>
      <c r="P182" s="34" t="s">
        <v>50</v>
      </c>
      <c r="Q182" s="33" t="n">
        <f>2042</f>
        <v>2042.0</v>
      </c>
      <c r="R182" s="34" t="s">
        <v>50</v>
      </c>
      <c r="S182" s="35" t="n">
        <f>2079.2</f>
        <v>2079.2</v>
      </c>
      <c r="T182" s="32" t="n">
        <f>211479</f>
        <v>211479.0</v>
      </c>
      <c r="U182" s="32" t="n">
        <f>2</f>
        <v>2.0</v>
      </c>
      <c r="V182" s="32" t="n">
        <f>445456887</f>
        <v>4.45456887E8</v>
      </c>
      <c r="W182" s="32" t="n">
        <f>4174</f>
        <v>4174.0</v>
      </c>
      <c r="X182" s="36" t="n">
        <f>20</f>
        <v>20.0</v>
      </c>
    </row>
    <row r="183">
      <c r="A183" s="27" t="s">
        <v>42</v>
      </c>
      <c r="B183" s="27" t="s">
        <v>598</v>
      </c>
      <c r="C183" s="27" t="s">
        <v>599</v>
      </c>
      <c r="D183" s="27" t="s">
        <v>600</v>
      </c>
      <c r="E183" s="28" t="s">
        <v>46</v>
      </c>
      <c r="F183" s="29" t="s">
        <v>46</v>
      </c>
      <c r="G183" s="30" t="s">
        <v>46</v>
      </c>
      <c r="H183" s="31"/>
      <c r="I183" s="31" t="s">
        <v>47</v>
      </c>
      <c r="J183" s="32" t="n">
        <v>1.0</v>
      </c>
      <c r="K183" s="33" t="n">
        <f>1918</f>
        <v>1918.0</v>
      </c>
      <c r="L183" s="34" t="s">
        <v>48</v>
      </c>
      <c r="M183" s="33" t="n">
        <f>1922</f>
        <v>1922.0</v>
      </c>
      <c r="N183" s="34" t="s">
        <v>121</v>
      </c>
      <c r="O183" s="33" t="n">
        <f>1887</f>
        <v>1887.0</v>
      </c>
      <c r="P183" s="34" t="s">
        <v>94</v>
      </c>
      <c r="Q183" s="33" t="n">
        <f>1911</f>
        <v>1911.0</v>
      </c>
      <c r="R183" s="34" t="s">
        <v>50</v>
      </c>
      <c r="S183" s="35" t="n">
        <f>1902.3</f>
        <v>1902.3</v>
      </c>
      <c r="T183" s="32" t="n">
        <f>300467</f>
        <v>300467.0</v>
      </c>
      <c r="U183" s="32" t="n">
        <f>4</f>
        <v>4.0</v>
      </c>
      <c r="V183" s="32" t="n">
        <f>570275907</f>
        <v>5.70275907E8</v>
      </c>
      <c r="W183" s="32" t="n">
        <f>7638</f>
        <v>7638.0</v>
      </c>
      <c r="X183" s="36" t="n">
        <f>20</f>
        <v>20.0</v>
      </c>
    </row>
    <row r="184">
      <c r="A184" s="27" t="s">
        <v>42</v>
      </c>
      <c r="B184" s="27" t="s">
        <v>601</v>
      </c>
      <c r="C184" s="27" t="s">
        <v>602</v>
      </c>
      <c r="D184" s="27" t="s">
        <v>603</v>
      </c>
      <c r="E184" s="28" t="s">
        <v>46</v>
      </c>
      <c r="F184" s="29" t="s">
        <v>46</v>
      </c>
      <c r="G184" s="30" t="s">
        <v>46</v>
      </c>
      <c r="H184" s="31"/>
      <c r="I184" s="31" t="s">
        <v>47</v>
      </c>
      <c r="J184" s="32" t="n">
        <v>1.0</v>
      </c>
      <c r="K184" s="33" t="n">
        <f>1050</f>
        <v>1050.0</v>
      </c>
      <c r="L184" s="34" t="s">
        <v>48</v>
      </c>
      <c r="M184" s="33" t="n">
        <f>1097</f>
        <v>1097.0</v>
      </c>
      <c r="N184" s="34" t="s">
        <v>49</v>
      </c>
      <c r="O184" s="33" t="n">
        <f>1041</f>
        <v>1041.0</v>
      </c>
      <c r="P184" s="34" t="s">
        <v>61</v>
      </c>
      <c r="Q184" s="33" t="n">
        <f>1051</f>
        <v>1051.0</v>
      </c>
      <c r="R184" s="34" t="s">
        <v>50</v>
      </c>
      <c r="S184" s="35" t="n">
        <f>1064.35</f>
        <v>1064.35</v>
      </c>
      <c r="T184" s="32" t="n">
        <f>3577711</f>
        <v>3577711.0</v>
      </c>
      <c r="U184" s="32" t="n">
        <f>400000</f>
        <v>400000.0</v>
      </c>
      <c r="V184" s="32" t="n">
        <f>3834451209</f>
        <v>3.834451209E9</v>
      </c>
      <c r="W184" s="32" t="n">
        <f>431122640</f>
        <v>4.3112264E8</v>
      </c>
      <c r="X184" s="36" t="n">
        <f>20</f>
        <v>20.0</v>
      </c>
    </row>
    <row r="185">
      <c r="A185" s="27" t="s">
        <v>42</v>
      </c>
      <c r="B185" s="27" t="s">
        <v>604</v>
      </c>
      <c r="C185" s="27" t="s">
        <v>605</v>
      </c>
      <c r="D185" s="27" t="s">
        <v>606</v>
      </c>
      <c r="E185" s="28" t="s">
        <v>46</v>
      </c>
      <c r="F185" s="29" t="s">
        <v>46</v>
      </c>
      <c r="G185" s="30" t="s">
        <v>46</v>
      </c>
      <c r="H185" s="31"/>
      <c r="I185" s="31" t="s">
        <v>47</v>
      </c>
      <c r="J185" s="32" t="n">
        <v>1.0</v>
      </c>
      <c r="K185" s="33" t="n">
        <f>1184</f>
        <v>1184.0</v>
      </c>
      <c r="L185" s="34" t="s">
        <v>48</v>
      </c>
      <c r="M185" s="33" t="n">
        <f>1225</f>
        <v>1225.0</v>
      </c>
      <c r="N185" s="34" t="s">
        <v>61</v>
      </c>
      <c r="O185" s="33" t="n">
        <f>1164</f>
        <v>1164.0</v>
      </c>
      <c r="P185" s="34" t="s">
        <v>73</v>
      </c>
      <c r="Q185" s="33" t="n">
        <f>1205</f>
        <v>1205.0</v>
      </c>
      <c r="R185" s="34" t="s">
        <v>50</v>
      </c>
      <c r="S185" s="35" t="n">
        <f>1193.45</f>
        <v>1193.45</v>
      </c>
      <c r="T185" s="32" t="n">
        <f>150548</f>
        <v>150548.0</v>
      </c>
      <c r="U185" s="32" t="str">
        <f>"－"</f>
        <v>－</v>
      </c>
      <c r="V185" s="32" t="n">
        <f>178843515</f>
        <v>1.78843515E8</v>
      </c>
      <c r="W185" s="32" t="str">
        <f>"－"</f>
        <v>－</v>
      </c>
      <c r="X185" s="36" t="n">
        <f>20</f>
        <v>20.0</v>
      </c>
    </row>
    <row r="186">
      <c r="A186" s="27" t="s">
        <v>42</v>
      </c>
      <c r="B186" s="27" t="s">
        <v>607</v>
      </c>
      <c r="C186" s="27" t="s">
        <v>608</v>
      </c>
      <c r="D186" s="27" t="s">
        <v>609</v>
      </c>
      <c r="E186" s="28" t="s">
        <v>46</v>
      </c>
      <c r="F186" s="29" t="s">
        <v>46</v>
      </c>
      <c r="G186" s="30" t="s">
        <v>46</v>
      </c>
      <c r="H186" s="31"/>
      <c r="I186" s="31" t="s">
        <v>47</v>
      </c>
      <c r="J186" s="32" t="n">
        <v>1.0</v>
      </c>
      <c r="K186" s="33" t="n">
        <f>1070</f>
        <v>1070.0</v>
      </c>
      <c r="L186" s="34" t="s">
        <v>48</v>
      </c>
      <c r="M186" s="33" t="n">
        <f>1105</f>
        <v>1105.0</v>
      </c>
      <c r="N186" s="34" t="s">
        <v>73</v>
      </c>
      <c r="O186" s="33" t="n">
        <f>1047</f>
        <v>1047.0</v>
      </c>
      <c r="P186" s="34" t="s">
        <v>50</v>
      </c>
      <c r="Q186" s="33" t="n">
        <f>1051</f>
        <v>1051.0</v>
      </c>
      <c r="R186" s="34" t="s">
        <v>50</v>
      </c>
      <c r="S186" s="35" t="n">
        <f>1079.45</f>
        <v>1079.45</v>
      </c>
      <c r="T186" s="32" t="n">
        <f>56911</f>
        <v>56911.0</v>
      </c>
      <c r="U186" s="32" t="n">
        <f>90</f>
        <v>90.0</v>
      </c>
      <c r="V186" s="32" t="n">
        <f>60979378</f>
        <v>6.0979378E7</v>
      </c>
      <c r="W186" s="32" t="n">
        <f>97200</f>
        <v>97200.0</v>
      </c>
      <c r="X186" s="36" t="n">
        <f>20</f>
        <v>20.0</v>
      </c>
    </row>
    <row r="187">
      <c r="A187" s="27" t="s">
        <v>42</v>
      </c>
      <c r="B187" s="27" t="s">
        <v>610</v>
      </c>
      <c r="C187" s="27" t="s">
        <v>611</v>
      </c>
      <c r="D187" s="27" t="s">
        <v>612</v>
      </c>
      <c r="E187" s="28" t="s">
        <v>46</v>
      </c>
      <c r="F187" s="29" t="s">
        <v>46</v>
      </c>
      <c r="G187" s="30" t="s">
        <v>46</v>
      </c>
      <c r="H187" s="31"/>
      <c r="I187" s="31" t="s">
        <v>47</v>
      </c>
      <c r="J187" s="32" t="n">
        <v>10.0</v>
      </c>
      <c r="K187" s="33" t="n">
        <f>199.7</f>
        <v>199.7</v>
      </c>
      <c r="L187" s="34" t="s">
        <v>48</v>
      </c>
      <c r="M187" s="33" t="n">
        <f>204.1</f>
        <v>204.1</v>
      </c>
      <c r="N187" s="34" t="s">
        <v>73</v>
      </c>
      <c r="O187" s="33" t="n">
        <f>194.6</f>
        <v>194.6</v>
      </c>
      <c r="P187" s="34" t="s">
        <v>94</v>
      </c>
      <c r="Q187" s="33" t="n">
        <f>196.5</f>
        <v>196.5</v>
      </c>
      <c r="R187" s="34" t="s">
        <v>50</v>
      </c>
      <c r="S187" s="35" t="n">
        <f>199.4</f>
        <v>199.4</v>
      </c>
      <c r="T187" s="32" t="n">
        <f>5852540</f>
        <v>5852540.0</v>
      </c>
      <c r="U187" s="32" t="n">
        <f>257220</f>
        <v>257220.0</v>
      </c>
      <c r="V187" s="32" t="n">
        <f>1166375318</f>
        <v>1.166375318E9</v>
      </c>
      <c r="W187" s="32" t="n">
        <f>51338127</f>
        <v>5.1338127E7</v>
      </c>
      <c r="X187" s="36" t="n">
        <f>20</f>
        <v>20.0</v>
      </c>
    </row>
    <row r="188">
      <c r="A188" s="27" t="s">
        <v>42</v>
      </c>
      <c r="B188" s="27" t="s">
        <v>613</v>
      </c>
      <c r="C188" s="27" t="s">
        <v>614</v>
      </c>
      <c r="D188" s="27" t="s">
        <v>615</v>
      </c>
      <c r="E188" s="28" t="s">
        <v>46</v>
      </c>
      <c r="F188" s="29" t="s">
        <v>46</v>
      </c>
      <c r="G188" s="30" t="s">
        <v>46</v>
      </c>
      <c r="H188" s="31"/>
      <c r="I188" s="31" t="s">
        <v>428</v>
      </c>
      <c r="J188" s="32" t="n">
        <v>1.0</v>
      </c>
      <c r="K188" s="33" t="n">
        <f>5770</f>
        <v>5770.0</v>
      </c>
      <c r="L188" s="34" t="s">
        <v>48</v>
      </c>
      <c r="M188" s="33" t="n">
        <f>6352</f>
        <v>6352.0</v>
      </c>
      <c r="N188" s="34" t="s">
        <v>54</v>
      </c>
      <c r="O188" s="33" t="n">
        <f>5056</f>
        <v>5056.0</v>
      </c>
      <c r="P188" s="34" t="s">
        <v>158</v>
      </c>
      <c r="Q188" s="33" t="n">
        <f>5100</f>
        <v>5100.0</v>
      </c>
      <c r="R188" s="34" t="s">
        <v>50</v>
      </c>
      <c r="S188" s="35" t="n">
        <f>5492.9</f>
        <v>5492.9</v>
      </c>
      <c r="T188" s="32" t="n">
        <f>58597</f>
        <v>58597.0</v>
      </c>
      <c r="U188" s="32" t="str">
        <f>"－"</f>
        <v>－</v>
      </c>
      <c r="V188" s="32" t="n">
        <f>331911218</f>
        <v>3.31911218E8</v>
      </c>
      <c r="W188" s="32" t="str">
        <f>"－"</f>
        <v>－</v>
      </c>
      <c r="X188" s="36" t="n">
        <f>20</f>
        <v>20.0</v>
      </c>
    </row>
    <row r="189">
      <c r="A189" s="27" t="s">
        <v>42</v>
      </c>
      <c r="B189" s="27" t="s">
        <v>616</v>
      </c>
      <c r="C189" s="27" t="s">
        <v>617</v>
      </c>
      <c r="D189" s="27" t="s">
        <v>618</v>
      </c>
      <c r="E189" s="28" t="s">
        <v>46</v>
      </c>
      <c r="F189" s="29" t="s">
        <v>46</v>
      </c>
      <c r="G189" s="30" t="s">
        <v>46</v>
      </c>
      <c r="H189" s="31"/>
      <c r="I189" s="31" t="s">
        <v>428</v>
      </c>
      <c r="J189" s="32" t="n">
        <v>1.0</v>
      </c>
      <c r="K189" s="33" t="n">
        <f>7882</f>
        <v>7882.0</v>
      </c>
      <c r="L189" s="34" t="s">
        <v>48</v>
      </c>
      <c r="M189" s="33" t="n">
        <f>8750</f>
        <v>8750.0</v>
      </c>
      <c r="N189" s="34" t="s">
        <v>257</v>
      </c>
      <c r="O189" s="33" t="n">
        <f>7501</f>
        <v>7501.0</v>
      </c>
      <c r="P189" s="34" t="s">
        <v>54</v>
      </c>
      <c r="Q189" s="33" t="n">
        <f>8333</f>
        <v>8333.0</v>
      </c>
      <c r="R189" s="34" t="s">
        <v>50</v>
      </c>
      <c r="S189" s="35" t="n">
        <f>8266.4</f>
        <v>8266.4</v>
      </c>
      <c r="T189" s="32" t="n">
        <f>18455</f>
        <v>18455.0</v>
      </c>
      <c r="U189" s="32" t="str">
        <f>"－"</f>
        <v>－</v>
      </c>
      <c r="V189" s="32" t="n">
        <f>152297252</f>
        <v>1.52297252E8</v>
      </c>
      <c r="W189" s="32" t="str">
        <f>"－"</f>
        <v>－</v>
      </c>
      <c r="X189" s="36" t="n">
        <f>20</f>
        <v>20.0</v>
      </c>
    </row>
    <row r="190">
      <c r="A190" s="27" t="s">
        <v>42</v>
      </c>
      <c r="B190" s="27" t="s">
        <v>619</v>
      </c>
      <c r="C190" s="27" t="s">
        <v>620</v>
      </c>
      <c r="D190" s="27" t="s">
        <v>621</v>
      </c>
      <c r="E190" s="28" t="s">
        <v>46</v>
      </c>
      <c r="F190" s="29" t="s">
        <v>46</v>
      </c>
      <c r="G190" s="30" t="s">
        <v>46</v>
      </c>
      <c r="H190" s="31"/>
      <c r="I190" s="31" t="s">
        <v>428</v>
      </c>
      <c r="J190" s="32" t="n">
        <v>1.0</v>
      </c>
      <c r="K190" s="33" t="n">
        <f>11230</f>
        <v>11230.0</v>
      </c>
      <c r="L190" s="34" t="s">
        <v>48</v>
      </c>
      <c r="M190" s="33" t="n">
        <f>11665</f>
        <v>11665.0</v>
      </c>
      <c r="N190" s="34" t="s">
        <v>54</v>
      </c>
      <c r="O190" s="33" t="n">
        <f>9980</f>
        <v>9980.0</v>
      </c>
      <c r="P190" s="34" t="s">
        <v>104</v>
      </c>
      <c r="Q190" s="33" t="n">
        <f>10150</f>
        <v>10150.0</v>
      </c>
      <c r="R190" s="34" t="s">
        <v>50</v>
      </c>
      <c r="S190" s="35" t="n">
        <f>10717.89</f>
        <v>10717.89</v>
      </c>
      <c r="T190" s="32" t="n">
        <f>2739</f>
        <v>2739.0</v>
      </c>
      <c r="U190" s="32" t="str">
        <f>"－"</f>
        <v>－</v>
      </c>
      <c r="V190" s="32" t="n">
        <f>28565408</f>
        <v>2.8565408E7</v>
      </c>
      <c r="W190" s="32" t="str">
        <f>"－"</f>
        <v>－</v>
      </c>
      <c r="X190" s="36" t="n">
        <f>19</f>
        <v>19.0</v>
      </c>
    </row>
    <row r="191">
      <c r="A191" s="27" t="s">
        <v>42</v>
      </c>
      <c r="B191" s="27" t="s">
        <v>622</v>
      </c>
      <c r="C191" s="27" t="s">
        <v>623</v>
      </c>
      <c r="D191" s="27" t="s">
        <v>624</v>
      </c>
      <c r="E191" s="28" t="s">
        <v>46</v>
      </c>
      <c r="F191" s="29" t="s">
        <v>46</v>
      </c>
      <c r="G191" s="30" t="s">
        <v>46</v>
      </c>
      <c r="H191" s="31"/>
      <c r="I191" s="31" t="s">
        <v>428</v>
      </c>
      <c r="J191" s="32" t="n">
        <v>1.0</v>
      </c>
      <c r="K191" s="33" t="n">
        <f>7965</f>
        <v>7965.0</v>
      </c>
      <c r="L191" s="34" t="s">
        <v>48</v>
      </c>
      <c r="M191" s="33" t="n">
        <f>8590</f>
        <v>8590.0</v>
      </c>
      <c r="N191" s="34" t="s">
        <v>104</v>
      </c>
      <c r="O191" s="33" t="n">
        <f>7841</f>
        <v>7841.0</v>
      </c>
      <c r="P191" s="34" t="s">
        <v>54</v>
      </c>
      <c r="Q191" s="33" t="n">
        <f>8175</f>
        <v>8175.0</v>
      </c>
      <c r="R191" s="34" t="s">
        <v>50</v>
      </c>
      <c r="S191" s="35" t="n">
        <f>8177.2</f>
        <v>8177.2</v>
      </c>
      <c r="T191" s="32" t="n">
        <f>8554</f>
        <v>8554.0</v>
      </c>
      <c r="U191" s="32" t="str">
        <f>"－"</f>
        <v>－</v>
      </c>
      <c r="V191" s="32" t="n">
        <f>69847108</f>
        <v>6.9847108E7</v>
      </c>
      <c r="W191" s="32" t="str">
        <f>"－"</f>
        <v>－</v>
      </c>
      <c r="X191" s="36" t="n">
        <f>20</f>
        <v>20.0</v>
      </c>
    </row>
    <row r="192">
      <c r="A192" s="27" t="s">
        <v>42</v>
      </c>
      <c r="B192" s="27" t="s">
        <v>625</v>
      </c>
      <c r="C192" s="27" t="s">
        <v>626</v>
      </c>
      <c r="D192" s="27" t="s">
        <v>627</v>
      </c>
      <c r="E192" s="28" t="s">
        <v>46</v>
      </c>
      <c r="F192" s="29" t="s">
        <v>46</v>
      </c>
      <c r="G192" s="30" t="s">
        <v>46</v>
      </c>
      <c r="H192" s="31"/>
      <c r="I192" s="31" t="s">
        <v>428</v>
      </c>
      <c r="J192" s="32" t="n">
        <v>1.0</v>
      </c>
      <c r="K192" s="33" t="n">
        <f>72950</f>
        <v>72950.0</v>
      </c>
      <c r="L192" s="34" t="s">
        <v>48</v>
      </c>
      <c r="M192" s="33" t="n">
        <f>74740</f>
        <v>74740.0</v>
      </c>
      <c r="N192" s="34" t="s">
        <v>69</v>
      </c>
      <c r="O192" s="33" t="n">
        <f>65000</f>
        <v>65000.0</v>
      </c>
      <c r="P192" s="34" t="s">
        <v>65</v>
      </c>
      <c r="Q192" s="33" t="n">
        <f>66780</f>
        <v>66780.0</v>
      </c>
      <c r="R192" s="34" t="s">
        <v>50</v>
      </c>
      <c r="S192" s="35" t="n">
        <f>69351</f>
        <v>69351.0</v>
      </c>
      <c r="T192" s="32" t="n">
        <f>115177</f>
        <v>115177.0</v>
      </c>
      <c r="U192" s="32" t="n">
        <f>31</f>
        <v>31.0</v>
      </c>
      <c r="V192" s="32" t="n">
        <f>8027703670</f>
        <v>8.02770367E9</v>
      </c>
      <c r="W192" s="32" t="n">
        <f>2201420</f>
        <v>2201420.0</v>
      </c>
      <c r="X192" s="36" t="n">
        <f>20</f>
        <v>20.0</v>
      </c>
    </row>
    <row r="193">
      <c r="A193" s="27" t="s">
        <v>42</v>
      </c>
      <c r="B193" s="27" t="s">
        <v>628</v>
      </c>
      <c r="C193" s="27" t="s">
        <v>629</v>
      </c>
      <c r="D193" s="27" t="s">
        <v>630</v>
      </c>
      <c r="E193" s="28" t="s">
        <v>46</v>
      </c>
      <c r="F193" s="29" t="s">
        <v>46</v>
      </c>
      <c r="G193" s="30" t="s">
        <v>46</v>
      </c>
      <c r="H193" s="31"/>
      <c r="I193" s="31" t="s">
        <v>428</v>
      </c>
      <c r="J193" s="32" t="n">
        <v>1.0</v>
      </c>
      <c r="K193" s="33" t="n">
        <f>2432</f>
        <v>2432.0</v>
      </c>
      <c r="L193" s="34" t="s">
        <v>48</v>
      </c>
      <c r="M193" s="33" t="n">
        <f>2813</f>
        <v>2813.0</v>
      </c>
      <c r="N193" s="34" t="s">
        <v>65</v>
      </c>
      <c r="O193" s="33" t="n">
        <f>2345</f>
        <v>2345.0</v>
      </c>
      <c r="P193" s="34" t="s">
        <v>54</v>
      </c>
      <c r="Q193" s="33" t="n">
        <f>2493</f>
        <v>2493.0</v>
      </c>
      <c r="R193" s="34" t="s">
        <v>50</v>
      </c>
      <c r="S193" s="35" t="n">
        <f>2467.75</f>
        <v>2467.75</v>
      </c>
      <c r="T193" s="32" t="n">
        <f>57566</f>
        <v>57566.0</v>
      </c>
      <c r="U193" s="32" t="str">
        <f>"－"</f>
        <v>－</v>
      </c>
      <c r="V193" s="32" t="n">
        <f>144492680</f>
        <v>1.4449268E8</v>
      </c>
      <c r="W193" s="32" t="str">
        <f>"－"</f>
        <v>－</v>
      </c>
      <c r="X193" s="36" t="n">
        <f>20</f>
        <v>20.0</v>
      </c>
    </row>
    <row r="194">
      <c r="A194" s="27" t="s">
        <v>42</v>
      </c>
      <c r="B194" s="27" t="s">
        <v>631</v>
      </c>
      <c r="C194" s="27" t="s">
        <v>632</v>
      </c>
      <c r="D194" s="27" t="s">
        <v>633</v>
      </c>
      <c r="E194" s="28" t="s">
        <v>46</v>
      </c>
      <c r="F194" s="29" t="s">
        <v>46</v>
      </c>
      <c r="G194" s="30" t="s">
        <v>46</v>
      </c>
      <c r="H194" s="31"/>
      <c r="I194" s="31" t="s">
        <v>428</v>
      </c>
      <c r="J194" s="32" t="n">
        <v>1.0</v>
      </c>
      <c r="K194" s="33" t="n">
        <f>1777</f>
        <v>1777.0</v>
      </c>
      <c r="L194" s="34" t="s">
        <v>48</v>
      </c>
      <c r="M194" s="33" t="n">
        <f>1901</f>
        <v>1901.0</v>
      </c>
      <c r="N194" s="34" t="s">
        <v>73</v>
      </c>
      <c r="O194" s="33" t="n">
        <f>1695</f>
        <v>1695.0</v>
      </c>
      <c r="P194" s="34" t="s">
        <v>50</v>
      </c>
      <c r="Q194" s="33" t="n">
        <f>1718</f>
        <v>1718.0</v>
      </c>
      <c r="R194" s="34" t="s">
        <v>50</v>
      </c>
      <c r="S194" s="35" t="n">
        <f>1789.4</f>
        <v>1789.4</v>
      </c>
      <c r="T194" s="32" t="n">
        <f>6892954</f>
        <v>6892954.0</v>
      </c>
      <c r="U194" s="32" t="n">
        <f>545</f>
        <v>545.0</v>
      </c>
      <c r="V194" s="32" t="n">
        <f>12430012261</f>
        <v>1.2430012261E10</v>
      </c>
      <c r="W194" s="32" t="n">
        <f>928500</f>
        <v>928500.0</v>
      </c>
      <c r="X194" s="36" t="n">
        <f>20</f>
        <v>20.0</v>
      </c>
    </row>
    <row r="195">
      <c r="A195" s="27" t="s">
        <v>42</v>
      </c>
      <c r="B195" s="27" t="s">
        <v>634</v>
      </c>
      <c r="C195" s="27" t="s">
        <v>635</v>
      </c>
      <c r="D195" s="27" t="s">
        <v>636</v>
      </c>
      <c r="E195" s="28" t="s">
        <v>46</v>
      </c>
      <c r="F195" s="29" t="s">
        <v>46</v>
      </c>
      <c r="G195" s="30" t="s">
        <v>46</v>
      </c>
      <c r="H195" s="31"/>
      <c r="I195" s="31" t="s">
        <v>428</v>
      </c>
      <c r="J195" s="32" t="n">
        <v>1.0</v>
      </c>
      <c r="K195" s="33" t="n">
        <f>973</f>
        <v>973.0</v>
      </c>
      <c r="L195" s="34" t="s">
        <v>48</v>
      </c>
      <c r="M195" s="33" t="n">
        <f>991</f>
        <v>991.0</v>
      </c>
      <c r="N195" s="34" t="s">
        <v>65</v>
      </c>
      <c r="O195" s="33" t="n">
        <f>950</f>
        <v>950.0</v>
      </c>
      <c r="P195" s="34" t="s">
        <v>73</v>
      </c>
      <c r="Q195" s="33" t="n">
        <f>986</f>
        <v>986.0</v>
      </c>
      <c r="R195" s="34" t="s">
        <v>50</v>
      </c>
      <c r="S195" s="35" t="n">
        <f>972.45</f>
        <v>972.45</v>
      </c>
      <c r="T195" s="32" t="n">
        <f>1016452</f>
        <v>1016452.0</v>
      </c>
      <c r="U195" s="32" t="n">
        <f>15003</f>
        <v>15003.0</v>
      </c>
      <c r="V195" s="32" t="n">
        <f>989131582</f>
        <v>9.89131582E8</v>
      </c>
      <c r="W195" s="32" t="n">
        <f>14402911</f>
        <v>1.4402911E7</v>
      </c>
      <c r="X195" s="36" t="n">
        <f>20</f>
        <v>20.0</v>
      </c>
    </row>
    <row r="196">
      <c r="A196" s="27" t="s">
        <v>42</v>
      </c>
      <c r="B196" s="27" t="s">
        <v>637</v>
      </c>
      <c r="C196" s="27" t="s">
        <v>638</v>
      </c>
      <c r="D196" s="27" t="s">
        <v>639</v>
      </c>
      <c r="E196" s="28" t="s">
        <v>46</v>
      </c>
      <c r="F196" s="29" t="s">
        <v>46</v>
      </c>
      <c r="G196" s="30" t="s">
        <v>46</v>
      </c>
      <c r="H196" s="31"/>
      <c r="I196" s="31" t="s">
        <v>428</v>
      </c>
      <c r="J196" s="32" t="n">
        <v>1.0</v>
      </c>
      <c r="K196" s="33" t="n">
        <f>30290</f>
        <v>30290.0</v>
      </c>
      <c r="L196" s="34" t="s">
        <v>48</v>
      </c>
      <c r="M196" s="33" t="n">
        <f>34400</f>
        <v>34400.0</v>
      </c>
      <c r="N196" s="34" t="s">
        <v>158</v>
      </c>
      <c r="O196" s="33" t="n">
        <f>30170</f>
        <v>30170.0</v>
      </c>
      <c r="P196" s="34" t="s">
        <v>48</v>
      </c>
      <c r="Q196" s="33" t="n">
        <f>34270</f>
        <v>34270.0</v>
      </c>
      <c r="R196" s="34" t="s">
        <v>50</v>
      </c>
      <c r="S196" s="35" t="n">
        <f>32919</f>
        <v>32919.0</v>
      </c>
      <c r="T196" s="32" t="n">
        <f>38136</f>
        <v>38136.0</v>
      </c>
      <c r="U196" s="32" t="str">
        <f>"－"</f>
        <v>－</v>
      </c>
      <c r="V196" s="32" t="n">
        <f>1259327770</f>
        <v>1.25932777E9</v>
      </c>
      <c r="W196" s="32" t="str">
        <f>"－"</f>
        <v>－</v>
      </c>
      <c r="X196" s="36" t="n">
        <f>20</f>
        <v>20.0</v>
      </c>
    </row>
    <row r="197">
      <c r="A197" s="27" t="s">
        <v>42</v>
      </c>
      <c r="B197" s="27" t="s">
        <v>640</v>
      </c>
      <c r="C197" s="27" t="s">
        <v>641</v>
      </c>
      <c r="D197" s="27" t="s">
        <v>642</v>
      </c>
      <c r="E197" s="28" t="s">
        <v>46</v>
      </c>
      <c r="F197" s="29" t="s">
        <v>46</v>
      </c>
      <c r="G197" s="30" t="s">
        <v>46</v>
      </c>
      <c r="H197" s="31"/>
      <c r="I197" s="31" t="s">
        <v>428</v>
      </c>
      <c r="J197" s="32" t="n">
        <v>1.0</v>
      </c>
      <c r="K197" s="33" t="n">
        <f>2430</f>
        <v>2430.0</v>
      </c>
      <c r="L197" s="34" t="s">
        <v>48</v>
      </c>
      <c r="M197" s="33" t="n">
        <f>2434</f>
        <v>2434.0</v>
      </c>
      <c r="N197" s="34" t="s">
        <v>48</v>
      </c>
      <c r="O197" s="33" t="n">
        <f>2276</f>
        <v>2276.0</v>
      </c>
      <c r="P197" s="34" t="s">
        <v>257</v>
      </c>
      <c r="Q197" s="33" t="n">
        <f>2284</f>
        <v>2284.0</v>
      </c>
      <c r="R197" s="34" t="s">
        <v>50</v>
      </c>
      <c r="S197" s="35" t="n">
        <f>2328.25</f>
        <v>2328.25</v>
      </c>
      <c r="T197" s="32" t="n">
        <f>182204</f>
        <v>182204.0</v>
      </c>
      <c r="U197" s="32" t="str">
        <f>"－"</f>
        <v>－</v>
      </c>
      <c r="V197" s="32" t="n">
        <f>425860494</f>
        <v>4.25860494E8</v>
      </c>
      <c r="W197" s="32" t="str">
        <f>"－"</f>
        <v>－</v>
      </c>
      <c r="X197" s="36" t="n">
        <f>20</f>
        <v>20.0</v>
      </c>
    </row>
    <row r="198">
      <c r="A198" s="27" t="s">
        <v>42</v>
      </c>
      <c r="B198" s="27" t="s">
        <v>643</v>
      </c>
      <c r="C198" s="27" t="s">
        <v>644</v>
      </c>
      <c r="D198" s="27" t="s">
        <v>645</v>
      </c>
      <c r="E198" s="28" t="s">
        <v>46</v>
      </c>
      <c r="F198" s="29" t="s">
        <v>46</v>
      </c>
      <c r="G198" s="30" t="s">
        <v>46</v>
      </c>
      <c r="H198" s="31"/>
      <c r="I198" s="31" t="s">
        <v>428</v>
      </c>
      <c r="J198" s="32" t="n">
        <v>1.0</v>
      </c>
      <c r="K198" s="33" t="n">
        <f>6611</f>
        <v>6611.0</v>
      </c>
      <c r="L198" s="34" t="s">
        <v>48</v>
      </c>
      <c r="M198" s="33" t="n">
        <f>6778</f>
        <v>6778.0</v>
      </c>
      <c r="N198" s="34" t="s">
        <v>257</v>
      </c>
      <c r="O198" s="33" t="n">
        <f>6476</f>
        <v>6476.0</v>
      </c>
      <c r="P198" s="34" t="s">
        <v>121</v>
      </c>
      <c r="Q198" s="33" t="n">
        <f>6749</f>
        <v>6749.0</v>
      </c>
      <c r="R198" s="34" t="s">
        <v>50</v>
      </c>
      <c r="S198" s="35" t="n">
        <f>6646.05</f>
        <v>6646.05</v>
      </c>
      <c r="T198" s="32" t="n">
        <f>37729</f>
        <v>37729.0</v>
      </c>
      <c r="U198" s="32" t="str">
        <f>"－"</f>
        <v>－</v>
      </c>
      <c r="V198" s="32" t="n">
        <f>250984285</f>
        <v>2.50984285E8</v>
      </c>
      <c r="W198" s="32" t="str">
        <f>"－"</f>
        <v>－</v>
      </c>
      <c r="X198" s="36" t="n">
        <f>20</f>
        <v>20.0</v>
      </c>
    </row>
    <row r="199">
      <c r="A199" s="27" t="s">
        <v>42</v>
      </c>
      <c r="B199" s="27" t="s">
        <v>646</v>
      </c>
      <c r="C199" s="27" t="s">
        <v>647</v>
      </c>
      <c r="D199" s="27" t="s">
        <v>648</v>
      </c>
      <c r="E199" s="28" t="s">
        <v>46</v>
      </c>
      <c r="F199" s="29" t="s">
        <v>46</v>
      </c>
      <c r="G199" s="30" t="s">
        <v>46</v>
      </c>
      <c r="H199" s="31"/>
      <c r="I199" s="31" t="s">
        <v>428</v>
      </c>
      <c r="J199" s="32" t="n">
        <v>1.0</v>
      </c>
      <c r="K199" s="33" t="n">
        <f>20535</f>
        <v>20535.0</v>
      </c>
      <c r="L199" s="34" t="s">
        <v>48</v>
      </c>
      <c r="M199" s="33" t="n">
        <f>21150</f>
        <v>21150.0</v>
      </c>
      <c r="N199" s="34" t="s">
        <v>235</v>
      </c>
      <c r="O199" s="33" t="n">
        <f>20000</f>
        <v>20000.0</v>
      </c>
      <c r="P199" s="34" t="s">
        <v>121</v>
      </c>
      <c r="Q199" s="33" t="n">
        <f>20300</f>
        <v>20300.0</v>
      </c>
      <c r="R199" s="34" t="s">
        <v>50</v>
      </c>
      <c r="S199" s="35" t="n">
        <f>20615</f>
        <v>20615.0</v>
      </c>
      <c r="T199" s="32" t="n">
        <f>999</f>
        <v>999.0</v>
      </c>
      <c r="U199" s="32" t="str">
        <f>"－"</f>
        <v>－</v>
      </c>
      <c r="V199" s="32" t="n">
        <f>20672500</f>
        <v>2.06725E7</v>
      </c>
      <c r="W199" s="32" t="str">
        <f>"－"</f>
        <v>－</v>
      </c>
      <c r="X199" s="36" t="n">
        <f>16</f>
        <v>16.0</v>
      </c>
    </row>
    <row r="200">
      <c r="A200" s="27" t="s">
        <v>42</v>
      </c>
      <c r="B200" s="27" t="s">
        <v>649</v>
      </c>
      <c r="C200" s="27" t="s">
        <v>650</v>
      </c>
      <c r="D200" s="27" t="s">
        <v>651</v>
      </c>
      <c r="E200" s="28" t="s">
        <v>46</v>
      </c>
      <c r="F200" s="29" t="s">
        <v>46</v>
      </c>
      <c r="G200" s="30" t="s">
        <v>46</v>
      </c>
      <c r="H200" s="31"/>
      <c r="I200" s="31" t="s">
        <v>428</v>
      </c>
      <c r="J200" s="32" t="n">
        <v>1.0</v>
      </c>
      <c r="K200" s="33" t="n">
        <f>30370</f>
        <v>30370.0</v>
      </c>
      <c r="L200" s="34" t="s">
        <v>48</v>
      </c>
      <c r="M200" s="33" t="n">
        <f>31860</f>
        <v>31860.0</v>
      </c>
      <c r="N200" s="34" t="s">
        <v>158</v>
      </c>
      <c r="O200" s="33" t="n">
        <f>30050</f>
        <v>30050.0</v>
      </c>
      <c r="P200" s="34" t="s">
        <v>48</v>
      </c>
      <c r="Q200" s="33" t="n">
        <f>31160</f>
        <v>31160.0</v>
      </c>
      <c r="R200" s="34" t="s">
        <v>50</v>
      </c>
      <c r="S200" s="35" t="n">
        <f>31170</f>
        <v>31170.0</v>
      </c>
      <c r="T200" s="32" t="n">
        <f>10057</f>
        <v>10057.0</v>
      </c>
      <c r="U200" s="32" t="str">
        <f>"－"</f>
        <v>－</v>
      </c>
      <c r="V200" s="32" t="n">
        <f>314181890</f>
        <v>3.1418189E8</v>
      </c>
      <c r="W200" s="32" t="str">
        <f>"－"</f>
        <v>－</v>
      </c>
      <c r="X200" s="36" t="n">
        <f>20</f>
        <v>20.0</v>
      </c>
    </row>
    <row r="201">
      <c r="A201" s="27" t="s">
        <v>42</v>
      </c>
      <c r="B201" s="27" t="s">
        <v>652</v>
      </c>
      <c r="C201" s="27" t="s">
        <v>653</v>
      </c>
      <c r="D201" s="27" t="s">
        <v>654</v>
      </c>
      <c r="E201" s="28" t="s">
        <v>46</v>
      </c>
      <c r="F201" s="29" t="s">
        <v>46</v>
      </c>
      <c r="G201" s="30" t="s">
        <v>46</v>
      </c>
      <c r="H201" s="31"/>
      <c r="I201" s="31" t="s">
        <v>428</v>
      </c>
      <c r="J201" s="32" t="n">
        <v>1.0</v>
      </c>
      <c r="K201" s="33" t="n">
        <f>17195</f>
        <v>17195.0</v>
      </c>
      <c r="L201" s="34" t="s">
        <v>48</v>
      </c>
      <c r="M201" s="33" t="n">
        <f>17550</f>
        <v>17550.0</v>
      </c>
      <c r="N201" s="34" t="s">
        <v>121</v>
      </c>
      <c r="O201" s="33" t="n">
        <f>16255</f>
        <v>16255.0</v>
      </c>
      <c r="P201" s="34" t="s">
        <v>50</v>
      </c>
      <c r="Q201" s="33" t="n">
        <f>16255</f>
        <v>16255.0</v>
      </c>
      <c r="R201" s="34" t="s">
        <v>50</v>
      </c>
      <c r="S201" s="35" t="n">
        <f>16882.31</f>
        <v>16882.31</v>
      </c>
      <c r="T201" s="32" t="n">
        <f>775</f>
        <v>775.0</v>
      </c>
      <c r="U201" s="32" t="str">
        <f>"－"</f>
        <v>－</v>
      </c>
      <c r="V201" s="32" t="n">
        <f>13117700</f>
        <v>1.31177E7</v>
      </c>
      <c r="W201" s="32" t="str">
        <f>"－"</f>
        <v>－</v>
      </c>
      <c r="X201" s="36" t="n">
        <f>13</f>
        <v>13.0</v>
      </c>
    </row>
    <row r="202">
      <c r="A202" s="27" t="s">
        <v>42</v>
      </c>
      <c r="B202" s="27" t="s">
        <v>655</v>
      </c>
      <c r="C202" s="27" t="s">
        <v>656</v>
      </c>
      <c r="D202" s="27" t="s">
        <v>657</v>
      </c>
      <c r="E202" s="28" t="s">
        <v>46</v>
      </c>
      <c r="F202" s="29" t="s">
        <v>46</v>
      </c>
      <c r="G202" s="30" t="s">
        <v>46</v>
      </c>
      <c r="H202" s="31"/>
      <c r="I202" s="31" t="s">
        <v>428</v>
      </c>
      <c r="J202" s="32" t="n">
        <v>1.0</v>
      </c>
      <c r="K202" s="33" t="n">
        <f>33000</f>
        <v>33000.0</v>
      </c>
      <c r="L202" s="34" t="s">
        <v>48</v>
      </c>
      <c r="M202" s="33" t="n">
        <f>33800</f>
        <v>33800.0</v>
      </c>
      <c r="N202" s="34" t="s">
        <v>73</v>
      </c>
      <c r="O202" s="33" t="n">
        <f>30340</f>
        <v>30340.0</v>
      </c>
      <c r="P202" s="34" t="s">
        <v>94</v>
      </c>
      <c r="Q202" s="33" t="n">
        <f>31800</f>
        <v>31800.0</v>
      </c>
      <c r="R202" s="34" t="s">
        <v>50</v>
      </c>
      <c r="S202" s="35" t="n">
        <f>32033.5</f>
        <v>32033.5</v>
      </c>
      <c r="T202" s="32" t="n">
        <f>52591</f>
        <v>52591.0</v>
      </c>
      <c r="U202" s="32" t="n">
        <f>741</f>
        <v>741.0</v>
      </c>
      <c r="V202" s="32" t="n">
        <f>1682407680</f>
        <v>1.68240768E9</v>
      </c>
      <c r="W202" s="32" t="n">
        <f>23760930</f>
        <v>2.376093E7</v>
      </c>
      <c r="X202" s="36" t="n">
        <f>20</f>
        <v>20.0</v>
      </c>
    </row>
    <row r="203">
      <c r="A203" s="27" t="s">
        <v>42</v>
      </c>
      <c r="B203" s="27" t="s">
        <v>658</v>
      </c>
      <c r="C203" s="27" t="s">
        <v>659</v>
      </c>
      <c r="D203" s="27" t="s">
        <v>660</v>
      </c>
      <c r="E203" s="28" t="s">
        <v>46</v>
      </c>
      <c r="F203" s="29" t="s">
        <v>46</v>
      </c>
      <c r="G203" s="30" t="s">
        <v>46</v>
      </c>
      <c r="H203" s="31"/>
      <c r="I203" s="31" t="s">
        <v>428</v>
      </c>
      <c r="J203" s="32" t="n">
        <v>1.0</v>
      </c>
      <c r="K203" s="33" t="n">
        <f>3640</f>
        <v>3640.0</v>
      </c>
      <c r="L203" s="34" t="s">
        <v>48</v>
      </c>
      <c r="M203" s="33" t="n">
        <f>3850</f>
        <v>3850.0</v>
      </c>
      <c r="N203" s="34" t="s">
        <v>397</v>
      </c>
      <c r="O203" s="33" t="n">
        <f>3530</f>
        <v>3530.0</v>
      </c>
      <c r="P203" s="34" t="s">
        <v>61</v>
      </c>
      <c r="Q203" s="33" t="n">
        <f>3590</f>
        <v>3590.0</v>
      </c>
      <c r="R203" s="34" t="s">
        <v>50</v>
      </c>
      <c r="S203" s="35" t="n">
        <f>3692.75</f>
        <v>3692.75</v>
      </c>
      <c r="T203" s="32" t="n">
        <f>9729</f>
        <v>9729.0</v>
      </c>
      <c r="U203" s="32" t="str">
        <f>"－"</f>
        <v>－</v>
      </c>
      <c r="V203" s="32" t="n">
        <f>36228385</f>
        <v>3.6228385E7</v>
      </c>
      <c r="W203" s="32" t="str">
        <f>"－"</f>
        <v>－</v>
      </c>
      <c r="X203" s="36" t="n">
        <f>20</f>
        <v>20.0</v>
      </c>
    </row>
    <row r="204">
      <c r="A204" s="27" t="s">
        <v>42</v>
      </c>
      <c r="B204" s="27" t="s">
        <v>661</v>
      </c>
      <c r="C204" s="27" t="s">
        <v>662</v>
      </c>
      <c r="D204" s="27" t="s">
        <v>663</v>
      </c>
      <c r="E204" s="28" t="s">
        <v>46</v>
      </c>
      <c r="F204" s="29" t="s">
        <v>46</v>
      </c>
      <c r="G204" s="30" t="s">
        <v>46</v>
      </c>
      <c r="H204" s="31"/>
      <c r="I204" s="31" t="s">
        <v>428</v>
      </c>
      <c r="J204" s="32" t="n">
        <v>1.0</v>
      </c>
      <c r="K204" s="33" t="n">
        <f>30000</f>
        <v>30000.0</v>
      </c>
      <c r="L204" s="34" t="s">
        <v>48</v>
      </c>
      <c r="M204" s="33" t="n">
        <f>32250</f>
        <v>32250.0</v>
      </c>
      <c r="N204" s="34" t="s">
        <v>73</v>
      </c>
      <c r="O204" s="33" t="n">
        <f>29930</f>
        <v>29930.0</v>
      </c>
      <c r="P204" s="34" t="s">
        <v>48</v>
      </c>
      <c r="Q204" s="33" t="n">
        <f>30610</f>
        <v>30610.0</v>
      </c>
      <c r="R204" s="34" t="s">
        <v>50</v>
      </c>
      <c r="S204" s="35" t="n">
        <f>31322</f>
        <v>31322.0</v>
      </c>
      <c r="T204" s="32" t="n">
        <f>3228</f>
        <v>3228.0</v>
      </c>
      <c r="U204" s="32" t="str">
        <f>"－"</f>
        <v>－</v>
      </c>
      <c r="V204" s="32" t="n">
        <f>101258570</f>
        <v>1.0125857E8</v>
      </c>
      <c r="W204" s="32" t="str">
        <f>"－"</f>
        <v>－</v>
      </c>
      <c r="X204" s="36" t="n">
        <f>15</f>
        <v>15.0</v>
      </c>
    </row>
    <row r="205">
      <c r="A205" s="27" t="s">
        <v>42</v>
      </c>
      <c r="B205" s="27" t="s">
        <v>664</v>
      </c>
      <c r="C205" s="27" t="s">
        <v>665</v>
      </c>
      <c r="D205" s="27" t="s">
        <v>666</v>
      </c>
      <c r="E205" s="28" t="s">
        <v>46</v>
      </c>
      <c r="F205" s="29" t="s">
        <v>46</v>
      </c>
      <c r="G205" s="30" t="s">
        <v>46</v>
      </c>
      <c r="H205" s="31"/>
      <c r="I205" s="31" t="s">
        <v>428</v>
      </c>
      <c r="J205" s="32" t="n">
        <v>1.0</v>
      </c>
      <c r="K205" s="33" t="n">
        <f>19355</f>
        <v>19355.0</v>
      </c>
      <c r="L205" s="34" t="s">
        <v>54</v>
      </c>
      <c r="M205" s="33" t="n">
        <f>19650</f>
        <v>19650.0</v>
      </c>
      <c r="N205" s="34" t="s">
        <v>87</v>
      </c>
      <c r="O205" s="33" t="n">
        <f>19335</f>
        <v>19335.0</v>
      </c>
      <c r="P205" s="34" t="s">
        <v>397</v>
      </c>
      <c r="Q205" s="33" t="n">
        <f>19545</f>
        <v>19545.0</v>
      </c>
      <c r="R205" s="34" t="s">
        <v>61</v>
      </c>
      <c r="S205" s="35" t="n">
        <f>19490</f>
        <v>19490.0</v>
      </c>
      <c r="T205" s="32" t="n">
        <f>76</f>
        <v>76.0</v>
      </c>
      <c r="U205" s="32" t="str">
        <f>"－"</f>
        <v>－</v>
      </c>
      <c r="V205" s="32" t="n">
        <f>1480570</f>
        <v>1480570.0</v>
      </c>
      <c r="W205" s="32" t="str">
        <f>"－"</f>
        <v>－</v>
      </c>
      <c r="X205" s="36" t="n">
        <f>6</f>
        <v>6.0</v>
      </c>
    </row>
    <row r="206">
      <c r="A206" s="27" t="s">
        <v>42</v>
      </c>
      <c r="B206" s="27" t="s">
        <v>667</v>
      </c>
      <c r="C206" s="27" t="s">
        <v>668</v>
      </c>
      <c r="D206" s="27" t="s">
        <v>669</v>
      </c>
      <c r="E206" s="28" t="s">
        <v>46</v>
      </c>
      <c r="F206" s="29" t="s">
        <v>46</v>
      </c>
      <c r="G206" s="30" t="s">
        <v>46</v>
      </c>
      <c r="H206" s="31"/>
      <c r="I206" s="31" t="s">
        <v>428</v>
      </c>
      <c r="J206" s="32" t="n">
        <v>1.0</v>
      </c>
      <c r="K206" s="33" t="n">
        <f>34730</f>
        <v>34730.0</v>
      </c>
      <c r="L206" s="34" t="s">
        <v>121</v>
      </c>
      <c r="M206" s="33" t="n">
        <f>36660</f>
        <v>36660.0</v>
      </c>
      <c r="N206" s="34" t="s">
        <v>257</v>
      </c>
      <c r="O206" s="33" t="n">
        <f>34730</f>
        <v>34730.0</v>
      </c>
      <c r="P206" s="34" t="s">
        <v>121</v>
      </c>
      <c r="Q206" s="33" t="n">
        <f>36660</f>
        <v>36660.0</v>
      </c>
      <c r="R206" s="34" t="s">
        <v>257</v>
      </c>
      <c r="S206" s="35" t="n">
        <f>35932</f>
        <v>35932.0</v>
      </c>
      <c r="T206" s="32" t="n">
        <f>630</f>
        <v>630.0</v>
      </c>
      <c r="U206" s="32" t="str">
        <f>"－"</f>
        <v>－</v>
      </c>
      <c r="V206" s="32" t="n">
        <f>22449300</f>
        <v>2.24493E7</v>
      </c>
      <c r="W206" s="32" t="str">
        <f>"－"</f>
        <v>－</v>
      </c>
      <c r="X206" s="36" t="n">
        <f>10</f>
        <v>10.0</v>
      </c>
    </row>
    <row r="207">
      <c r="A207" s="27" t="s">
        <v>42</v>
      </c>
      <c r="B207" s="27" t="s">
        <v>670</v>
      </c>
      <c r="C207" s="27" t="s">
        <v>671</v>
      </c>
      <c r="D207" s="27" t="s">
        <v>672</v>
      </c>
      <c r="E207" s="28" t="s">
        <v>46</v>
      </c>
      <c r="F207" s="29" t="s">
        <v>46</v>
      </c>
      <c r="G207" s="30" t="s">
        <v>46</v>
      </c>
      <c r="H207" s="31"/>
      <c r="I207" s="31" t="s">
        <v>428</v>
      </c>
      <c r="J207" s="32" t="n">
        <v>1.0</v>
      </c>
      <c r="K207" s="33" t="n">
        <f>19325</f>
        <v>19325.0</v>
      </c>
      <c r="L207" s="34" t="s">
        <v>108</v>
      </c>
      <c r="M207" s="33" t="n">
        <f>19750</f>
        <v>19750.0</v>
      </c>
      <c r="N207" s="34" t="s">
        <v>158</v>
      </c>
      <c r="O207" s="33" t="n">
        <f>19325</f>
        <v>19325.0</v>
      </c>
      <c r="P207" s="34" t="s">
        <v>108</v>
      </c>
      <c r="Q207" s="33" t="n">
        <f>19750</f>
        <v>19750.0</v>
      </c>
      <c r="R207" s="34" t="s">
        <v>158</v>
      </c>
      <c r="S207" s="35" t="n">
        <f>19537.5</f>
        <v>19537.5</v>
      </c>
      <c r="T207" s="32" t="n">
        <f>1150</f>
        <v>1150.0</v>
      </c>
      <c r="U207" s="32" t="str">
        <f>"－"</f>
        <v>－</v>
      </c>
      <c r="V207" s="32" t="n">
        <f>22287500</f>
        <v>2.22875E7</v>
      </c>
      <c r="W207" s="32" t="str">
        <f>"－"</f>
        <v>－</v>
      </c>
      <c r="X207" s="36" t="n">
        <f>2</f>
        <v>2.0</v>
      </c>
    </row>
    <row r="208">
      <c r="A208" s="27" t="s">
        <v>42</v>
      </c>
      <c r="B208" s="27" t="s">
        <v>673</v>
      </c>
      <c r="C208" s="27" t="s">
        <v>674</v>
      </c>
      <c r="D208" s="27" t="s">
        <v>675</v>
      </c>
      <c r="E208" s="28" t="s">
        <v>46</v>
      </c>
      <c r="F208" s="29" t="s">
        <v>46</v>
      </c>
      <c r="G208" s="30" t="s">
        <v>46</v>
      </c>
      <c r="H208" s="31"/>
      <c r="I208" s="31" t="s">
        <v>428</v>
      </c>
      <c r="J208" s="32" t="n">
        <v>1.0</v>
      </c>
      <c r="K208" s="33" t="n">
        <f>19170</f>
        <v>19170.0</v>
      </c>
      <c r="L208" s="34" t="s">
        <v>48</v>
      </c>
      <c r="M208" s="33" t="n">
        <f>19725</f>
        <v>19725.0</v>
      </c>
      <c r="N208" s="34" t="s">
        <v>235</v>
      </c>
      <c r="O208" s="33" t="n">
        <f>18905</f>
        <v>18905.0</v>
      </c>
      <c r="P208" s="34" t="s">
        <v>162</v>
      </c>
      <c r="Q208" s="33" t="n">
        <f>18995</f>
        <v>18995.0</v>
      </c>
      <c r="R208" s="34" t="s">
        <v>61</v>
      </c>
      <c r="S208" s="35" t="n">
        <f>19277.92</f>
        <v>19277.92</v>
      </c>
      <c r="T208" s="32" t="n">
        <f>217</f>
        <v>217.0</v>
      </c>
      <c r="U208" s="32" t="str">
        <f>"－"</f>
        <v>－</v>
      </c>
      <c r="V208" s="32" t="n">
        <f>4259285</f>
        <v>4259285.0</v>
      </c>
      <c r="W208" s="32" t="str">
        <f>"－"</f>
        <v>－</v>
      </c>
      <c r="X208" s="36" t="n">
        <f>12</f>
        <v>12.0</v>
      </c>
    </row>
    <row r="209">
      <c r="A209" s="27" t="s">
        <v>42</v>
      </c>
      <c r="B209" s="27" t="s">
        <v>676</v>
      </c>
      <c r="C209" s="27" t="s">
        <v>677</v>
      </c>
      <c r="D209" s="27" t="s">
        <v>678</v>
      </c>
      <c r="E209" s="28" t="s">
        <v>46</v>
      </c>
      <c r="F209" s="29" t="s">
        <v>46</v>
      </c>
      <c r="G209" s="30" t="s">
        <v>46</v>
      </c>
      <c r="H209" s="31"/>
      <c r="I209" s="31" t="s">
        <v>428</v>
      </c>
      <c r="J209" s="32" t="n">
        <v>1.0</v>
      </c>
      <c r="K209" s="33" t="n">
        <f>22710</f>
        <v>22710.0</v>
      </c>
      <c r="L209" s="34" t="s">
        <v>48</v>
      </c>
      <c r="M209" s="33" t="n">
        <f>23285</f>
        <v>23285.0</v>
      </c>
      <c r="N209" s="34" t="s">
        <v>73</v>
      </c>
      <c r="O209" s="33" t="n">
        <f>22245</f>
        <v>22245.0</v>
      </c>
      <c r="P209" s="34" t="s">
        <v>257</v>
      </c>
      <c r="Q209" s="33" t="n">
        <f>22245</f>
        <v>22245.0</v>
      </c>
      <c r="R209" s="34" t="s">
        <v>257</v>
      </c>
      <c r="S209" s="35" t="n">
        <f>22790</f>
        <v>22790.0</v>
      </c>
      <c r="T209" s="32" t="n">
        <f>72</f>
        <v>72.0</v>
      </c>
      <c r="U209" s="32" t="str">
        <f>"－"</f>
        <v>－</v>
      </c>
      <c r="V209" s="32" t="n">
        <f>1648590</f>
        <v>1648590.0</v>
      </c>
      <c r="W209" s="32" t="str">
        <f>"－"</f>
        <v>－</v>
      </c>
      <c r="X209" s="36" t="n">
        <f>8</f>
        <v>8.0</v>
      </c>
    </row>
    <row r="210">
      <c r="A210" s="27" t="s">
        <v>42</v>
      </c>
      <c r="B210" s="27" t="s">
        <v>679</v>
      </c>
      <c r="C210" s="27" t="s">
        <v>680</v>
      </c>
      <c r="D210" s="27" t="s">
        <v>681</v>
      </c>
      <c r="E210" s="28" t="s">
        <v>46</v>
      </c>
      <c r="F210" s="29" t="s">
        <v>46</v>
      </c>
      <c r="G210" s="30" t="s">
        <v>46</v>
      </c>
      <c r="H210" s="31"/>
      <c r="I210" s="31" t="s">
        <v>428</v>
      </c>
      <c r="J210" s="32" t="n">
        <v>1.0</v>
      </c>
      <c r="K210" s="33" t="n">
        <f>17700</f>
        <v>17700.0</v>
      </c>
      <c r="L210" s="34" t="s">
        <v>48</v>
      </c>
      <c r="M210" s="33" t="n">
        <f>18155</f>
        <v>18155.0</v>
      </c>
      <c r="N210" s="34" t="s">
        <v>54</v>
      </c>
      <c r="O210" s="33" t="n">
        <f>17700</f>
        <v>17700.0</v>
      </c>
      <c r="P210" s="34" t="s">
        <v>48</v>
      </c>
      <c r="Q210" s="33" t="n">
        <f>18155</f>
        <v>18155.0</v>
      </c>
      <c r="R210" s="34" t="s">
        <v>54</v>
      </c>
      <c r="S210" s="35" t="n">
        <f>17938.33</f>
        <v>17938.33</v>
      </c>
      <c r="T210" s="32" t="n">
        <f>26</f>
        <v>26.0</v>
      </c>
      <c r="U210" s="32" t="str">
        <f>"－"</f>
        <v>－</v>
      </c>
      <c r="V210" s="32" t="n">
        <f>462995</f>
        <v>462995.0</v>
      </c>
      <c r="W210" s="32" t="str">
        <f>"－"</f>
        <v>－</v>
      </c>
      <c r="X210" s="36" t="n">
        <f>3</f>
        <v>3.0</v>
      </c>
    </row>
    <row r="211">
      <c r="A211" s="27" t="s">
        <v>42</v>
      </c>
      <c r="B211" s="27" t="s">
        <v>682</v>
      </c>
      <c r="C211" s="27" t="s">
        <v>683</v>
      </c>
      <c r="D211" s="27" t="s">
        <v>684</v>
      </c>
      <c r="E211" s="28" t="s">
        <v>46</v>
      </c>
      <c r="F211" s="29" t="s">
        <v>46</v>
      </c>
      <c r="G211" s="30" t="s">
        <v>46</v>
      </c>
      <c r="H211" s="31"/>
      <c r="I211" s="31" t="s">
        <v>428</v>
      </c>
      <c r="J211" s="32" t="n">
        <v>1.0</v>
      </c>
      <c r="K211" s="33" t="n">
        <f>12235</f>
        <v>12235.0</v>
      </c>
      <c r="L211" s="34" t="s">
        <v>73</v>
      </c>
      <c r="M211" s="33" t="n">
        <f>12235</f>
        <v>12235.0</v>
      </c>
      <c r="N211" s="34" t="s">
        <v>73</v>
      </c>
      <c r="O211" s="33" t="n">
        <f>11815</f>
        <v>11815.0</v>
      </c>
      <c r="P211" s="34" t="s">
        <v>397</v>
      </c>
      <c r="Q211" s="33" t="n">
        <f>11935</f>
        <v>11935.0</v>
      </c>
      <c r="R211" s="34" t="s">
        <v>162</v>
      </c>
      <c r="S211" s="35" t="n">
        <f>12030.83</f>
        <v>12030.83</v>
      </c>
      <c r="T211" s="32" t="n">
        <f>1151</f>
        <v>1151.0</v>
      </c>
      <c r="U211" s="32" t="str">
        <f>"－"</f>
        <v>－</v>
      </c>
      <c r="V211" s="32" t="n">
        <f>13900380</f>
        <v>1.390038E7</v>
      </c>
      <c r="W211" s="32" t="str">
        <f>"－"</f>
        <v>－</v>
      </c>
      <c r="X211" s="36" t="n">
        <f>6</f>
        <v>6.0</v>
      </c>
    </row>
    <row r="212">
      <c r="A212" s="27" t="s">
        <v>42</v>
      </c>
      <c r="B212" s="27" t="s">
        <v>685</v>
      </c>
      <c r="C212" s="27" t="s">
        <v>686</v>
      </c>
      <c r="D212" s="27" t="s">
        <v>687</v>
      </c>
      <c r="E212" s="28" t="s">
        <v>46</v>
      </c>
      <c r="F212" s="29" t="s">
        <v>46</v>
      </c>
      <c r="G212" s="30" t="s">
        <v>46</v>
      </c>
      <c r="H212" s="31"/>
      <c r="I212" s="31" t="s">
        <v>428</v>
      </c>
      <c r="J212" s="32" t="n">
        <v>1.0</v>
      </c>
      <c r="K212" s="33" t="n">
        <f>14155</f>
        <v>14155.0</v>
      </c>
      <c r="L212" s="34" t="s">
        <v>121</v>
      </c>
      <c r="M212" s="33" t="n">
        <f>14630</f>
        <v>14630.0</v>
      </c>
      <c r="N212" s="34" t="s">
        <v>49</v>
      </c>
      <c r="O212" s="33" t="n">
        <f>14055</f>
        <v>14055.0</v>
      </c>
      <c r="P212" s="34" t="s">
        <v>397</v>
      </c>
      <c r="Q212" s="33" t="n">
        <f>14165</f>
        <v>14165.0</v>
      </c>
      <c r="R212" s="34" t="s">
        <v>50</v>
      </c>
      <c r="S212" s="35" t="n">
        <f>14294.17</f>
        <v>14294.17</v>
      </c>
      <c r="T212" s="32" t="n">
        <f>4769</f>
        <v>4769.0</v>
      </c>
      <c r="U212" s="32" t="str">
        <f>"－"</f>
        <v>－</v>
      </c>
      <c r="V212" s="32" t="n">
        <f>67653425</f>
        <v>6.7653425E7</v>
      </c>
      <c r="W212" s="32" t="str">
        <f>"－"</f>
        <v>－</v>
      </c>
      <c r="X212" s="36" t="n">
        <f>12</f>
        <v>12.0</v>
      </c>
    </row>
    <row r="213">
      <c r="A213" s="27" t="s">
        <v>42</v>
      </c>
      <c r="B213" s="27" t="s">
        <v>688</v>
      </c>
      <c r="C213" s="27" t="s">
        <v>689</v>
      </c>
      <c r="D213" s="27" t="s">
        <v>690</v>
      </c>
      <c r="E213" s="28" t="s">
        <v>46</v>
      </c>
      <c r="F213" s="29" t="s">
        <v>46</v>
      </c>
      <c r="G213" s="30" t="s">
        <v>46</v>
      </c>
      <c r="H213" s="31"/>
      <c r="I213" s="31" t="s">
        <v>428</v>
      </c>
      <c r="J213" s="32" t="n">
        <v>1.0</v>
      </c>
      <c r="K213" s="33" t="n">
        <f>12595</f>
        <v>12595.0</v>
      </c>
      <c r="L213" s="34" t="s">
        <v>48</v>
      </c>
      <c r="M213" s="33" t="n">
        <f>12860</f>
        <v>12860.0</v>
      </c>
      <c r="N213" s="34" t="s">
        <v>73</v>
      </c>
      <c r="O213" s="33" t="n">
        <f>12595</f>
        <v>12595.0</v>
      </c>
      <c r="P213" s="34" t="s">
        <v>48</v>
      </c>
      <c r="Q213" s="33" t="n">
        <f>12705</f>
        <v>12705.0</v>
      </c>
      <c r="R213" s="34" t="s">
        <v>50</v>
      </c>
      <c r="S213" s="35" t="n">
        <f>12708</f>
        <v>12708.0</v>
      </c>
      <c r="T213" s="32" t="n">
        <f>380</f>
        <v>380.0</v>
      </c>
      <c r="U213" s="32" t="str">
        <f>"－"</f>
        <v>－</v>
      </c>
      <c r="V213" s="32" t="n">
        <f>4832995</f>
        <v>4832995.0</v>
      </c>
      <c r="W213" s="32" t="str">
        <f>"－"</f>
        <v>－</v>
      </c>
      <c r="X213" s="36" t="n">
        <f>5</f>
        <v>5.0</v>
      </c>
    </row>
    <row r="214">
      <c r="A214" s="27" t="s">
        <v>42</v>
      </c>
      <c r="B214" s="27" t="s">
        <v>691</v>
      </c>
      <c r="C214" s="27" t="s">
        <v>692</v>
      </c>
      <c r="D214" s="27" t="s">
        <v>693</v>
      </c>
      <c r="E214" s="28" t="s">
        <v>46</v>
      </c>
      <c r="F214" s="29" t="s">
        <v>46</v>
      </c>
      <c r="G214" s="30" t="s">
        <v>46</v>
      </c>
      <c r="H214" s="31"/>
      <c r="I214" s="31" t="s">
        <v>428</v>
      </c>
      <c r="J214" s="32" t="n">
        <v>1.0</v>
      </c>
      <c r="K214" s="33" t="n">
        <f>13280</f>
        <v>13280.0</v>
      </c>
      <c r="L214" s="34" t="s">
        <v>257</v>
      </c>
      <c r="M214" s="33" t="n">
        <f>13280</f>
        <v>13280.0</v>
      </c>
      <c r="N214" s="34" t="s">
        <v>257</v>
      </c>
      <c r="O214" s="33" t="n">
        <f>13250</f>
        <v>13250.0</v>
      </c>
      <c r="P214" s="34" t="s">
        <v>162</v>
      </c>
      <c r="Q214" s="33" t="n">
        <f>13250</f>
        <v>13250.0</v>
      </c>
      <c r="R214" s="34" t="s">
        <v>162</v>
      </c>
      <c r="S214" s="35" t="n">
        <f>13265</f>
        <v>13265.0</v>
      </c>
      <c r="T214" s="32" t="n">
        <f>201</f>
        <v>201.0</v>
      </c>
      <c r="U214" s="32" t="str">
        <f>"－"</f>
        <v>－</v>
      </c>
      <c r="V214" s="32" t="n">
        <f>2666260</f>
        <v>2666260.0</v>
      </c>
      <c r="W214" s="32" t="str">
        <f>"－"</f>
        <v>－</v>
      </c>
      <c r="X214" s="36" t="n">
        <f>2</f>
        <v>2.0</v>
      </c>
    </row>
    <row r="215">
      <c r="A215" s="27" t="s">
        <v>42</v>
      </c>
      <c r="B215" s="27" t="s">
        <v>694</v>
      </c>
      <c r="C215" s="27" t="s">
        <v>695</v>
      </c>
      <c r="D215" s="27" t="s">
        <v>696</v>
      </c>
      <c r="E215" s="28" t="s">
        <v>46</v>
      </c>
      <c r="F215" s="29" t="s">
        <v>46</v>
      </c>
      <c r="G215" s="30" t="s">
        <v>46</v>
      </c>
      <c r="H215" s="31"/>
      <c r="I215" s="31" t="s">
        <v>47</v>
      </c>
      <c r="J215" s="32" t="n">
        <v>1.0</v>
      </c>
      <c r="K215" s="33" t="n">
        <f>1127</f>
        <v>1127.0</v>
      </c>
      <c r="L215" s="34" t="s">
        <v>48</v>
      </c>
      <c r="M215" s="33" t="n">
        <f>1189</f>
        <v>1189.0</v>
      </c>
      <c r="N215" s="34" t="s">
        <v>158</v>
      </c>
      <c r="O215" s="33" t="n">
        <f>1121</f>
        <v>1121.0</v>
      </c>
      <c r="P215" s="34" t="s">
        <v>48</v>
      </c>
      <c r="Q215" s="33" t="n">
        <f>1163</f>
        <v>1163.0</v>
      </c>
      <c r="R215" s="34" t="s">
        <v>50</v>
      </c>
      <c r="S215" s="35" t="n">
        <f>1164.15</f>
        <v>1164.15</v>
      </c>
      <c r="T215" s="32" t="n">
        <f>1185199</f>
        <v>1185199.0</v>
      </c>
      <c r="U215" s="32" t="n">
        <f>160530</f>
        <v>160530.0</v>
      </c>
      <c r="V215" s="32" t="n">
        <f>1379917572</f>
        <v>1.379917572E9</v>
      </c>
      <c r="W215" s="32" t="n">
        <f>183317400</f>
        <v>1.833174E8</v>
      </c>
      <c r="X215" s="36" t="n">
        <f>20</f>
        <v>20.0</v>
      </c>
    </row>
    <row r="216">
      <c r="A216" s="27" t="s">
        <v>42</v>
      </c>
      <c r="B216" s="27" t="s">
        <v>697</v>
      </c>
      <c r="C216" s="27" t="s">
        <v>698</v>
      </c>
      <c r="D216" s="27" t="s">
        <v>699</v>
      </c>
      <c r="E216" s="28" t="s">
        <v>46</v>
      </c>
      <c r="F216" s="29" t="s">
        <v>46</v>
      </c>
      <c r="G216" s="30" t="s">
        <v>46</v>
      </c>
      <c r="H216" s="31"/>
      <c r="I216" s="31" t="s">
        <v>47</v>
      </c>
      <c r="J216" s="32" t="n">
        <v>1.0</v>
      </c>
      <c r="K216" s="33" t="n">
        <f>1165</f>
        <v>1165.0</v>
      </c>
      <c r="L216" s="34" t="s">
        <v>48</v>
      </c>
      <c r="M216" s="33" t="n">
        <f>1243</f>
        <v>1243.0</v>
      </c>
      <c r="N216" s="34" t="s">
        <v>158</v>
      </c>
      <c r="O216" s="33" t="n">
        <f>1164</f>
        <v>1164.0</v>
      </c>
      <c r="P216" s="34" t="s">
        <v>48</v>
      </c>
      <c r="Q216" s="33" t="n">
        <f>1215</f>
        <v>1215.0</v>
      </c>
      <c r="R216" s="34" t="s">
        <v>50</v>
      </c>
      <c r="S216" s="35" t="n">
        <f>1216.1</f>
        <v>1216.1</v>
      </c>
      <c r="T216" s="32" t="n">
        <f>38961</f>
        <v>38961.0</v>
      </c>
      <c r="U216" s="32" t="str">
        <f>"－"</f>
        <v>－</v>
      </c>
      <c r="V216" s="32" t="n">
        <f>47591837</f>
        <v>4.7591837E7</v>
      </c>
      <c r="W216" s="32" t="str">
        <f>"－"</f>
        <v>－</v>
      </c>
      <c r="X216" s="36" t="n">
        <f>20</f>
        <v>20.0</v>
      </c>
    </row>
    <row r="217">
      <c r="A217" s="27" t="s">
        <v>42</v>
      </c>
      <c r="B217" s="27" t="s">
        <v>700</v>
      </c>
      <c r="C217" s="27" t="s">
        <v>701</v>
      </c>
      <c r="D217" s="27" t="s">
        <v>702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1.0</v>
      </c>
      <c r="K217" s="33" t="n">
        <f>1008</f>
        <v>1008.0</v>
      </c>
      <c r="L217" s="34" t="s">
        <v>48</v>
      </c>
      <c r="M217" s="33" t="n">
        <f>1049</f>
        <v>1049.0</v>
      </c>
      <c r="N217" s="34" t="s">
        <v>73</v>
      </c>
      <c r="O217" s="33" t="n">
        <f>999</f>
        <v>999.0</v>
      </c>
      <c r="P217" s="34" t="s">
        <v>108</v>
      </c>
      <c r="Q217" s="33" t="n">
        <f>1033</f>
        <v>1033.0</v>
      </c>
      <c r="R217" s="34" t="s">
        <v>50</v>
      </c>
      <c r="S217" s="35" t="n">
        <f>1022.15</f>
        <v>1022.15</v>
      </c>
      <c r="T217" s="32" t="n">
        <f>3504</f>
        <v>3504.0</v>
      </c>
      <c r="U217" s="32" t="str">
        <f>"－"</f>
        <v>－</v>
      </c>
      <c r="V217" s="32" t="n">
        <f>3555128</f>
        <v>3555128.0</v>
      </c>
      <c r="W217" s="32" t="str">
        <f>"－"</f>
        <v>－</v>
      </c>
      <c r="X217" s="36" t="n">
        <f>20</f>
        <v>20.0</v>
      </c>
    </row>
    <row r="218">
      <c r="A218" s="27" t="s">
        <v>42</v>
      </c>
      <c r="B218" s="27" t="s">
        <v>703</v>
      </c>
      <c r="C218" s="27" t="s">
        <v>704</v>
      </c>
      <c r="D218" s="27" t="s">
        <v>705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1.0</v>
      </c>
      <c r="K218" s="33" t="n">
        <f>2157</f>
        <v>2157.0</v>
      </c>
      <c r="L218" s="34" t="s">
        <v>48</v>
      </c>
      <c r="M218" s="33" t="n">
        <f>2249</f>
        <v>2249.0</v>
      </c>
      <c r="N218" s="34" t="s">
        <v>73</v>
      </c>
      <c r="O218" s="33" t="n">
        <f>2116</f>
        <v>2116.0</v>
      </c>
      <c r="P218" s="34" t="s">
        <v>50</v>
      </c>
      <c r="Q218" s="33" t="n">
        <f>2133</f>
        <v>2133.0</v>
      </c>
      <c r="R218" s="34" t="s">
        <v>50</v>
      </c>
      <c r="S218" s="35" t="n">
        <f>2165.4</f>
        <v>2165.4</v>
      </c>
      <c r="T218" s="32" t="n">
        <f>169271</f>
        <v>169271.0</v>
      </c>
      <c r="U218" s="32" t="str">
        <f>"－"</f>
        <v>－</v>
      </c>
      <c r="V218" s="32" t="n">
        <f>368379207</f>
        <v>3.68379207E8</v>
      </c>
      <c r="W218" s="32" t="str">
        <f>"－"</f>
        <v>－</v>
      </c>
      <c r="X218" s="36" t="n">
        <f>20</f>
        <v>20.0</v>
      </c>
    </row>
    <row r="219">
      <c r="A219" s="27" t="s">
        <v>42</v>
      </c>
      <c r="B219" s="27" t="s">
        <v>706</v>
      </c>
      <c r="C219" s="27" t="s">
        <v>707</v>
      </c>
      <c r="D219" s="27" t="s">
        <v>708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1.0</v>
      </c>
      <c r="K219" s="33" t="n">
        <f>2237</f>
        <v>2237.0</v>
      </c>
      <c r="L219" s="34" t="s">
        <v>48</v>
      </c>
      <c r="M219" s="33" t="n">
        <f>2331</f>
        <v>2331.0</v>
      </c>
      <c r="N219" s="34" t="s">
        <v>73</v>
      </c>
      <c r="O219" s="33" t="n">
        <f>2232</f>
        <v>2232.0</v>
      </c>
      <c r="P219" s="34" t="s">
        <v>48</v>
      </c>
      <c r="Q219" s="33" t="n">
        <f>2270</f>
        <v>2270.0</v>
      </c>
      <c r="R219" s="34" t="s">
        <v>50</v>
      </c>
      <c r="S219" s="35" t="n">
        <f>2282.55</f>
        <v>2282.55</v>
      </c>
      <c r="T219" s="32" t="n">
        <f>424007</f>
        <v>424007.0</v>
      </c>
      <c r="U219" s="32" t="n">
        <f>35180</f>
        <v>35180.0</v>
      </c>
      <c r="V219" s="32" t="n">
        <f>967536826</f>
        <v>9.67536826E8</v>
      </c>
      <c r="W219" s="32" t="n">
        <f>80082844</f>
        <v>8.0082844E7</v>
      </c>
      <c r="X219" s="36" t="n">
        <f>20</f>
        <v>20.0</v>
      </c>
    </row>
    <row r="220">
      <c r="A220" s="27" t="s">
        <v>42</v>
      </c>
      <c r="B220" s="27" t="s">
        <v>709</v>
      </c>
      <c r="C220" s="27" t="s">
        <v>710</v>
      </c>
      <c r="D220" s="27" t="s">
        <v>711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10.0</v>
      </c>
      <c r="K220" s="33" t="n">
        <f>547</f>
        <v>547.0</v>
      </c>
      <c r="L220" s="34" t="s">
        <v>48</v>
      </c>
      <c r="M220" s="33" t="n">
        <f>559</f>
        <v>559.0</v>
      </c>
      <c r="N220" s="34" t="s">
        <v>73</v>
      </c>
      <c r="O220" s="33" t="n">
        <f>531.8</f>
        <v>531.8</v>
      </c>
      <c r="P220" s="34" t="s">
        <v>162</v>
      </c>
      <c r="Q220" s="33" t="n">
        <f>535.9</f>
        <v>535.9</v>
      </c>
      <c r="R220" s="34" t="s">
        <v>50</v>
      </c>
      <c r="S220" s="35" t="n">
        <f>544.91</f>
        <v>544.91</v>
      </c>
      <c r="T220" s="32" t="n">
        <f>702430</f>
        <v>702430.0</v>
      </c>
      <c r="U220" s="32" t="n">
        <f>60</f>
        <v>60.0</v>
      </c>
      <c r="V220" s="32" t="n">
        <f>382538683</f>
        <v>3.82538683E8</v>
      </c>
      <c r="W220" s="32" t="n">
        <f>32766</f>
        <v>32766.0</v>
      </c>
      <c r="X220" s="36" t="n">
        <f>20</f>
        <v>20.0</v>
      </c>
    </row>
    <row r="221">
      <c r="A221" s="27" t="s">
        <v>42</v>
      </c>
      <c r="B221" s="27" t="s">
        <v>712</v>
      </c>
      <c r="C221" s="27" t="s">
        <v>713</v>
      </c>
      <c r="D221" s="27" t="s">
        <v>714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10.0</v>
      </c>
      <c r="K221" s="33" t="n">
        <f>2427</f>
        <v>2427.0</v>
      </c>
      <c r="L221" s="34" t="s">
        <v>48</v>
      </c>
      <c r="M221" s="33" t="n">
        <f>2606.5</f>
        <v>2606.5</v>
      </c>
      <c r="N221" s="34" t="s">
        <v>61</v>
      </c>
      <c r="O221" s="33" t="n">
        <f>2427</f>
        <v>2427.0</v>
      </c>
      <c r="P221" s="34" t="s">
        <v>48</v>
      </c>
      <c r="Q221" s="33" t="n">
        <f>2557</f>
        <v>2557.0</v>
      </c>
      <c r="R221" s="34" t="s">
        <v>50</v>
      </c>
      <c r="S221" s="35" t="n">
        <f>2525.36</f>
        <v>2525.36</v>
      </c>
      <c r="T221" s="32" t="n">
        <f>1868660</f>
        <v>1868660.0</v>
      </c>
      <c r="U221" s="32" t="n">
        <f>1631000</f>
        <v>1631000.0</v>
      </c>
      <c r="V221" s="32" t="n">
        <f>4665853337</f>
        <v>4.665853337E9</v>
      </c>
      <c r="W221" s="32" t="n">
        <f>4086019547</f>
        <v>4.086019547E9</v>
      </c>
      <c r="X221" s="36" t="n">
        <f>14</f>
        <v>14.0</v>
      </c>
    </row>
    <row r="222">
      <c r="A222" s="27" t="s">
        <v>42</v>
      </c>
      <c r="B222" s="27" t="s">
        <v>715</v>
      </c>
      <c r="C222" s="27" t="s">
        <v>716</v>
      </c>
      <c r="D222" s="27" t="s">
        <v>717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10.0</v>
      </c>
      <c r="K222" s="33" t="n">
        <f>2493.5</f>
        <v>2493.5</v>
      </c>
      <c r="L222" s="34" t="s">
        <v>48</v>
      </c>
      <c r="M222" s="33" t="n">
        <f>2644</f>
        <v>2644.0</v>
      </c>
      <c r="N222" s="34" t="s">
        <v>87</v>
      </c>
      <c r="O222" s="33" t="n">
        <f>2492</f>
        <v>2492.0</v>
      </c>
      <c r="P222" s="34" t="s">
        <v>121</v>
      </c>
      <c r="Q222" s="33" t="n">
        <f>2591.5</f>
        <v>2591.5</v>
      </c>
      <c r="R222" s="34" t="s">
        <v>61</v>
      </c>
      <c r="S222" s="35" t="n">
        <f>2587.13</f>
        <v>2587.13</v>
      </c>
      <c r="T222" s="32" t="n">
        <f>570110</f>
        <v>570110.0</v>
      </c>
      <c r="U222" s="32" t="n">
        <f>417060</f>
        <v>417060.0</v>
      </c>
      <c r="V222" s="32" t="n">
        <f>1478377115</f>
        <v>1.478377115E9</v>
      </c>
      <c r="W222" s="32" t="n">
        <f>1089798815</f>
        <v>1.089798815E9</v>
      </c>
      <c r="X222" s="36" t="n">
        <f>12</f>
        <v>12.0</v>
      </c>
    </row>
    <row r="223">
      <c r="A223" s="27" t="s">
        <v>42</v>
      </c>
      <c r="B223" s="27" t="s">
        <v>718</v>
      </c>
      <c r="C223" s="27" t="s">
        <v>719</v>
      </c>
      <c r="D223" s="27" t="s">
        <v>720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10.0</v>
      </c>
      <c r="K223" s="33" t="n">
        <f>2253</f>
        <v>2253.0</v>
      </c>
      <c r="L223" s="34" t="s">
        <v>48</v>
      </c>
      <c r="M223" s="33" t="n">
        <f>2438</f>
        <v>2438.0</v>
      </c>
      <c r="N223" s="34" t="s">
        <v>257</v>
      </c>
      <c r="O223" s="33" t="n">
        <f>2253</f>
        <v>2253.0</v>
      </c>
      <c r="P223" s="34" t="s">
        <v>48</v>
      </c>
      <c r="Q223" s="33" t="n">
        <f>2417.5</f>
        <v>2417.5</v>
      </c>
      <c r="R223" s="34" t="s">
        <v>162</v>
      </c>
      <c r="S223" s="35" t="n">
        <f>2351.62</f>
        <v>2351.62</v>
      </c>
      <c r="T223" s="32" t="n">
        <f>750670</f>
        <v>750670.0</v>
      </c>
      <c r="U223" s="32" t="n">
        <f>422240</f>
        <v>422240.0</v>
      </c>
      <c r="V223" s="32" t="n">
        <f>1770291130</f>
        <v>1.77029113E9</v>
      </c>
      <c r="W223" s="32" t="n">
        <f>999961780</f>
        <v>9.9996178E8</v>
      </c>
      <c r="X223" s="36" t="n">
        <f>13</f>
        <v>13.0</v>
      </c>
    </row>
    <row r="224">
      <c r="A224" s="27" t="s">
        <v>42</v>
      </c>
      <c r="B224" s="27" t="s">
        <v>721</v>
      </c>
      <c r="C224" s="27" t="s">
        <v>722</v>
      </c>
      <c r="D224" s="27" t="s">
        <v>723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2294</f>
        <v>2294.0</v>
      </c>
      <c r="L224" s="34" t="s">
        <v>104</v>
      </c>
      <c r="M224" s="33" t="n">
        <f>2294</f>
        <v>2294.0</v>
      </c>
      <c r="N224" s="34" t="s">
        <v>104</v>
      </c>
      <c r="O224" s="33" t="n">
        <f>2294</f>
        <v>2294.0</v>
      </c>
      <c r="P224" s="34" t="s">
        <v>104</v>
      </c>
      <c r="Q224" s="33" t="n">
        <f>2294</f>
        <v>2294.0</v>
      </c>
      <c r="R224" s="34" t="s">
        <v>104</v>
      </c>
      <c r="S224" s="35" t="n">
        <f>2294</f>
        <v>2294.0</v>
      </c>
      <c r="T224" s="32" t="n">
        <f>100</f>
        <v>100.0</v>
      </c>
      <c r="U224" s="32" t="str">
        <f>"－"</f>
        <v>－</v>
      </c>
      <c r="V224" s="32" t="n">
        <f>229400</f>
        <v>229400.0</v>
      </c>
      <c r="W224" s="32" t="str">
        <f>"－"</f>
        <v>－</v>
      </c>
      <c r="X224" s="36" t="n">
        <f>1</f>
        <v>1.0</v>
      </c>
    </row>
    <row r="225">
      <c r="A225" s="27" t="s">
        <v>42</v>
      </c>
      <c r="B225" s="27" t="s">
        <v>724</v>
      </c>
      <c r="C225" s="27" t="s">
        <v>725</v>
      </c>
      <c r="D225" s="27" t="s">
        <v>726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10.0</v>
      </c>
      <c r="K225" s="33" t="n">
        <f>4828</f>
        <v>4828.0</v>
      </c>
      <c r="L225" s="34" t="s">
        <v>235</v>
      </c>
      <c r="M225" s="33" t="n">
        <f>4842</f>
        <v>4842.0</v>
      </c>
      <c r="N225" s="34" t="s">
        <v>235</v>
      </c>
      <c r="O225" s="33" t="n">
        <f>4775</f>
        <v>4775.0</v>
      </c>
      <c r="P225" s="34" t="s">
        <v>108</v>
      </c>
      <c r="Q225" s="33" t="n">
        <f>4839</f>
        <v>4839.0</v>
      </c>
      <c r="R225" s="34" t="s">
        <v>61</v>
      </c>
      <c r="S225" s="35" t="n">
        <f>4822</f>
        <v>4822.0</v>
      </c>
      <c r="T225" s="32" t="n">
        <f>22800</f>
        <v>22800.0</v>
      </c>
      <c r="U225" s="32" t="str">
        <f>"－"</f>
        <v>－</v>
      </c>
      <c r="V225" s="32" t="n">
        <f>110169530</f>
        <v>1.1016953E8</v>
      </c>
      <c r="W225" s="32" t="str">
        <f>"－"</f>
        <v>－</v>
      </c>
      <c r="X225" s="36" t="n">
        <f>4</f>
        <v>4.0</v>
      </c>
    </row>
    <row r="226">
      <c r="A226" s="27" t="s">
        <v>42</v>
      </c>
      <c r="B226" s="27" t="s">
        <v>727</v>
      </c>
      <c r="C226" s="27" t="s">
        <v>728</v>
      </c>
      <c r="D226" s="27" t="s">
        <v>729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10.0</v>
      </c>
      <c r="K226" s="33" t="n">
        <f>5162</f>
        <v>5162.0</v>
      </c>
      <c r="L226" s="34" t="s">
        <v>50</v>
      </c>
      <c r="M226" s="33" t="n">
        <f>5162</f>
        <v>5162.0</v>
      </c>
      <c r="N226" s="34" t="s">
        <v>50</v>
      </c>
      <c r="O226" s="33" t="n">
        <f>5162</f>
        <v>5162.0</v>
      </c>
      <c r="P226" s="34" t="s">
        <v>50</v>
      </c>
      <c r="Q226" s="33" t="n">
        <f>5162</f>
        <v>5162.0</v>
      </c>
      <c r="R226" s="34" t="s">
        <v>50</v>
      </c>
      <c r="S226" s="35" t="n">
        <f>5162</f>
        <v>5162.0</v>
      </c>
      <c r="T226" s="32" t="n">
        <f>80</f>
        <v>80.0</v>
      </c>
      <c r="U226" s="32" t="str">
        <f>"－"</f>
        <v>－</v>
      </c>
      <c r="V226" s="32" t="n">
        <f>412960</f>
        <v>412960.0</v>
      </c>
      <c r="W226" s="32" t="str">
        <f>"－"</f>
        <v>－</v>
      </c>
      <c r="X226" s="36" t="n">
        <f>1</f>
        <v>1.0</v>
      </c>
    </row>
    <row r="227">
      <c r="A227" s="27" t="s">
        <v>42</v>
      </c>
      <c r="B227" s="27" t="s">
        <v>730</v>
      </c>
      <c r="C227" s="27" t="s">
        <v>731</v>
      </c>
      <c r="D227" s="27" t="s">
        <v>732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10.0</v>
      </c>
      <c r="K227" s="33" t="n">
        <f>5223</f>
        <v>5223.0</v>
      </c>
      <c r="L227" s="34" t="s">
        <v>50</v>
      </c>
      <c r="M227" s="33" t="n">
        <f>5223</f>
        <v>5223.0</v>
      </c>
      <c r="N227" s="34" t="s">
        <v>50</v>
      </c>
      <c r="O227" s="33" t="n">
        <f>5223</f>
        <v>5223.0</v>
      </c>
      <c r="P227" s="34" t="s">
        <v>50</v>
      </c>
      <c r="Q227" s="33" t="n">
        <f>5223</f>
        <v>5223.0</v>
      </c>
      <c r="R227" s="34" t="s">
        <v>50</v>
      </c>
      <c r="S227" s="35" t="n">
        <f>5223</f>
        <v>5223.0</v>
      </c>
      <c r="T227" s="32" t="n">
        <f>80</f>
        <v>80.0</v>
      </c>
      <c r="U227" s="32" t="str">
        <f>"－"</f>
        <v>－</v>
      </c>
      <c r="V227" s="32" t="n">
        <f>417840</f>
        <v>417840.0</v>
      </c>
      <c r="W227" s="32" t="str">
        <f>"－"</f>
        <v>－</v>
      </c>
      <c r="X227" s="36" t="n">
        <f>1</f>
        <v>1.0</v>
      </c>
    </row>
    <row r="228">
      <c r="A228" s="27" t="s">
        <v>42</v>
      </c>
      <c r="B228" s="27" t="s">
        <v>733</v>
      </c>
      <c r="C228" s="27" t="s">
        <v>734</v>
      </c>
      <c r="D228" s="27" t="s">
        <v>735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10.0</v>
      </c>
      <c r="K228" s="33" t="n">
        <f>5197</f>
        <v>5197.0</v>
      </c>
      <c r="L228" s="34" t="s">
        <v>48</v>
      </c>
      <c r="M228" s="33" t="n">
        <f>5299</f>
        <v>5299.0</v>
      </c>
      <c r="N228" s="34" t="s">
        <v>73</v>
      </c>
      <c r="O228" s="33" t="n">
        <f>5001</f>
        <v>5001.0</v>
      </c>
      <c r="P228" s="34" t="s">
        <v>50</v>
      </c>
      <c r="Q228" s="33" t="n">
        <f>5009</f>
        <v>5009.0</v>
      </c>
      <c r="R228" s="34" t="s">
        <v>50</v>
      </c>
      <c r="S228" s="35" t="n">
        <f>5133.8</f>
        <v>5133.8</v>
      </c>
      <c r="T228" s="32" t="n">
        <f>12920</f>
        <v>12920.0</v>
      </c>
      <c r="U228" s="32" t="str">
        <f>"－"</f>
        <v>－</v>
      </c>
      <c r="V228" s="32" t="n">
        <f>66504300</f>
        <v>6.65043E7</v>
      </c>
      <c r="W228" s="32" t="str">
        <f>"－"</f>
        <v>－</v>
      </c>
      <c r="X228" s="36" t="n">
        <f>20</f>
        <v>20.0</v>
      </c>
    </row>
    <row r="229">
      <c r="A229" s="27" t="s">
        <v>42</v>
      </c>
      <c r="B229" s="27" t="s">
        <v>736</v>
      </c>
      <c r="C229" s="27" t="s">
        <v>737</v>
      </c>
      <c r="D229" s="27" t="s">
        <v>738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1.0</v>
      </c>
      <c r="K229" s="33" t="n">
        <f>986</f>
        <v>986.0</v>
      </c>
      <c r="L229" s="34" t="s">
        <v>48</v>
      </c>
      <c r="M229" s="33" t="n">
        <f>1005</f>
        <v>1005.0</v>
      </c>
      <c r="N229" s="34" t="s">
        <v>104</v>
      </c>
      <c r="O229" s="33" t="n">
        <f>972</f>
        <v>972.0</v>
      </c>
      <c r="P229" s="34" t="s">
        <v>69</v>
      </c>
      <c r="Q229" s="33" t="n">
        <f>985</f>
        <v>985.0</v>
      </c>
      <c r="R229" s="34" t="s">
        <v>50</v>
      </c>
      <c r="S229" s="35" t="n">
        <f>987.1</f>
        <v>987.1</v>
      </c>
      <c r="T229" s="32" t="n">
        <f>46761</f>
        <v>46761.0</v>
      </c>
      <c r="U229" s="32" t="str">
        <f>"－"</f>
        <v>－</v>
      </c>
      <c r="V229" s="32" t="n">
        <f>46124493</f>
        <v>4.6124493E7</v>
      </c>
      <c r="W229" s="32" t="str">
        <f>"－"</f>
        <v>－</v>
      </c>
      <c r="X229" s="36" t="n">
        <f>20</f>
        <v>20.0</v>
      </c>
    </row>
    <row r="230">
      <c r="A230" s="27" t="s">
        <v>42</v>
      </c>
      <c r="B230" s="27" t="s">
        <v>739</v>
      </c>
      <c r="C230" s="27" t="s">
        <v>740</v>
      </c>
      <c r="D230" s="27" t="s">
        <v>741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1.0</v>
      </c>
      <c r="K230" s="33" t="n">
        <f>1144</f>
        <v>1144.0</v>
      </c>
      <c r="L230" s="34" t="s">
        <v>48</v>
      </c>
      <c r="M230" s="33" t="n">
        <f>1207</f>
        <v>1207.0</v>
      </c>
      <c r="N230" s="34" t="s">
        <v>162</v>
      </c>
      <c r="O230" s="33" t="n">
        <f>1141</f>
        <v>1141.0</v>
      </c>
      <c r="P230" s="34" t="s">
        <v>48</v>
      </c>
      <c r="Q230" s="33" t="n">
        <f>1195</f>
        <v>1195.0</v>
      </c>
      <c r="R230" s="34" t="s">
        <v>50</v>
      </c>
      <c r="S230" s="35" t="n">
        <f>1173.75</f>
        <v>1173.75</v>
      </c>
      <c r="T230" s="32" t="n">
        <f>546334</f>
        <v>546334.0</v>
      </c>
      <c r="U230" s="32" t="n">
        <f>427000</f>
        <v>427000.0</v>
      </c>
      <c r="V230" s="32" t="n">
        <f>637819251</f>
        <v>6.37819251E8</v>
      </c>
      <c r="W230" s="32" t="n">
        <f>498561889</f>
        <v>4.98561889E8</v>
      </c>
      <c r="X230" s="36" t="n">
        <f>20</f>
        <v>20.0</v>
      </c>
    </row>
    <row r="231">
      <c r="A231" s="27" t="s">
        <v>42</v>
      </c>
      <c r="B231" s="27" t="s">
        <v>742</v>
      </c>
      <c r="C231" s="27" t="s">
        <v>743</v>
      </c>
      <c r="D231" s="27" t="s">
        <v>744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1.0</v>
      </c>
      <c r="K231" s="33" t="n">
        <f>943</f>
        <v>943.0</v>
      </c>
      <c r="L231" s="34" t="s">
        <v>48</v>
      </c>
      <c r="M231" s="33" t="n">
        <f>957</f>
        <v>957.0</v>
      </c>
      <c r="N231" s="34" t="s">
        <v>519</v>
      </c>
      <c r="O231" s="33" t="n">
        <f>933</f>
        <v>933.0</v>
      </c>
      <c r="P231" s="34" t="s">
        <v>108</v>
      </c>
      <c r="Q231" s="33" t="n">
        <f>943</f>
        <v>943.0</v>
      </c>
      <c r="R231" s="34" t="s">
        <v>50</v>
      </c>
      <c r="S231" s="35" t="n">
        <f>945.5</f>
        <v>945.5</v>
      </c>
      <c r="T231" s="32" t="n">
        <f>197048</f>
        <v>197048.0</v>
      </c>
      <c r="U231" s="32" t="str">
        <f>"－"</f>
        <v>－</v>
      </c>
      <c r="V231" s="32" t="n">
        <f>186164689</f>
        <v>1.86164689E8</v>
      </c>
      <c r="W231" s="32" t="str">
        <f>"－"</f>
        <v>－</v>
      </c>
      <c r="X231" s="36" t="n">
        <f>20</f>
        <v>20.0</v>
      </c>
    </row>
    <row r="232">
      <c r="A232" s="27" t="s">
        <v>42</v>
      </c>
      <c r="B232" s="27" t="s">
        <v>745</v>
      </c>
      <c r="C232" s="27" t="s">
        <v>746</v>
      </c>
      <c r="D232" s="27" t="s">
        <v>747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1.0</v>
      </c>
      <c r="K232" s="33" t="n">
        <f>926</f>
        <v>926.0</v>
      </c>
      <c r="L232" s="34" t="s">
        <v>48</v>
      </c>
      <c r="M232" s="33" t="n">
        <f>928</f>
        <v>928.0</v>
      </c>
      <c r="N232" s="34" t="s">
        <v>48</v>
      </c>
      <c r="O232" s="33" t="n">
        <f>904</f>
        <v>904.0</v>
      </c>
      <c r="P232" s="34" t="s">
        <v>108</v>
      </c>
      <c r="Q232" s="33" t="n">
        <f>907</f>
        <v>907.0</v>
      </c>
      <c r="R232" s="34" t="s">
        <v>50</v>
      </c>
      <c r="S232" s="35" t="n">
        <f>912.95</f>
        <v>912.95</v>
      </c>
      <c r="T232" s="32" t="n">
        <f>175881</f>
        <v>175881.0</v>
      </c>
      <c r="U232" s="32" t="str">
        <f>"－"</f>
        <v>－</v>
      </c>
      <c r="V232" s="32" t="n">
        <f>160805122</f>
        <v>1.60805122E8</v>
      </c>
      <c r="W232" s="32" t="str">
        <f>"－"</f>
        <v>－</v>
      </c>
      <c r="X232" s="36" t="n">
        <f>20</f>
        <v>20.0</v>
      </c>
    </row>
    <row r="233">
      <c r="A233" s="27" t="s">
        <v>42</v>
      </c>
      <c r="B233" s="27" t="s">
        <v>748</v>
      </c>
      <c r="C233" s="27" t="s">
        <v>749</v>
      </c>
      <c r="D233" s="27" t="s">
        <v>750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1.0</v>
      </c>
      <c r="K233" s="33" t="n">
        <f>954</f>
        <v>954.0</v>
      </c>
      <c r="L233" s="34" t="s">
        <v>48</v>
      </c>
      <c r="M233" s="33" t="n">
        <f>956</f>
        <v>956.0</v>
      </c>
      <c r="N233" s="34" t="s">
        <v>48</v>
      </c>
      <c r="O233" s="33" t="n">
        <f>926</f>
        <v>926.0</v>
      </c>
      <c r="P233" s="34" t="s">
        <v>108</v>
      </c>
      <c r="Q233" s="33" t="n">
        <f>948</f>
        <v>948.0</v>
      </c>
      <c r="R233" s="34" t="s">
        <v>50</v>
      </c>
      <c r="S233" s="35" t="n">
        <f>944.35</f>
        <v>944.35</v>
      </c>
      <c r="T233" s="32" t="n">
        <f>29553</f>
        <v>29553.0</v>
      </c>
      <c r="U233" s="32" t="str">
        <f>"－"</f>
        <v>－</v>
      </c>
      <c r="V233" s="32" t="n">
        <f>27939527</f>
        <v>2.7939527E7</v>
      </c>
      <c r="W233" s="32" t="str">
        <f>"－"</f>
        <v>－</v>
      </c>
      <c r="X233" s="36" t="n">
        <f>20</f>
        <v>20.0</v>
      </c>
    </row>
    <row r="234">
      <c r="A234" s="27" t="s">
        <v>42</v>
      </c>
      <c r="B234" s="27" t="s">
        <v>751</v>
      </c>
      <c r="C234" s="27" t="s">
        <v>752</v>
      </c>
      <c r="D234" s="27" t="s">
        <v>753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1.0</v>
      </c>
      <c r="K234" s="33" t="n">
        <f>1435</f>
        <v>1435.0</v>
      </c>
      <c r="L234" s="34" t="s">
        <v>48</v>
      </c>
      <c r="M234" s="33" t="n">
        <f>1470</f>
        <v>1470.0</v>
      </c>
      <c r="N234" s="34" t="s">
        <v>61</v>
      </c>
      <c r="O234" s="33" t="n">
        <f>1423</f>
        <v>1423.0</v>
      </c>
      <c r="P234" s="34" t="s">
        <v>108</v>
      </c>
      <c r="Q234" s="33" t="n">
        <f>1468</f>
        <v>1468.0</v>
      </c>
      <c r="R234" s="34" t="s">
        <v>50</v>
      </c>
      <c r="S234" s="35" t="n">
        <f>1449.5</f>
        <v>1449.5</v>
      </c>
      <c r="T234" s="32" t="n">
        <f>376007</f>
        <v>376007.0</v>
      </c>
      <c r="U234" s="32" t="n">
        <f>149322</f>
        <v>149322.0</v>
      </c>
      <c r="V234" s="32" t="n">
        <f>543138594</f>
        <v>5.43138594E8</v>
      </c>
      <c r="W234" s="32" t="n">
        <f>214988500</f>
        <v>2.149885E8</v>
      </c>
      <c r="X234" s="36" t="n">
        <f>20</f>
        <v>20.0</v>
      </c>
    </row>
    <row r="235">
      <c r="A235" s="27" t="s">
        <v>42</v>
      </c>
      <c r="B235" s="27" t="s">
        <v>754</v>
      </c>
      <c r="C235" s="27" t="s">
        <v>755</v>
      </c>
      <c r="D235" s="27" t="s">
        <v>756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10.0</v>
      </c>
      <c r="K235" s="33" t="n">
        <f>150.4</f>
        <v>150.4</v>
      </c>
      <c r="L235" s="34" t="s">
        <v>48</v>
      </c>
      <c r="M235" s="33" t="n">
        <f>160.9</f>
        <v>160.9</v>
      </c>
      <c r="N235" s="34" t="s">
        <v>73</v>
      </c>
      <c r="O235" s="33" t="n">
        <f>142.4</f>
        <v>142.4</v>
      </c>
      <c r="P235" s="34" t="s">
        <v>61</v>
      </c>
      <c r="Q235" s="33" t="n">
        <f>144.6</f>
        <v>144.6</v>
      </c>
      <c r="R235" s="34" t="s">
        <v>50</v>
      </c>
      <c r="S235" s="35" t="n">
        <f>150.68</f>
        <v>150.68</v>
      </c>
      <c r="T235" s="32" t="n">
        <f>3376140</f>
        <v>3376140.0</v>
      </c>
      <c r="U235" s="32" t="n">
        <f>135000</f>
        <v>135000.0</v>
      </c>
      <c r="V235" s="32" t="n">
        <f>508582314</f>
        <v>5.08582314E8</v>
      </c>
      <c r="W235" s="32" t="n">
        <f>20016180</f>
        <v>2.001618E7</v>
      </c>
      <c r="X235" s="36" t="n">
        <f>20</f>
        <v>20.0</v>
      </c>
    </row>
    <row r="236">
      <c r="A236" s="27" t="s">
        <v>42</v>
      </c>
      <c r="B236" s="27" t="s">
        <v>757</v>
      </c>
      <c r="C236" s="27" t="s">
        <v>758</v>
      </c>
      <c r="D236" s="27" t="s">
        <v>759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10.0</v>
      </c>
      <c r="K236" s="33" t="n">
        <f>437.8</f>
        <v>437.8</v>
      </c>
      <c r="L236" s="34" t="s">
        <v>48</v>
      </c>
      <c r="M236" s="33" t="n">
        <f>457.6</f>
        <v>457.6</v>
      </c>
      <c r="N236" s="34" t="s">
        <v>73</v>
      </c>
      <c r="O236" s="33" t="n">
        <f>404.4</f>
        <v>404.4</v>
      </c>
      <c r="P236" s="34" t="s">
        <v>61</v>
      </c>
      <c r="Q236" s="33" t="n">
        <f>417</f>
        <v>417.0</v>
      </c>
      <c r="R236" s="34" t="s">
        <v>50</v>
      </c>
      <c r="S236" s="35" t="n">
        <f>430.05</f>
        <v>430.05</v>
      </c>
      <c r="T236" s="32" t="n">
        <f>835510</f>
        <v>835510.0</v>
      </c>
      <c r="U236" s="32" t="str">
        <f>"－"</f>
        <v>－</v>
      </c>
      <c r="V236" s="32" t="n">
        <f>358609338</f>
        <v>3.58609338E8</v>
      </c>
      <c r="W236" s="32" t="str">
        <f>"－"</f>
        <v>－</v>
      </c>
      <c r="X236" s="36" t="n">
        <f>20</f>
        <v>20.0</v>
      </c>
    </row>
    <row r="237">
      <c r="A237" s="27" t="s">
        <v>42</v>
      </c>
      <c r="B237" s="27" t="s">
        <v>760</v>
      </c>
      <c r="C237" s="27" t="s">
        <v>761</v>
      </c>
      <c r="D237" s="27" t="s">
        <v>762</v>
      </c>
      <c r="E237" s="28" t="s">
        <v>46</v>
      </c>
      <c r="F237" s="29" t="s">
        <v>46</v>
      </c>
      <c r="G237" s="30" t="s">
        <v>46</v>
      </c>
      <c r="H237" s="31"/>
      <c r="I237" s="31" t="s">
        <v>47</v>
      </c>
      <c r="J237" s="32" t="n">
        <v>10.0</v>
      </c>
      <c r="K237" s="33" t="n">
        <f>2800</f>
        <v>2800.0</v>
      </c>
      <c r="L237" s="34" t="s">
        <v>48</v>
      </c>
      <c r="M237" s="33" t="n">
        <f>3011</f>
        <v>3011.0</v>
      </c>
      <c r="N237" s="34" t="s">
        <v>257</v>
      </c>
      <c r="O237" s="33" t="n">
        <f>2769.5</f>
        <v>2769.5</v>
      </c>
      <c r="P237" s="34" t="s">
        <v>48</v>
      </c>
      <c r="Q237" s="33" t="n">
        <f>2942</f>
        <v>2942.0</v>
      </c>
      <c r="R237" s="34" t="s">
        <v>50</v>
      </c>
      <c r="S237" s="35" t="n">
        <f>2938.3</f>
        <v>2938.3</v>
      </c>
      <c r="T237" s="32" t="n">
        <f>1069540</f>
        <v>1069540.0</v>
      </c>
      <c r="U237" s="32" t="n">
        <f>840040</f>
        <v>840040.0</v>
      </c>
      <c r="V237" s="32" t="n">
        <f>3166468195</f>
        <v>3.166468195E9</v>
      </c>
      <c r="W237" s="32" t="n">
        <f>2485981565</f>
        <v>2.485981565E9</v>
      </c>
      <c r="X237" s="36" t="n">
        <f>20</f>
        <v>20.0</v>
      </c>
    </row>
    <row r="238">
      <c r="A238" s="27" t="s">
        <v>42</v>
      </c>
      <c r="B238" s="27" t="s">
        <v>763</v>
      </c>
      <c r="C238" s="27" t="s">
        <v>764</v>
      </c>
      <c r="D238" s="27" t="s">
        <v>765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1.0</v>
      </c>
      <c r="K238" s="33" t="n">
        <f>1280</f>
        <v>1280.0</v>
      </c>
      <c r="L238" s="34" t="s">
        <v>48</v>
      </c>
      <c r="M238" s="33" t="n">
        <f>1355</f>
        <v>1355.0</v>
      </c>
      <c r="N238" s="34" t="s">
        <v>108</v>
      </c>
      <c r="O238" s="33" t="n">
        <f>1278</f>
        <v>1278.0</v>
      </c>
      <c r="P238" s="34" t="s">
        <v>48</v>
      </c>
      <c r="Q238" s="33" t="n">
        <f>1321</f>
        <v>1321.0</v>
      </c>
      <c r="R238" s="34" t="s">
        <v>50</v>
      </c>
      <c r="S238" s="35" t="n">
        <f>1330.65</f>
        <v>1330.65</v>
      </c>
      <c r="T238" s="32" t="n">
        <f>1841243</f>
        <v>1841243.0</v>
      </c>
      <c r="U238" s="32" t="n">
        <f>1062003</f>
        <v>1062003.0</v>
      </c>
      <c r="V238" s="32" t="n">
        <f>2448767537</f>
        <v>2.448767537E9</v>
      </c>
      <c r="W238" s="32" t="n">
        <f>1414298093</f>
        <v>1.414298093E9</v>
      </c>
      <c r="X238" s="36" t="n">
        <f>20</f>
        <v>20.0</v>
      </c>
    </row>
    <row r="239">
      <c r="A239" s="27" t="s">
        <v>42</v>
      </c>
      <c r="B239" s="27" t="s">
        <v>766</v>
      </c>
      <c r="C239" s="27" t="s">
        <v>767</v>
      </c>
      <c r="D239" s="27" t="s">
        <v>768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1.0</v>
      </c>
      <c r="K239" s="33" t="n">
        <f>82420</f>
        <v>82420.0</v>
      </c>
      <c r="L239" s="34" t="s">
        <v>48</v>
      </c>
      <c r="M239" s="33" t="n">
        <f>91500</f>
        <v>91500.0</v>
      </c>
      <c r="N239" s="34" t="s">
        <v>61</v>
      </c>
      <c r="O239" s="33" t="n">
        <f>82250</f>
        <v>82250.0</v>
      </c>
      <c r="P239" s="34" t="s">
        <v>48</v>
      </c>
      <c r="Q239" s="33" t="n">
        <f>90850</f>
        <v>90850.0</v>
      </c>
      <c r="R239" s="34" t="s">
        <v>50</v>
      </c>
      <c r="S239" s="35" t="n">
        <f>88987.5</f>
        <v>88987.5</v>
      </c>
      <c r="T239" s="32" t="n">
        <f>42978</f>
        <v>42978.0</v>
      </c>
      <c r="U239" s="32" t="str">
        <f>"－"</f>
        <v>－</v>
      </c>
      <c r="V239" s="32" t="n">
        <f>3808803000</f>
        <v>3.808803E9</v>
      </c>
      <c r="W239" s="32" t="str">
        <f>"－"</f>
        <v>－</v>
      </c>
      <c r="X239" s="36" t="n">
        <f>20</f>
        <v>20.0</v>
      </c>
    </row>
    <row r="240">
      <c r="A240" s="27" t="s">
        <v>42</v>
      </c>
      <c r="B240" s="27" t="s">
        <v>769</v>
      </c>
      <c r="C240" s="27" t="s">
        <v>770</v>
      </c>
      <c r="D240" s="27" t="s">
        <v>771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1.0</v>
      </c>
      <c r="K240" s="33" t="n">
        <f>7030</f>
        <v>7030.0</v>
      </c>
      <c r="L240" s="34" t="s">
        <v>48</v>
      </c>
      <c r="M240" s="33" t="n">
        <f>7039</f>
        <v>7039.0</v>
      </c>
      <c r="N240" s="34" t="s">
        <v>48</v>
      </c>
      <c r="O240" s="33" t="n">
        <f>6661</f>
        <v>6661.0</v>
      </c>
      <c r="P240" s="34" t="s">
        <v>162</v>
      </c>
      <c r="Q240" s="33" t="n">
        <f>6673</f>
        <v>6673.0</v>
      </c>
      <c r="R240" s="34" t="s">
        <v>50</v>
      </c>
      <c r="S240" s="35" t="n">
        <f>6774.15</f>
        <v>6774.15</v>
      </c>
      <c r="T240" s="32" t="n">
        <f>126267</f>
        <v>126267.0</v>
      </c>
      <c r="U240" s="32" t="n">
        <f>46349</f>
        <v>46349.0</v>
      </c>
      <c r="V240" s="32" t="n">
        <f>855525170</f>
        <v>8.5552517E8</v>
      </c>
      <c r="W240" s="32" t="n">
        <f>312964509</f>
        <v>3.12964509E8</v>
      </c>
      <c r="X240" s="36" t="n">
        <f>20</f>
        <v>20.0</v>
      </c>
    </row>
    <row r="241">
      <c r="A241" s="27" t="s">
        <v>42</v>
      </c>
      <c r="B241" s="27" t="s">
        <v>772</v>
      </c>
      <c r="C241" s="27" t="s">
        <v>773</v>
      </c>
      <c r="D241" s="27" t="s">
        <v>774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10.0</v>
      </c>
      <c r="K241" s="33" t="n">
        <f>17845</f>
        <v>17845.0</v>
      </c>
      <c r="L241" s="34" t="s">
        <v>48</v>
      </c>
      <c r="M241" s="33" t="n">
        <f>19900</f>
        <v>19900.0</v>
      </c>
      <c r="N241" s="34" t="s">
        <v>87</v>
      </c>
      <c r="O241" s="33" t="n">
        <f>17805</f>
        <v>17805.0</v>
      </c>
      <c r="P241" s="34" t="s">
        <v>48</v>
      </c>
      <c r="Q241" s="33" t="n">
        <f>19790</f>
        <v>19790.0</v>
      </c>
      <c r="R241" s="34" t="s">
        <v>50</v>
      </c>
      <c r="S241" s="35" t="n">
        <f>19270</f>
        <v>19270.0</v>
      </c>
      <c r="T241" s="32" t="n">
        <f>104300</f>
        <v>104300.0</v>
      </c>
      <c r="U241" s="32" t="str">
        <f>"－"</f>
        <v>－</v>
      </c>
      <c r="V241" s="32" t="n">
        <f>1991941850</f>
        <v>1.99194185E9</v>
      </c>
      <c r="W241" s="32" t="str">
        <f>"－"</f>
        <v>－</v>
      </c>
      <c r="X241" s="36" t="n">
        <f>20</f>
        <v>20.0</v>
      </c>
    </row>
    <row r="242">
      <c r="A242" s="27" t="s">
        <v>42</v>
      </c>
      <c r="B242" s="27" t="s">
        <v>775</v>
      </c>
      <c r="C242" s="27" t="s">
        <v>776</v>
      </c>
      <c r="D242" s="27" t="s">
        <v>777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1.0</v>
      </c>
      <c r="K242" s="33" t="n">
        <f>1000</f>
        <v>1000.0</v>
      </c>
      <c r="L242" s="34" t="s">
        <v>48</v>
      </c>
      <c r="M242" s="33" t="n">
        <f>1090</f>
        <v>1090.0</v>
      </c>
      <c r="N242" s="34" t="s">
        <v>108</v>
      </c>
      <c r="O242" s="33" t="n">
        <f>998</f>
        <v>998.0</v>
      </c>
      <c r="P242" s="34" t="s">
        <v>48</v>
      </c>
      <c r="Q242" s="33" t="n">
        <f>1042</f>
        <v>1042.0</v>
      </c>
      <c r="R242" s="34" t="s">
        <v>50</v>
      </c>
      <c r="S242" s="35" t="n">
        <f>1059.3</f>
        <v>1059.3</v>
      </c>
      <c r="T242" s="32" t="n">
        <f>195003</f>
        <v>195003.0</v>
      </c>
      <c r="U242" s="32" t="str">
        <f>"－"</f>
        <v>－</v>
      </c>
      <c r="V242" s="32" t="n">
        <f>205525725</f>
        <v>2.05525725E8</v>
      </c>
      <c r="W242" s="32" t="str">
        <f>"－"</f>
        <v>－</v>
      </c>
      <c r="X242" s="36" t="n">
        <f>20</f>
        <v>20.0</v>
      </c>
    </row>
    <row r="243">
      <c r="A243" s="27" t="s">
        <v>42</v>
      </c>
      <c r="B243" s="27" t="s">
        <v>778</v>
      </c>
      <c r="C243" s="27" t="s">
        <v>779</v>
      </c>
      <c r="D243" s="27" t="s">
        <v>780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10.0</v>
      </c>
      <c r="K243" s="33" t="n">
        <f>7077</f>
        <v>7077.0</v>
      </c>
      <c r="L243" s="34" t="s">
        <v>48</v>
      </c>
      <c r="M243" s="33" t="n">
        <f>7086</f>
        <v>7086.0</v>
      </c>
      <c r="N243" s="34" t="s">
        <v>121</v>
      </c>
      <c r="O243" s="33" t="n">
        <f>6700</f>
        <v>6700.0</v>
      </c>
      <c r="P243" s="34" t="s">
        <v>158</v>
      </c>
      <c r="Q243" s="33" t="n">
        <f>6724</f>
        <v>6724.0</v>
      </c>
      <c r="R243" s="34" t="s">
        <v>50</v>
      </c>
      <c r="S243" s="35" t="n">
        <f>6809.35</f>
        <v>6809.35</v>
      </c>
      <c r="T243" s="32" t="n">
        <f>14560</f>
        <v>14560.0</v>
      </c>
      <c r="U243" s="32" t="str">
        <f>"－"</f>
        <v>－</v>
      </c>
      <c r="V243" s="32" t="n">
        <f>99817780</f>
        <v>9.981778E7</v>
      </c>
      <c r="W243" s="32" t="str">
        <f>"－"</f>
        <v>－</v>
      </c>
      <c r="X243" s="36" t="n">
        <f>20</f>
        <v>20.0</v>
      </c>
    </row>
    <row r="244">
      <c r="A244" s="27" t="s">
        <v>42</v>
      </c>
      <c r="B244" s="27" t="s">
        <v>781</v>
      </c>
      <c r="C244" s="27" t="s">
        <v>782</v>
      </c>
      <c r="D244" s="27" t="s">
        <v>783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10.0</v>
      </c>
      <c r="K244" s="33" t="n">
        <f>718.4</f>
        <v>718.4</v>
      </c>
      <c r="L244" s="34" t="s">
        <v>48</v>
      </c>
      <c r="M244" s="33" t="n">
        <f>791</f>
        <v>791.0</v>
      </c>
      <c r="N244" s="34" t="s">
        <v>61</v>
      </c>
      <c r="O244" s="33" t="n">
        <f>709.5</f>
        <v>709.5</v>
      </c>
      <c r="P244" s="34" t="s">
        <v>48</v>
      </c>
      <c r="Q244" s="33" t="n">
        <f>750.4</f>
        <v>750.4</v>
      </c>
      <c r="R244" s="34" t="s">
        <v>50</v>
      </c>
      <c r="S244" s="35" t="n">
        <f>754.81</f>
        <v>754.81</v>
      </c>
      <c r="T244" s="32" t="n">
        <f>2078920</f>
        <v>2078920.0</v>
      </c>
      <c r="U244" s="32" t="n">
        <f>610000</f>
        <v>610000.0</v>
      </c>
      <c r="V244" s="32" t="n">
        <f>1562831148</f>
        <v>1.562831148E9</v>
      </c>
      <c r="W244" s="32" t="n">
        <f>457254700</f>
        <v>4.572547E8</v>
      </c>
      <c r="X244" s="36" t="n">
        <f>20</f>
        <v>20.0</v>
      </c>
    </row>
    <row r="245">
      <c r="A245" s="27" t="s">
        <v>42</v>
      </c>
      <c r="B245" s="27" t="s">
        <v>784</v>
      </c>
      <c r="C245" s="27" t="s">
        <v>785</v>
      </c>
      <c r="D245" s="27" t="s">
        <v>786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10.0</v>
      </c>
      <c r="K245" s="33" t="n">
        <f>578</f>
        <v>578.0</v>
      </c>
      <c r="L245" s="34" t="s">
        <v>48</v>
      </c>
      <c r="M245" s="33" t="n">
        <f>636</f>
        <v>636.0</v>
      </c>
      <c r="N245" s="34" t="s">
        <v>61</v>
      </c>
      <c r="O245" s="33" t="n">
        <f>576.4</f>
        <v>576.4</v>
      </c>
      <c r="P245" s="34" t="s">
        <v>48</v>
      </c>
      <c r="Q245" s="33" t="n">
        <f>613.9</f>
        <v>613.9</v>
      </c>
      <c r="R245" s="34" t="s">
        <v>50</v>
      </c>
      <c r="S245" s="35" t="n">
        <f>602.97</f>
        <v>602.97</v>
      </c>
      <c r="T245" s="32" t="n">
        <f>5750880</f>
        <v>5750880.0</v>
      </c>
      <c r="U245" s="32" t="n">
        <f>5372920</f>
        <v>5372920.0</v>
      </c>
      <c r="V245" s="32" t="n">
        <f>3481062534</f>
        <v>3.481062534E9</v>
      </c>
      <c r="W245" s="32" t="n">
        <f>3254687089</f>
        <v>3.254687089E9</v>
      </c>
      <c r="X245" s="36" t="n">
        <f>20</f>
        <v>20.0</v>
      </c>
    </row>
    <row r="246">
      <c r="A246" s="27" t="s">
        <v>42</v>
      </c>
      <c r="B246" s="27" t="s">
        <v>787</v>
      </c>
      <c r="C246" s="27" t="s">
        <v>788</v>
      </c>
      <c r="D246" s="27" t="s">
        <v>789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1.0</v>
      </c>
      <c r="K246" s="33" t="n">
        <f>1815</f>
        <v>1815.0</v>
      </c>
      <c r="L246" s="34" t="s">
        <v>48</v>
      </c>
      <c r="M246" s="33" t="n">
        <f>1961</f>
        <v>1961.0</v>
      </c>
      <c r="N246" s="34" t="s">
        <v>54</v>
      </c>
      <c r="O246" s="33" t="n">
        <f>1747</f>
        <v>1747.0</v>
      </c>
      <c r="P246" s="34" t="s">
        <v>50</v>
      </c>
      <c r="Q246" s="33" t="n">
        <f>1765</f>
        <v>1765.0</v>
      </c>
      <c r="R246" s="34" t="s">
        <v>50</v>
      </c>
      <c r="S246" s="35" t="n">
        <f>1848.7</f>
        <v>1848.7</v>
      </c>
      <c r="T246" s="32" t="n">
        <f>9225586</f>
        <v>9225586.0</v>
      </c>
      <c r="U246" s="32" t="n">
        <f>586190</f>
        <v>586190.0</v>
      </c>
      <c r="V246" s="32" t="n">
        <f>17057443210</f>
        <v>1.705744321E10</v>
      </c>
      <c r="W246" s="32" t="n">
        <f>1136895963</f>
        <v>1.136895963E9</v>
      </c>
      <c r="X246" s="36" t="n">
        <f>20</f>
        <v>20.0</v>
      </c>
    </row>
    <row r="247">
      <c r="A247" s="27" t="s">
        <v>42</v>
      </c>
      <c r="B247" s="27" t="s">
        <v>790</v>
      </c>
      <c r="C247" s="27" t="s">
        <v>791</v>
      </c>
      <c r="D247" s="27" t="s">
        <v>792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1.0</v>
      </c>
      <c r="K247" s="33" t="n">
        <f>2183</f>
        <v>2183.0</v>
      </c>
      <c r="L247" s="34" t="s">
        <v>48</v>
      </c>
      <c r="M247" s="33" t="n">
        <f>2399</f>
        <v>2399.0</v>
      </c>
      <c r="N247" s="34" t="s">
        <v>108</v>
      </c>
      <c r="O247" s="33" t="n">
        <f>2178</f>
        <v>2178.0</v>
      </c>
      <c r="P247" s="34" t="s">
        <v>48</v>
      </c>
      <c r="Q247" s="33" t="n">
        <f>2252</f>
        <v>2252.0</v>
      </c>
      <c r="R247" s="34" t="s">
        <v>50</v>
      </c>
      <c r="S247" s="35" t="n">
        <f>2318.85</f>
        <v>2318.85</v>
      </c>
      <c r="T247" s="32" t="n">
        <f>9139376</f>
        <v>9139376.0</v>
      </c>
      <c r="U247" s="32" t="n">
        <f>22790</f>
        <v>22790.0</v>
      </c>
      <c r="V247" s="32" t="n">
        <f>21229337183</f>
        <v>2.1229337183E10</v>
      </c>
      <c r="W247" s="32" t="n">
        <f>52872303</f>
        <v>5.2872303E7</v>
      </c>
      <c r="X247" s="36" t="n">
        <f>20</f>
        <v>20.0</v>
      </c>
    </row>
    <row r="248">
      <c r="A248" s="27" t="s">
        <v>42</v>
      </c>
      <c r="B248" s="27" t="s">
        <v>793</v>
      </c>
      <c r="C248" s="27" t="s">
        <v>794</v>
      </c>
      <c r="D248" s="27" t="s">
        <v>795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10.0</v>
      </c>
      <c r="K248" s="33" t="n">
        <f>793.3</f>
        <v>793.3</v>
      </c>
      <c r="L248" s="34" t="s">
        <v>48</v>
      </c>
      <c r="M248" s="33" t="n">
        <f>793.3</f>
        <v>793.3</v>
      </c>
      <c r="N248" s="34" t="s">
        <v>48</v>
      </c>
      <c r="O248" s="33" t="n">
        <f>760</f>
        <v>760.0</v>
      </c>
      <c r="P248" s="34" t="s">
        <v>69</v>
      </c>
      <c r="Q248" s="33" t="n">
        <f>777.5</f>
        <v>777.5</v>
      </c>
      <c r="R248" s="34" t="s">
        <v>50</v>
      </c>
      <c r="S248" s="35" t="n">
        <f>767.94</f>
        <v>767.94</v>
      </c>
      <c r="T248" s="32" t="n">
        <f>3670</f>
        <v>3670.0</v>
      </c>
      <c r="U248" s="32" t="str">
        <f>"－"</f>
        <v>－</v>
      </c>
      <c r="V248" s="32" t="n">
        <f>2818800</f>
        <v>2818800.0</v>
      </c>
      <c r="W248" s="32" t="str">
        <f>"－"</f>
        <v>－</v>
      </c>
      <c r="X248" s="36" t="n">
        <f>17</f>
        <v>17.0</v>
      </c>
    </row>
    <row r="249">
      <c r="A249" s="27" t="s">
        <v>42</v>
      </c>
      <c r="B249" s="27" t="s">
        <v>796</v>
      </c>
      <c r="C249" s="27" t="s">
        <v>797</v>
      </c>
      <c r="D249" s="27" t="s">
        <v>798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10.0</v>
      </c>
      <c r="K249" s="33" t="n">
        <f>761.9</f>
        <v>761.9</v>
      </c>
      <c r="L249" s="34" t="s">
        <v>48</v>
      </c>
      <c r="M249" s="33" t="n">
        <f>849</f>
        <v>849.0</v>
      </c>
      <c r="N249" s="34" t="s">
        <v>49</v>
      </c>
      <c r="O249" s="33" t="n">
        <f>756.9</f>
        <v>756.9</v>
      </c>
      <c r="P249" s="34" t="s">
        <v>69</v>
      </c>
      <c r="Q249" s="33" t="n">
        <f>771</f>
        <v>771.0</v>
      </c>
      <c r="R249" s="34" t="s">
        <v>50</v>
      </c>
      <c r="S249" s="35" t="n">
        <f>763.27</f>
        <v>763.27</v>
      </c>
      <c r="T249" s="32" t="n">
        <f>230120</f>
        <v>230120.0</v>
      </c>
      <c r="U249" s="32" t="str">
        <f>"－"</f>
        <v>－</v>
      </c>
      <c r="V249" s="32" t="n">
        <f>174450906</f>
        <v>1.74450906E8</v>
      </c>
      <c r="W249" s="32" t="str">
        <f>"－"</f>
        <v>－</v>
      </c>
      <c r="X249" s="36" t="n">
        <f>14</f>
        <v>14.0</v>
      </c>
    </row>
    <row r="250">
      <c r="A250" s="27" t="s">
        <v>42</v>
      </c>
      <c r="B250" s="27" t="s">
        <v>799</v>
      </c>
      <c r="C250" s="27" t="s">
        <v>800</v>
      </c>
      <c r="D250" s="27" t="s">
        <v>801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1.0</v>
      </c>
      <c r="K250" s="33" t="n">
        <f>16490</f>
        <v>16490.0</v>
      </c>
      <c r="L250" s="34" t="s">
        <v>48</v>
      </c>
      <c r="M250" s="33" t="n">
        <f>17545</f>
        <v>17545.0</v>
      </c>
      <c r="N250" s="34" t="s">
        <v>108</v>
      </c>
      <c r="O250" s="33" t="n">
        <f>16280</f>
        <v>16280.0</v>
      </c>
      <c r="P250" s="34" t="s">
        <v>48</v>
      </c>
      <c r="Q250" s="33" t="n">
        <f>16955</f>
        <v>16955.0</v>
      </c>
      <c r="R250" s="34" t="s">
        <v>50</v>
      </c>
      <c r="S250" s="35" t="n">
        <f>17143.75</f>
        <v>17143.75</v>
      </c>
      <c r="T250" s="32" t="n">
        <f>339239</f>
        <v>339239.0</v>
      </c>
      <c r="U250" s="32" t="n">
        <f>22</f>
        <v>22.0</v>
      </c>
      <c r="V250" s="32" t="n">
        <f>5768317175</f>
        <v>5.768317175E9</v>
      </c>
      <c r="W250" s="32" t="n">
        <f>360480</f>
        <v>360480.0</v>
      </c>
      <c r="X250" s="36" t="n">
        <f>20</f>
        <v>20.0</v>
      </c>
    </row>
    <row r="251">
      <c r="A251" s="27" t="s">
        <v>42</v>
      </c>
      <c r="B251" s="27" t="s">
        <v>802</v>
      </c>
      <c r="C251" s="27" t="s">
        <v>803</v>
      </c>
      <c r="D251" s="27" t="s">
        <v>804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1.0</v>
      </c>
      <c r="K251" s="33" t="n">
        <f>43990</f>
        <v>43990.0</v>
      </c>
      <c r="L251" s="34" t="s">
        <v>48</v>
      </c>
      <c r="M251" s="33" t="n">
        <f>46630</f>
        <v>46630.0</v>
      </c>
      <c r="N251" s="34" t="s">
        <v>235</v>
      </c>
      <c r="O251" s="33" t="n">
        <f>43910</f>
        <v>43910.0</v>
      </c>
      <c r="P251" s="34" t="s">
        <v>48</v>
      </c>
      <c r="Q251" s="33" t="n">
        <f>46190</f>
        <v>46190.0</v>
      </c>
      <c r="R251" s="34" t="s">
        <v>50</v>
      </c>
      <c r="S251" s="35" t="n">
        <f>45667</f>
        <v>45667.0</v>
      </c>
      <c r="T251" s="32" t="n">
        <f>160950</f>
        <v>160950.0</v>
      </c>
      <c r="U251" s="32" t="str">
        <f>"－"</f>
        <v>－</v>
      </c>
      <c r="V251" s="32" t="n">
        <f>7294090720</f>
        <v>7.29409072E9</v>
      </c>
      <c r="W251" s="32" t="str">
        <f>"－"</f>
        <v>－</v>
      </c>
      <c r="X251" s="36" t="n">
        <f>20</f>
        <v>20.0</v>
      </c>
    </row>
    <row r="252">
      <c r="A252" s="27" t="s">
        <v>42</v>
      </c>
      <c r="B252" s="27" t="s">
        <v>805</v>
      </c>
      <c r="C252" s="27" t="s">
        <v>806</v>
      </c>
      <c r="D252" s="27" t="s">
        <v>807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1.0</v>
      </c>
      <c r="K252" s="33" t="n">
        <f>17975</f>
        <v>17975.0</v>
      </c>
      <c r="L252" s="34" t="s">
        <v>48</v>
      </c>
      <c r="M252" s="33" t="n">
        <f>18010</f>
        <v>18010.0</v>
      </c>
      <c r="N252" s="34" t="s">
        <v>48</v>
      </c>
      <c r="O252" s="33" t="n">
        <f>16005</f>
        <v>16005.0</v>
      </c>
      <c r="P252" s="34" t="s">
        <v>61</v>
      </c>
      <c r="Q252" s="33" t="n">
        <f>16205</f>
        <v>16205.0</v>
      </c>
      <c r="R252" s="34" t="s">
        <v>50</v>
      </c>
      <c r="S252" s="35" t="n">
        <f>16621.25</f>
        <v>16621.25</v>
      </c>
      <c r="T252" s="32" t="n">
        <f>59080</f>
        <v>59080.0</v>
      </c>
      <c r="U252" s="32" t="n">
        <f>8</f>
        <v>8.0</v>
      </c>
      <c r="V252" s="32" t="n">
        <f>996434470</f>
        <v>9.9643447E8</v>
      </c>
      <c r="W252" s="32" t="n">
        <f>133895</f>
        <v>133895.0</v>
      </c>
      <c r="X252" s="36" t="n">
        <f>20</f>
        <v>20.0</v>
      </c>
    </row>
    <row r="253">
      <c r="A253" s="27" t="s">
        <v>42</v>
      </c>
      <c r="B253" s="27" t="s">
        <v>808</v>
      </c>
      <c r="C253" s="27" t="s">
        <v>809</v>
      </c>
      <c r="D253" s="27" t="s">
        <v>810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1.0</v>
      </c>
      <c r="K253" s="33" t="n">
        <f>1059</f>
        <v>1059.0</v>
      </c>
      <c r="L253" s="34" t="s">
        <v>48</v>
      </c>
      <c r="M253" s="33" t="n">
        <f>1168</f>
        <v>1168.0</v>
      </c>
      <c r="N253" s="34" t="s">
        <v>158</v>
      </c>
      <c r="O253" s="33" t="n">
        <f>1024</f>
        <v>1024.0</v>
      </c>
      <c r="P253" s="34" t="s">
        <v>121</v>
      </c>
      <c r="Q253" s="33" t="n">
        <f>1094</f>
        <v>1094.0</v>
      </c>
      <c r="R253" s="34" t="s">
        <v>50</v>
      </c>
      <c r="S253" s="35" t="n">
        <f>1090.65</f>
        <v>1090.65</v>
      </c>
      <c r="T253" s="32" t="n">
        <f>404017</f>
        <v>404017.0</v>
      </c>
      <c r="U253" s="32" t="str">
        <f>"－"</f>
        <v>－</v>
      </c>
      <c r="V253" s="32" t="n">
        <f>442965007</f>
        <v>4.42965007E8</v>
      </c>
      <c r="W253" s="32" t="str">
        <f>"－"</f>
        <v>－</v>
      </c>
      <c r="X253" s="36" t="n">
        <f>20</f>
        <v>20.0</v>
      </c>
    </row>
    <row r="254">
      <c r="A254" s="27" t="s">
        <v>42</v>
      </c>
      <c r="B254" s="27" t="s">
        <v>811</v>
      </c>
      <c r="C254" s="27" t="s">
        <v>812</v>
      </c>
      <c r="D254" s="27" t="s">
        <v>813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10.0</v>
      </c>
      <c r="K254" s="33" t="n">
        <f>239.1</f>
        <v>239.1</v>
      </c>
      <c r="L254" s="34" t="s">
        <v>48</v>
      </c>
      <c r="M254" s="33" t="n">
        <f>252.9</f>
        <v>252.9</v>
      </c>
      <c r="N254" s="34" t="s">
        <v>257</v>
      </c>
      <c r="O254" s="33" t="n">
        <f>238.3</f>
        <v>238.3</v>
      </c>
      <c r="P254" s="34" t="s">
        <v>48</v>
      </c>
      <c r="Q254" s="33" t="n">
        <f>240.7</f>
        <v>240.7</v>
      </c>
      <c r="R254" s="34" t="s">
        <v>50</v>
      </c>
      <c r="S254" s="35" t="n">
        <f>243.37</f>
        <v>243.37</v>
      </c>
      <c r="T254" s="32" t="n">
        <f>24620</f>
        <v>24620.0</v>
      </c>
      <c r="U254" s="32" t="str">
        <f>"－"</f>
        <v>－</v>
      </c>
      <c r="V254" s="32" t="n">
        <f>5955294</f>
        <v>5955294.0</v>
      </c>
      <c r="W254" s="32" t="str">
        <f>"－"</f>
        <v>－</v>
      </c>
      <c r="X254" s="36" t="n">
        <f>20</f>
        <v>20.0</v>
      </c>
    </row>
    <row r="255">
      <c r="A255" s="27" t="s">
        <v>42</v>
      </c>
      <c r="B255" s="27" t="s">
        <v>814</v>
      </c>
      <c r="C255" s="27" t="s">
        <v>815</v>
      </c>
      <c r="D255" s="27" t="s">
        <v>816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10.0</v>
      </c>
      <c r="K255" s="33" t="n">
        <f>764.5</f>
        <v>764.5</v>
      </c>
      <c r="L255" s="34" t="s">
        <v>48</v>
      </c>
      <c r="M255" s="33" t="n">
        <f>768.9</f>
        <v>768.9</v>
      </c>
      <c r="N255" s="34" t="s">
        <v>94</v>
      </c>
      <c r="O255" s="33" t="n">
        <f>747.1</f>
        <v>747.1</v>
      </c>
      <c r="P255" s="34" t="s">
        <v>69</v>
      </c>
      <c r="Q255" s="33" t="n">
        <f>764.2</f>
        <v>764.2</v>
      </c>
      <c r="R255" s="34" t="s">
        <v>50</v>
      </c>
      <c r="S255" s="35" t="n">
        <f>761.89</f>
        <v>761.89</v>
      </c>
      <c r="T255" s="32" t="n">
        <f>20219440</f>
        <v>2.021944E7</v>
      </c>
      <c r="U255" s="32" t="n">
        <f>18328250</f>
        <v>1.832825E7</v>
      </c>
      <c r="V255" s="32" t="n">
        <f>15460163730</f>
        <v>1.546016373E10</v>
      </c>
      <c r="W255" s="32" t="n">
        <f>14020656550</f>
        <v>1.402065655E10</v>
      </c>
      <c r="X255" s="36" t="n">
        <f>20</f>
        <v>20.0</v>
      </c>
    </row>
    <row r="256">
      <c r="A256" s="27" t="s">
        <v>42</v>
      </c>
      <c r="B256" s="27" t="s">
        <v>817</v>
      </c>
      <c r="C256" s="27" t="s">
        <v>818</v>
      </c>
      <c r="D256" s="27" t="s">
        <v>819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1.0</v>
      </c>
      <c r="K256" s="33" t="n">
        <f>1223</f>
        <v>1223.0</v>
      </c>
      <c r="L256" s="34" t="s">
        <v>48</v>
      </c>
      <c r="M256" s="33" t="n">
        <f>1336</f>
        <v>1336.0</v>
      </c>
      <c r="N256" s="34" t="s">
        <v>257</v>
      </c>
      <c r="O256" s="33" t="n">
        <f>1204</f>
        <v>1204.0</v>
      </c>
      <c r="P256" s="34" t="s">
        <v>48</v>
      </c>
      <c r="Q256" s="33" t="n">
        <f>1285</f>
        <v>1285.0</v>
      </c>
      <c r="R256" s="34" t="s">
        <v>50</v>
      </c>
      <c r="S256" s="35" t="n">
        <f>1280.35</f>
        <v>1280.35</v>
      </c>
      <c r="T256" s="32" t="n">
        <f>612228</f>
        <v>612228.0</v>
      </c>
      <c r="U256" s="32" t="str">
        <f>"－"</f>
        <v>－</v>
      </c>
      <c r="V256" s="32" t="n">
        <f>783318981</f>
        <v>7.83318981E8</v>
      </c>
      <c r="W256" s="32" t="str">
        <f>"－"</f>
        <v>－</v>
      </c>
      <c r="X256" s="36" t="n">
        <f>20</f>
        <v>20.0</v>
      </c>
    </row>
    <row r="257">
      <c r="A257" s="27" t="s">
        <v>42</v>
      </c>
      <c r="B257" s="27" t="s">
        <v>820</v>
      </c>
      <c r="C257" s="27" t="s">
        <v>821</v>
      </c>
      <c r="D257" s="27" t="s">
        <v>822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1.0</v>
      </c>
      <c r="K257" s="33" t="n">
        <f>1215</f>
        <v>1215.0</v>
      </c>
      <c r="L257" s="34" t="s">
        <v>48</v>
      </c>
      <c r="M257" s="33" t="n">
        <f>1283</f>
        <v>1283.0</v>
      </c>
      <c r="N257" s="34" t="s">
        <v>519</v>
      </c>
      <c r="O257" s="33" t="n">
        <f>1196</f>
        <v>1196.0</v>
      </c>
      <c r="P257" s="34" t="s">
        <v>121</v>
      </c>
      <c r="Q257" s="33" t="n">
        <f>1234</f>
        <v>1234.0</v>
      </c>
      <c r="R257" s="34" t="s">
        <v>50</v>
      </c>
      <c r="S257" s="35" t="n">
        <f>1243.45</f>
        <v>1243.45</v>
      </c>
      <c r="T257" s="32" t="n">
        <f>277397</f>
        <v>277397.0</v>
      </c>
      <c r="U257" s="32" t="n">
        <f>2</f>
        <v>2.0</v>
      </c>
      <c r="V257" s="32" t="n">
        <f>344734081</f>
        <v>3.44734081E8</v>
      </c>
      <c r="W257" s="32" t="n">
        <f>2352</f>
        <v>2352.0</v>
      </c>
      <c r="X257" s="36" t="n">
        <f>20</f>
        <v>20.0</v>
      </c>
    </row>
    <row r="258">
      <c r="A258" s="27" t="s">
        <v>42</v>
      </c>
      <c r="B258" s="27" t="s">
        <v>823</v>
      </c>
      <c r="C258" s="27" t="s">
        <v>824</v>
      </c>
      <c r="D258" s="27" t="s">
        <v>825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1.0</v>
      </c>
      <c r="K258" s="33" t="n">
        <f>889</f>
        <v>889.0</v>
      </c>
      <c r="L258" s="34" t="s">
        <v>48</v>
      </c>
      <c r="M258" s="33" t="n">
        <f>1006</f>
        <v>1006.0</v>
      </c>
      <c r="N258" s="34" t="s">
        <v>49</v>
      </c>
      <c r="O258" s="33" t="n">
        <f>869</f>
        <v>869.0</v>
      </c>
      <c r="P258" s="34" t="s">
        <v>162</v>
      </c>
      <c r="Q258" s="33" t="n">
        <f>888</f>
        <v>888.0</v>
      </c>
      <c r="R258" s="34" t="s">
        <v>50</v>
      </c>
      <c r="S258" s="35" t="n">
        <f>931.9</f>
        <v>931.9</v>
      </c>
      <c r="T258" s="32" t="n">
        <f>1091193</f>
        <v>1091193.0</v>
      </c>
      <c r="U258" s="32" t="str">
        <f>"－"</f>
        <v>－</v>
      </c>
      <c r="V258" s="32" t="n">
        <f>1024916907</f>
        <v>1.024916907E9</v>
      </c>
      <c r="W258" s="32" t="str">
        <f>"－"</f>
        <v>－</v>
      </c>
      <c r="X258" s="36" t="n">
        <f>20</f>
        <v>20.0</v>
      </c>
    </row>
    <row r="259">
      <c r="A259" s="27" t="s">
        <v>42</v>
      </c>
      <c r="B259" s="27" t="s">
        <v>826</v>
      </c>
      <c r="C259" s="27" t="s">
        <v>827</v>
      </c>
      <c r="D259" s="27" t="s">
        <v>828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10.0</v>
      </c>
      <c r="K259" s="33" t="n">
        <f>213.2</f>
        <v>213.2</v>
      </c>
      <c r="L259" s="34" t="s">
        <v>48</v>
      </c>
      <c r="M259" s="33" t="n">
        <f>216</f>
        <v>216.0</v>
      </c>
      <c r="N259" s="34" t="s">
        <v>257</v>
      </c>
      <c r="O259" s="33" t="n">
        <f>209.7</f>
        <v>209.7</v>
      </c>
      <c r="P259" s="34" t="s">
        <v>69</v>
      </c>
      <c r="Q259" s="33" t="n">
        <f>212.5</f>
        <v>212.5</v>
      </c>
      <c r="R259" s="34" t="s">
        <v>50</v>
      </c>
      <c r="S259" s="35" t="n">
        <f>212.86</f>
        <v>212.86</v>
      </c>
      <c r="T259" s="32" t="n">
        <f>7315980</f>
        <v>7315980.0</v>
      </c>
      <c r="U259" s="32" t="n">
        <f>56370</f>
        <v>56370.0</v>
      </c>
      <c r="V259" s="32" t="n">
        <f>1555659502</f>
        <v>1.555659502E9</v>
      </c>
      <c r="W259" s="32" t="n">
        <f>12073301</f>
        <v>1.2073301E7</v>
      </c>
      <c r="X259" s="36" t="n">
        <f>20</f>
        <v>20.0</v>
      </c>
    </row>
    <row r="260">
      <c r="A260" s="27" t="s">
        <v>42</v>
      </c>
      <c r="B260" s="27" t="s">
        <v>829</v>
      </c>
      <c r="C260" s="27" t="s">
        <v>830</v>
      </c>
      <c r="D260" s="27" t="s">
        <v>831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10.0</v>
      </c>
      <c r="K260" s="33" t="n">
        <f>213.8</f>
        <v>213.8</v>
      </c>
      <c r="L260" s="34" t="s">
        <v>48</v>
      </c>
      <c r="M260" s="33" t="n">
        <f>217.1</f>
        <v>217.1</v>
      </c>
      <c r="N260" s="34" t="s">
        <v>104</v>
      </c>
      <c r="O260" s="33" t="n">
        <f>210.1</f>
        <v>210.1</v>
      </c>
      <c r="P260" s="34" t="s">
        <v>69</v>
      </c>
      <c r="Q260" s="33" t="n">
        <f>211</f>
        <v>211.0</v>
      </c>
      <c r="R260" s="34" t="s">
        <v>50</v>
      </c>
      <c r="S260" s="35" t="n">
        <f>214.07</f>
        <v>214.07</v>
      </c>
      <c r="T260" s="32" t="n">
        <f>572320</f>
        <v>572320.0</v>
      </c>
      <c r="U260" s="32" t="str">
        <f>"－"</f>
        <v>－</v>
      </c>
      <c r="V260" s="32" t="n">
        <f>122426546</f>
        <v>1.22426546E8</v>
      </c>
      <c r="W260" s="32" t="str">
        <f>"－"</f>
        <v>－</v>
      </c>
      <c r="X260" s="36" t="n">
        <f>20</f>
        <v>20.0</v>
      </c>
    </row>
    <row r="261">
      <c r="A261" s="27" t="s">
        <v>42</v>
      </c>
      <c r="B261" s="27" t="s">
        <v>832</v>
      </c>
      <c r="C261" s="27" t="s">
        <v>833</v>
      </c>
      <c r="D261" s="27" t="s">
        <v>834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10.0</v>
      </c>
      <c r="K261" s="33" t="n">
        <f>213.9</f>
        <v>213.9</v>
      </c>
      <c r="L261" s="34" t="s">
        <v>48</v>
      </c>
      <c r="M261" s="33" t="n">
        <f>219</f>
        <v>219.0</v>
      </c>
      <c r="N261" s="34" t="s">
        <v>104</v>
      </c>
      <c r="O261" s="33" t="n">
        <f>212.3</f>
        <v>212.3</v>
      </c>
      <c r="P261" s="34" t="s">
        <v>50</v>
      </c>
      <c r="Q261" s="33" t="n">
        <f>212.5</f>
        <v>212.5</v>
      </c>
      <c r="R261" s="34" t="s">
        <v>50</v>
      </c>
      <c r="S261" s="35" t="n">
        <f>216.08</f>
        <v>216.08</v>
      </c>
      <c r="T261" s="32" t="n">
        <f>231420</f>
        <v>231420.0</v>
      </c>
      <c r="U261" s="32" t="n">
        <f>23940</f>
        <v>23940.0</v>
      </c>
      <c r="V261" s="32" t="n">
        <f>50093874</f>
        <v>5.0093874E7</v>
      </c>
      <c r="W261" s="32" t="n">
        <f>5184030</f>
        <v>5184030.0</v>
      </c>
      <c r="X261" s="36" t="n">
        <f>20</f>
        <v>20.0</v>
      </c>
    </row>
    <row r="262">
      <c r="A262" s="27" t="s">
        <v>42</v>
      </c>
      <c r="B262" s="27" t="s">
        <v>835</v>
      </c>
      <c r="C262" s="27" t="s">
        <v>836</v>
      </c>
      <c r="D262" s="27" t="s">
        <v>837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10.0</v>
      </c>
      <c r="K262" s="33" t="n">
        <f>214</f>
        <v>214.0</v>
      </c>
      <c r="L262" s="34" t="s">
        <v>48</v>
      </c>
      <c r="M262" s="33" t="n">
        <f>223.2</f>
        <v>223.2</v>
      </c>
      <c r="N262" s="34" t="s">
        <v>104</v>
      </c>
      <c r="O262" s="33" t="n">
        <f>214</f>
        <v>214.0</v>
      </c>
      <c r="P262" s="34" t="s">
        <v>48</v>
      </c>
      <c r="Q262" s="33" t="n">
        <f>216.1</f>
        <v>216.1</v>
      </c>
      <c r="R262" s="34" t="s">
        <v>50</v>
      </c>
      <c r="S262" s="35" t="n">
        <f>219.89</f>
        <v>219.89</v>
      </c>
      <c r="T262" s="32" t="n">
        <f>538100</f>
        <v>538100.0</v>
      </c>
      <c r="U262" s="32" t="n">
        <f>1150</f>
        <v>1150.0</v>
      </c>
      <c r="V262" s="32" t="n">
        <f>118485902</f>
        <v>1.18485902E8</v>
      </c>
      <c r="W262" s="32" t="n">
        <f>240805</f>
        <v>240805.0</v>
      </c>
      <c r="X262" s="36" t="n">
        <f>20</f>
        <v>20.0</v>
      </c>
    </row>
    <row r="263">
      <c r="A263" s="27" t="s">
        <v>42</v>
      </c>
      <c r="B263" s="27" t="s">
        <v>838</v>
      </c>
      <c r="C263" s="27" t="s">
        <v>839</v>
      </c>
      <c r="D263" s="27" t="s">
        <v>840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10.0</v>
      </c>
      <c r="K263" s="33" t="n">
        <f>197.7</f>
        <v>197.7</v>
      </c>
      <c r="L263" s="34" t="s">
        <v>48</v>
      </c>
      <c r="M263" s="33" t="n">
        <f>201</f>
        <v>201.0</v>
      </c>
      <c r="N263" s="34" t="s">
        <v>65</v>
      </c>
      <c r="O263" s="33" t="n">
        <f>195</f>
        <v>195.0</v>
      </c>
      <c r="P263" s="34" t="s">
        <v>69</v>
      </c>
      <c r="Q263" s="33" t="n">
        <f>200</f>
        <v>200.0</v>
      </c>
      <c r="R263" s="34" t="s">
        <v>50</v>
      </c>
      <c r="S263" s="35" t="n">
        <f>196.79</f>
        <v>196.79</v>
      </c>
      <c r="T263" s="32" t="n">
        <f>1675560</f>
        <v>1675560.0</v>
      </c>
      <c r="U263" s="32" t="str">
        <f>"－"</f>
        <v>－</v>
      </c>
      <c r="V263" s="32" t="n">
        <f>327826998</f>
        <v>3.27826998E8</v>
      </c>
      <c r="W263" s="32" t="str">
        <f>"－"</f>
        <v>－</v>
      </c>
      <c r="X263" s="36" t="n">
        <f>20</f>
        <v>20.0</v>
      </c>
    </row>
    <row r="264">
      <c r="A264" s="27" t="s">
        <v>42</v>
      </c>
      <c r="B264" s="27" t="s">
        <v>841</v>
      </c>
      <c r="C264" s="27" t="s">
        <v>842</v>
      </c>
      <c r="D264" s="27" t="s">
        <v>843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1.0</v>
      </c>
      <c r="K264" s="33" t="n">
        <f>2068</f>
        <v>2068.0</v>
      </c>
      <c r="L264" s="34" t="s">
        <v>48</v>
      </c>
      <c r="M264" s="33" t="n">
        <f>2120</f>
        <v>2120.0</v>
      </c>
      <c r="N264" s="34" t="s">
        <v>73</v>
      </c>
      <c r="O264" s="33" t="n">
        <f>2003</f>
        <v>2003.0</v>
      </c>
      <c r="P264" s="34" t="s">
        <v>50</v>
      </c>
      <c r="Q264" s="33" t="n">
        <f>2013</f>
        <v>2013.0</v>
      </c>
      <c r="R264" s="34" t="s">
        <v>50</v>
      </c>
      <c r="S264" s="35" t="n">
        <f>2052.05</f>
        <v>2052.05</v>
      </c>
      <c r="T264" s="32" t="n">
        <f>1390870</f>
        <v>1390870.0</v>
      </c>
      <c r="U264" s="32" t="n">
        <f>296616</f>
        <v>296616.0</v>
      </c>
      <c r="V264" s="32" t="n">
        <f>2845257609</f>
        <v>2.845257609E9</v>
      </c>
      <c r="W264" s="32" t="n">
        <f>600460069</f>
        <v>6.00460069E8</v>
      </c>
      <c r="X264" s="36" t="n">
        <f>20</f>
        <v>20.0</v>
      </c>
    </row>
    <row r="265">
      <c r="A265" s="27" t="s">
        <v>42</v>
      </c>
      <c r="B265" s="27" t="s">
        <v>844</v>
      </c>
      <c r="C265" s="27" t="s">
        <v>845</v>
      </c>
      <c r="D265" s="27" t="s">
        <v>846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1.0</v>
      </c>
      <c r="K265" s="33" t="n">
        <f>1024</f>
        <v>1024.0</v>
      </c>
      <c r="L265" s="34" t="s">
        <v>48</v>
      </c>
      <c r="M265" s="33" t="n">
        <f>1067</f>
        <v>1067.0</v>
      </c>
      <c r="N265" s="34" t="s">
        <v>69</v>
      </c>
      <c r="O265" s="33" t="n">
        <f>993</f>
        <v>993.0</v>
      </c>
      <c r="P265" s="34" t="s">
        <v>162</v>
      </c>
      <c r="Q265" s="33" t="n">
        <f>1003</f>
        <v>1003.0</v>
      </c>
      <c r="R265" s="34" t="s">
        <v>50</v>
      </c>
      <c r="S265" s="35" t="n">
        <f>1020.85</f>
        <v>1020.85</v>
      </c>
      <c r="T265" s="32" t="n">
        <f>1101305</f>
        <v>1101305.0</v>
      </c>
      <c r="U265" s="32" t="n">
        <f>930004</f>
        <v>930004.0</v>
      </c>
      <c r="V265" s="32" t="n">
        <f>1122053187</f>
        <v>1.122053187E9</v>
      </c>
      <c r="W265" s="32" t="n">
        <f>947745679</f>
        <v>9.47745679E8</v>
      </c>
      <c r="X265" s="36" t="n">
        <f>20</f>
        <v>20.0</v>
      </c>
    </row>
    <row r="266">
      <c r="A266" s="27" t="s">
        <v>42</v>
      </c>
      <c r="B266" s="27" t="s">
        <v>847</v>
      </c>
      <c r="C266" s="27" t="s">
        <v>848</v>
      </c>
      <c r="D266" s="27" t="s">
        <v>849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1.0</v>
      </c>
      <c r="K266" s="33" t="n">
        <f>1007</f>
        <v>1007.0</v>
      </c>
      <c r="L266" s="34" t="s">
        <v>48</v>
      </c>
      <c r="M266" s="33" t="n">
        <f>1040</f>
        <v>1040.0</v>
      </c>
      <c r="N266" s="34" t="s">
        <v>54</v>
      </c>
      <c r="O266" s="33" t="n">
        <f>977</f>
        <v>977.0</v>
      </c>
      <c r="P266" s="34" t="s">
        <v>61</v>
      </c>
      <c r="Q266" s="33" t="n">
        <f>984</f>
        <v>984.0</v>
      </c>
      <c r="R266" s="34" t="s">
        <v>50</v>
      </c>
      <c r="S266" s="35" t="n">
        <f>1006.15</f>
        <v>1006.15</v>
      </c>
      <c r="T266" s="32" t="n">
        <f>1005384</f>
        <v>1005384.0</v>
      </c>
      <c r="U266" s="32" t="n">
        <f>213830</f>
        <v>213830.0</v>
      </c>
      <c r="V266" s="32" t="n">
        <f>1005931421</f>
        <v>1.005931421E9</v>
      </c>
      <c r="W266" s="32" t="n">
        <f>215791506</f>
        <v>2.15791506E8</v>
      </c>
      <c r="X266" s="36" t="n">
        <f>20</f>
        <v>20.0</v>
      </c>
    </row>
    <row r="267">
      <c r="A267" s="27" t="s">
        <v>42</v>
      </c>
      <c r="B267" s="27" t="s">
        <v>850</v>
      </c>
      <c r="C267" s="27" t="s">
        <v>851</v>
      </c>
      <c r="D267" s="27" t="s">
        <v>852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10.0</v>
      </c>
      <c r="K267" s="33" t="n">
        <f>499.4</f>
        <v>499.4</v>
      </c>
      <c r="L267" s="34" t="s">
        <v>48</v>
      </c>
      <c r="M267" s="33" t="n">
        <f>520.8</f>
        <v>520.8</v>
      </c>
      <c r="N267" s="34" t="s">
        <v>121</v>
      </c>
      <c r="O267" s="33" t="n">
        <f>493.5</f>
        <v>493.5</v>
      </c>
      <c r="P267" s="34" t="s">
        <v>94</v>
      </c>
      <c r="Q267" s="33" t="n">
        <f>495.7</f>
        <v>495.7</v>
      </c>
      <c r="R267" s="34" t="s">
        <v>50</v>
      </c>
      <c r="S267" s="35" t="n">
        <f>497.39</f>
        <v>497.39</v>
      </c>
      <c r="T267" s="32" t="n">
        <f>235670</f>
        <v>235670.0</v>
      </c>
      <c r="U267" s="32" t="n">
        <f>151950</f>
        <v>151950.0</v>
      </c>
      <c r="V267" s="32" t="n">
        <f>117002927</f>
        <v>1.17002927E8</v>
      </c>
      <c r="W267" s="32" t="n">
        <f>75513406</f>
        <v>7.5513406E7</v>
      </c>
      <c r="X267" s="36" t="n">
        <f>20</f>
        <v>20.0</v>
      </c>
    </row>
    <row r="268">
      <c r="A268" s="27" t="s">
        <v>42</v>
      </c>
      <c r="B268" s="27" t="s">
        <v>853</v>
      </c>
      <c r="C268" s="27" t="s">
        <v>854</v>
      </c>
      <c r="D268" s="27" t="s">
        <v>855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10.0</v>
      </c>
      <c r="K268" s="33" t="n">
        <f>195.5</f>
        <v>195.5</v>
      </c>
      <c r="L268" s="34" t="s">
        <v>48</v>
      </c>
      <c r="M268" s="33" t="n">
        <f>196.9</f>
        <v>196.9</v>
      </c>
      <c r="N268" s="34" t="s">
        <v>49</v>
      </c>
      <c r="O268" s="33" t="n">
        <f>188.3</f>
        <v>188.3</v>
      </c>
      <c r="P268" s="34" t="s">
        <v>65</v>
      </c>
      <c r="Q268" s="33" t="n">
        <f>194</f>
        <v>194.0</v>
      </c>
      <c r="R268" s="34" t="s">
        <v>50</v>
      </c>
      <c r="S268" s="35" t="n">
        <f>192.24</f>
        <v>192.24</v>
      </c>
      <c r="T268" s="32" t="n">
        <f>2667390</f>
        <v>2667390.0</v>
      </c>
      <c r="U268" s="32" t="str">
        <f>"－"</f>
        <v>－</v>
      </c>
      <c r="V268" s="32" t="n">
        <f>514135682</f>
        <v>5.14135682E8</v>
      </c>
      <c r="W268" s="32" t="str">
        <f>"－"</f>
        <v>－</v>
      </c>
      <c r="X268" s="36" t="n">
        <f>20</f>
        <v>20.0</v>
      </c>
    </row>
    <row r="269">
      <c r="A269" s="27" t="s">
        <v>42</v>
      </c>
      <c r="B269" s="27" t="s">
        <v>856</v>
      </c>
      <c r="C269" s="27" t="s">
        <v>857</v>
      </c>
      <c r="D269" s="27" t="s">
        <v>858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10.0</v>
      </c>
      <c r="K269" s="33" t="n">
        <f>181.9</f>
        <v>181.9</v>
      </c>
      <c r="L269" s="34" t="s">
        <v>48</v>
      </c>
      <c r="M269" s="33" t="n">
        <f>182.4</f>
        <v>182.4</v>
      </c>
      <c r="N269" s="34" t="s">
        <v>69</v>
      </c>
      <c r="O269" s="33" t="n">
        <f>171.1</f>
        <v>171.1</v>
      </c>
      <c r="P269" s="34" t="s">
        <v>108</v>
      </c>
      <c r="Q269" s="33" t="n">
        <f>182</f>
        <v>182.0</v>
      </c>
      <c r="R269" s="34" t="s">
        <v>50</v>
      </c>
      <c r="S269" s="35" t="n">
        <f>176.54</f>
        <v>176.54</v>
      </c>
      <c r="T269" s="32" t="n">
        <f>2169840</f>
        <v>2169840.0</v>
      </c>
      <c r="U269" s="32" t="n">
        <f>1750</f>
        <v>1750.0</v>
      </c>
      <c r="V269" s="32" t="n">
        <f>380579208</f>
        <v>3.80579208E8</v>
      </c>
      <c r="W269" s="32" t="n">
        <f>293633</f>
        <v>293633.0</v>
      </c>
      <c r="X269" s="36" t="n">
        <f>20</f>
        <v>20.0</v>
      </c>
    </row>
    <row r="270">
      <c r="A270" s="27" t="s">
        <v>42</v>
      </c>
      <c r="B270" s="27" t="s">
        <v>859</v>
      </c>
      <c r="C270" s="27" t="s">
        <v>860</v>
      </c>
      <c r="D270" s="27" t="s">
        <v>861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10.0</v>
      </c>
      <c r="K270" s="33" t="n">
        <f>908</f>
        <v>908.0</v>
      </c>
      <c r="L270" s="34" t="s">
        <v>48</v>
      </c>
      <c r="M270" s="33" t="n">
        <f>914.9</f>
        <v>914.9</v>
      </c>
      <c r="N270" s="34" t="s">
        <v>121</v>
      </c>
      <c r="O270" s="33" t="n">
        <f>898.2</f>
        <v>898.2</v>
      </c>
      <c r="P270" s="34" t="s">
        <v>108</v>
      </c>
      <c r="Q270" s="33" t="n">
        <f>902.9</f>
        <v>902.9</v>
      </c>
      <c r="R270" s="34" t="s">
        <v>50</v>
      </c>
      <c r="S270" s="35" t="n">
        <f>903.38</f>
        <v>903.38</v>
      </c>
      <c r="T270" s="32" t="n">
        <f>39532850</f>
        <v>3.953285E7</v>
      </c>
      <c r="U270" s="32" t="n">
        <f>36896430</f>
        <v>3.689643E7</v>
      </c>
      <c r="V270" s="32" t="n">
        <f>35788452726</f>
        <v>3.5788452726E10</v>
      </c>
      <c r="W270" s="32" t="n">
        <f>33400562046</f>
        <v>3.3400562046E10</v>
      </c>
      <c r="X270" s="36" t="n">
        <f>20</f>
        <v>20.0</v>
      </c>
    </row>
    <row r="271">
      <c r="A271" s="27" t="s">
        <v>42</v>
      </c>
      <c r="B271" s="27" t="s">
        <v>862</v>
      </c>
      <c r="C271" s="27" t="s">
        <v>863</v>
      </c>
      <c r="D271" s="27" t="s">
        <v>864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10.0</v>
      </c>
      <c r="K271" s="33" t="n">
        <f>1097.5</f>
        <v>1097.5</v>
      </c>
      <c r="L271" s="34" t="s">
        <v>48</v>
      </c>
      <c r="M271" s="33" t="n">
        <f>1115.5</f>
        <v>1115.5</v>
      </c>
      <c r="N271" s="34" t="s">
        <v>104</v>
      </c>
      <c r="O271" s="33" t="n">
        <f>1082</f>
        <v>1082.0</v>
      </c>
      <c r="P271" s="34" t="s">
        <v>50</v>
      </c>
      <c r="Q271" s="33" t="n">
        <f>1082.5</f>
        <v>1082.5</v>
      </c>
      <c r="R271" s="34" t="s">
        <v>50</v>
      </c>
      <c r="S271" s="35" t="n">
        <f>1102.23</f>
        <v>1102.23</v>
      </c>
      <c r="T271" s="32" t="n">
        <f>5774060</f>
        <v>5774060.0</v>
      </c>
      <c r="U271" s="32" t="n">
        <f>4429770</f>
        <v>4429770.0</v>
      </c>
      <c r="V271" s="32" t="n">
        <f>6360203272</f>
        <v>6.360203272E9</v>
      </c>
      <c r="W271" s="32" t="n">
        <f>4880035012</f>
        <v>4.880035012E9</v>
      </c>
      <c r="X271" s="36" t="n">
        <f>20</f>
        <v>20.0</v>
      </c>
    </row>
    <row r="272">
      <c r="A272" s="27" t="s">
        <v>42</v>
      </c>
      <c r="B272" s="27" t="s">
        <v>865</v>
      </c>
      <c r="C272" s="27" t="s">
        <v>866</v>
      </c>
      <c r="D272" s="27" t="s">
        <v>867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10.0</v>
      </c>
      <c r="K272" s="33" t="n">
        <f>770.8</f>
        <v>770.8</v>
      </c>
      <c r="L272" s="34" t="s">
        <v>48</v>
      </c>
      <c r="M272" s="33" t="n">
        <f>778.9</f>
        <v>778.9</v>
      </c>
      <c r="N272" s="34" t="s">
        <v>50</v>
      </c>
      <c r="O272" s="33" t="n">
        <f>765</f>
        <v>765.0</v>
      </c>
      <c r="P272" s="34" t="s">
        <v>108</v>
      </c>
      <c r="Q272" s="33" t="n">
        <f>778.9</f>
        <v>778.9</v>
      </c>
      <c r="R272" s="34" t="s">
        <v>50</v>
      </c>
      <c r="S272" s="35" t="n">
        <f>771.47</f>
        <v>771.47</v>
      </c>
      <c r="T272" s="32" t="n">
        <f>40354230</f>
        <v>4.035423E7</v>
      </c>
      <c r="U272" s="32" t="n">
        <f>40192770</f>
        <v>4.019277E7</v>
      </c>
      <c r="V272" s="32" t="n">
        <f>31088442162</f>
        <v>3.1088442162E10</v>
      </c>
      <c r="W272" s="32" t="n">
        <f>30963924999</f>
        <v>3.0963924999E10</v>
      </c>
      <c r="X272" s="36" t="n">
        <f>20</f>
        <v>20.0</v>
      </c>
    </row>
    <row r="273">
      <c r="A273" s="27" t="s">
        <v>42</v>
      </c>
      <c r="B273" s="27" t="s">
        <v>868</v>
      </c>
      <c r="C273" s="27" t="s">
        <v>869</v>
      </c>
      <c r="D273" s="27" t="s">
        <v>870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10.0</v>
      </c>
      <c r="K273" s="33" t="n">
        <f>2542</f>
        <v>2542.0</v>
      </c>
      <c r="L273" s="34" t="s">
        <v>48</v>
      </c>
      <c r="M273" s="33" t="n">
        <f>2702</f>
        <v>2702.0</v>
      </c>
      <c r="N273" s="34" t="s">
        <v>108</v>
      </c>
      <c r="O273" s="33" t="n">
        <f>2540</f>
        <v>2540.0</v>
      </c>
      <c r="P273" s="34" t="s">
        <v>48</v>
      </c>
      <c r="Q273" s="33" t="n">
        <f>2619</f>
        <v>2619.0</v>
      </c>
      <c r="R273" s="34" t="s">
        <v>50</v>
      </c>
      <c r="S273" s="35" t="n">
        <f>2653.9</f>
        <v>2653.9</v>
      </c>
      <c r="T273" s="32" t="n">
        <f>1994060</f>
        <v>1994060.0</v>
      </c>
      <c r="U273" s="32" t="n">
        <f>1486760</f>
        <v>1486760.0</v>
      </c>
      <c r="V273" s="32" t="n">
        <f>5258887573</f>
        <v>5.258887573E9</v>
      </c>
      <c r="W273" s="32" t="n">
        <f>3918797838</f>
        <v>3.918797838E9</v>
      </c>
      <c r="X273" s="36" t="n">
        <f>20</f>
        <v>20.0</v>
      </c>
    </row>
    <row r="274">
      <c r="A274" s="27" t="s">
        <v>42</v>
      </c>
      <c r="B274" s="27" t="s">
        <v>871</v>
      </c>
      <c r="C274" s="27" t="s">
        <v>872</v>
      </c>
      <c r="D274" s="27" t="s">
        <v>873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10.0</v>
      </c>
      <c r="K274" s="33" t="n">
        <f>1624.5</f>
        <v>1624.5</v>
      </c>
      <c r="L274" s="34" t="s">
        <v>48</v>
      </c>
      <c r="M274" s="33" t="n">
        <f>1697</f>
        <v>1697.0</v>
      </c>
      <c r="N274" s="34" t="s">
        <v>162</v>
      </c>
      <c r="O274" s="33" t="n">
        <f>1614.5</f>
        <v>1614.5</v>
      </c>
      <c r="P274" s="34" t="s">
        <v>48</v>
      </c>
      <c r="Q274" s="33" t="n">
        <f>1689</f>
        <v>1689.0</v>
      </c>
      <c r="R274" s="34" t="s">
        <v>50</v>
      </c>
      <c r="S274" s="35" t="n">
        <f>1669.58</f>
        <v>1669.58</v>
      </c>
      <c r="T274" s="32" t="n">
        <f>1076270</f>
        <v>1076270.0</v>
      </c>
      <c r="U274" s="32" t="n">
        <f>941320</f>
        <v>941320.0</v>
      </c>
      <c r="V274" s="32" t="n">
        <f>1789339413</f>
        <v>1.789339413E9</v>
      </c>
      <c r="W274" s="32" t="n">
        <f>1564833873</f>
        <v>1.564833873E9</v>
      </c>
      <c r="X274" s="36" t="n">
        <f>20</f>
        <v>20.0</v>
      </c>
    </row>
    <row r="275">
      <c r="A275" s="27" t="s">
        <v>42</v>
      </c>
      <c r="B275" s="27" t="s">
        <v>874</v>
      </c>
      <c r="C275" s="27" t="s">
        <v>875</v>
      </c>
      <c r="D275" s="27" t="s">
        <v>876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10.0</v>
      </c>
      <c r="K275" s="33" t="n">
        <f>1490</f>
        <v>1490.0</v>
      </c>
      <c r="L275" s="34" t="s">
        <v>48</v>
      </c>
      <c r="M275" s="33" t="n">
        <f>1538</f>
        <v>1538.0</v>
      </c>
      <c r="N275" s="34" t="s">
        <v>257</v>
      </c>
      <c r="O275" s="33" t="n">
        <f>1480</f>
        <v>1480.0</v>
      </c>
      <c r="P275" s="34" t="s">
        <v>48</v>
      </c>
      <c r="Q275" s="33" t="n">
        <f>1514</f>
        <v>1514.0</v>
      </c>
      <c r="R275" s="34" t="s">
        <v>50</v>
      </c>
      <c r="S275" s="35" t="n">
        <f>1513.23</f>
        <v>1513.23</v>
      </c>
      <c r="T275" s="32" t="n">
        <f>1161250</f>
        <v>1161250.0</v>
      </c>
      <c r="U275" s="32" t="n">
        <f>455580</f>
        <v>455580.0</v>
      </c>
      <c r="V275" s="32" t="n">
        <f>1753146870</f>
        <v>1.75314687E9</v>
      </c>
      <c r="W275" s="32" t="n">
        <f>687808220</f>
        <v>6.8780822E8</v>
      </c>
      <c r="X275" s="36" t="n">
        <f>20</f>
        <v>20.0</v>
      </c>
    </row>
    <row r="276">
      <c r="A276" s="27" t="s">
        <v>42</v>
      </c>
      <c r="B276" s="27" t="s">
        <v>877</v>
      </c>
      <c r="C276" s="27" t="s">
        <v>878</v>
      </c>
      <c r="D276" s="27" t="s">
        <v>879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10.0</v>
      </c>
      <c r="K276" s="33" t="n">
        <f>481.5</f>
        <v>481.5</v>
      </c>
      <c r="L276" s="34" t="s">
        <v>48</v>
      </c>
      <c r="M276" s="33" t="n">
        <f>502</f>
        <v>502.0</v>
      </c>
      <c r="N276" s="34" t="s">
        <v>158</v>
      </c>
      <c r="O276" s="33" t="n">
        <f>473.9</f>
        <v>473.9</v>
      </c>
      <c r="P276" s="34" t="s">
        <v>121</v>
      </c>
      <c r="Q276" s="33" t="n">
        <f>500.5</f>
        <v>500.5</v>
      </c>
      <c r="R276" s="34" t="s">
        <v>50</v>
      </c>
      <c r="S276" s="35" t="n">
        <f>490.81</f>
        <v>490.81</v>
      </c>
      <c r="T276" s="32" t="n">
        <f>15696980</f>
        <v>1.569698E7</v>
      </c>
      <c r="U276" s="32" t="n">
        <f>312570</f>
        <v>312570.0</v>
      </c>
      <c r="V276" s="32" t="n">
        <f>7705184817</f>
        <v>7.705184817E9</v>
      </c>
      <c r="W276" s="32" t="n">
        <f>154314142</f>
        <v>1.54314142E8</v>
      </c>
      <c r="X276" s="36" t="n">
        <f>20</f>
        <v>20.0</v>
      </c>
    </row>
    <row r="277">
      <c r="A277" s="27" t="s">
        <v>42</v>
      </c>
      <c r="B277" s="27" t="s">
        <v>880</v>
      </c>
      <c r="C277" s="27" t="s">
        <v>881</v>
      </c>
      <c r="D277" s="27" t="s">
        <v>882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10.0</v>
      </c>
      <c r="K277" s="33" t="n">
        <f>1016</f>
        <v>1016.0</v>
      </c>
      <c r="L277" s="34" t="s">
        <v>48</v>
      </c>
      <c r="M277" s="33" t="n">
        <f>1025</f>
        <v>1025.0</v>
      </c>
      <c r="N277" s="34" t="s">
        <v>69</v>
      </c>
      <c r="O277" s="33" t="n">
        <f>990</f>
        <v>990.0</v>
      </c>
      <c r="P277" s="34" t="s">
        <v>108</v>
      </c>
      <c r="Q277" s="33" t="n">
        <f>1004.5</f>
        <v>1004.5</v>
      </c>
      <c r="R277" s="34" t="s">
        <v>50</v>
      </c>
      <c r="S277" s="35" t="n">
        <f>1005.43</f>
        <v>1005.43</v>
      </c>
      <c r="T277" s="32" t="n">
        <f>816170</f>
        <v>816170.0</v>
      </c>
      <c r="U277" s="32" t="n">
        <f>495330</f>
        <v>495330.0</v>
      </c>
      <c r="V277" s="32" t="n">
        <f>823046656</f>
        <v>8.23046656E8</v>
      </c>
      <c r="W277" s="32" t="n">
        <f>500035655</f>
        <v>5.00035655E8</v>
      </c>
      <c r="X277" s="36" t="n">
        <f>20</f>
        <v>20.0</v>
      </c>
    </row>
    <row r="278">
      <c r="A278" s="27" t="s">
        <v>42</v>
      </c>
      <c r="B278" s="27" t="s">
        <v>883</v>
      </c>
      <c r="C278" s="27" t="s">
        <v>884</v>
      </c>
      <c r="D278" s="27" t="s">
        <v>885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1.0</v>
      </c>
      <c r="K278" s="33" t="n">
        <f>1532</f>
        <v>1532.0</v>
      </c>
      <c r="L278" s="34" t="s">
        <v>48</v>
      </c>
      <c r="M278" s="33" t="n">
        <f>1634</f>
        <v>1634.0</v>
      </c>
      <c r="N278" s="34" t="s">
        <v>235</v>
      </c>
      <c r="O278" s="33" t="n">
        <f>1530</f>
        <v>1530.0</v>
      </c>
      <c r="P278" s="34" t="s">
        <v>61</v>
      </c>
      <c r="Q278" s="33" t="n">
        <f>1561</f>
        <v>1561.0</v>
      </c>
      <c r="R278" s="34" t="s">
        <v>50</v>
      </c>
      <c r="S278" s="35" t="n">
        <f>1568.15</f>
        <v>1568.15</v>
      </c>
      <c r="T278" s="32" t="n">
        <f>35151</f>
        <v>35151.0</v>
      </c>
      <c r="U278" s="32" t="str">
        <f>"－"</f>
        <v>－</v>
      </c>
      <c r="V278" s="32" t="n">
        <f>55439012</f>
        <v>5.5439012E7</v>
      </c>
      <c r="W278" s="32" t="str">
        <f>"－"</f>
        <v>－</v>
      </c>
      <c r="X278" s="36" t="n">
        <f>20</f>
        <v>20.0</v>
      </c>
    </row>
    <row r="279">
      <c r="A279" s="27" t="s">
        <v>42</v>
      </c>
      <c r="B279" s="27" t="s">
        <v>886</v>
      </c>
      <c r="C279" s="27" t="s">
        <v>887</v>
      </c>
      <c r="D279" s="27" t="s">
        <v>888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10.0</v>
      </c>
      <c r="K279" s="33" t="n">
        <f>1087.5</f>
        <v>1087.5</v>
      </c>
      <c r="L279" s="34" t="s">
        <v>48</v>
      </c>
      <c r="M279" s="33" t="n">
        <f>1105</f>
        <v>1105.0</v>
      </c>
      <c r="N279" s="34" t="s">
        <v>104</v>
      </c>
      <c r="O279" s="33" t="n">
        <f>1071</f>
        <v>1071.0</v>
      </c>
      <c r="P279" s="34" t="s">
        <v>48</v>
      </c>
      <c r="Q279" s="33" t="n">
        <f>1075.5</f>
        <v>1075.5</v>
      </c>
      <c r="R279" s="34" t="s">
        <v>50</v>
      </c>
      <c r="S279" s="35" t="n">
        <f>1090.33</f>
        <v>1090.33</v>
      </c>
      <c r="T279" s="32" t="n">
        <f>136870</f>
        <v>136870.0</v>
      </c>
      <c r="U279" s="32" t="n">
        <f>94300</f>
        <v>94300.0</v>
      </c>
      <c r="V279" s="32" t="n">
        <f>148633181</f>
        <v>1.48633181E8</v>
      </c>
      <c r="W279" s="32" t="n">
        <f>102290536</f>
        <v>1.02290536E8</v>
      </c>
      <c r="X279" s="36" t="n">
        <f>20</f>
        <v>20.0</v>
      </c>
    </row>
    <row r="280">
      <c r="A280" s="27" t="s">
        <v>42</v>
      </c>
      <c r="B280" s="27" t="s">
        <v>889</v>
      </c>
      <c r="C280" s="27" t="s">
        <v>890</v>
      </c>
      <c r="D280" s="27" t="s">
        <v>891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10.0</v>
      </c>
      <c r="K280" s="33" t="n">
        <f>1468.5</f>
        <v>1468.5</v>
      </c>
      <c r="L280" s="34" t="s">
        <v>48</v>
      </c>
      <c r="M280" s="33" t="n">
        <f>1529.5</f>
        <v>1529.5</v>
      </c>
      <c r="N280" s="34" t="s">
        <v>54</v>
      </c>
      <c r="O280" s="33" t="n">
        <f>1390</f>
        <v>1390.0</v>
      </c>
      <c r="P280" s="34" t="s">
        <v>50</v>
      </c>
      <c r="Q280" s="33" t="n">
        <f>1401.5</f>
        <v>1401.5</v>
      </c>
      <c r="R280" s="34" t="s">
        <v>50</v>
      </c>
      <c r="S280" s="35" t="n">
        <f>1463.68</f>
        <v>1463.68</v>
      </c>
      <c r="T280" s="32" t="n">
        <f>202110</f>
        <v>202110.0</v>
      </c>
      <c r="U280" s="32" t="n">
        <f>86780</f>
        <v>86780.0</v>
      </c>
      <c r="V280" s="32" t="n">
        <f>294689718</f>
        <v>2.94689718E8</v>
      </c>
      <c r="W280" s="32" t="n">
        <f>124017298</f>
        <v>1.24017298E8</v>
      </c>
      <c r="X280" s="36" t="n">
        <f>20</f>
        <v>20.0</v>
      </c>
    </row>
    <row r="281">
      <c r="A281" s="27" t="s">
        <v>42</v>
      </c>
      <c r="B281" s="27" t="s">
        <v>892</v>
      </c>
      <c r="C281" s="27" t="s">
        <v>893</v>
      </c>
      <c r="D281" s="27" t="s">
        <v>894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10.0</v>
      </c>
      <c r="K281" s="33" t="n">
        <f>1736</f>
        <v>1736.0</v>
      </c>
      <c r="L281" s="34" t="s">
        <v>48</v>
      </c>
      <c r="M281" s="33" t="n">
        <f>1830</f>
        <v>1830.0</v>
      </c>
      <c r="N281" s="34" t="s">
        <v>87</v>
      </c>
      <c r="O281" s="33" t="n">
        <f>1732.5</f>
        <v>1732.5</v>
      </c>
      <c r="P281" s="34" t="s">
        <v>48</v>
      </c>
      <c r="Q281" s="33" t="n">
        <f>1823</f>
        <v>1823.0</v>
      </c>
      <c r="R281" s="34" t="s">
        <v>50</v>
      </c>
      <c r="S281" s="35" t="n">
        <f>1803.6</f>
        <v>1803.6</v>
      </c>
      <c r="T281" s="32" t="n">
        <f>9366690</f>
        <v>9366690.0</v>
      </c>
      <c r="U281" s="32" t="n">
        <f>6692060</f>
        <v>6692060.0</v>
      </c>
      <c r="V281" s="32" t="n">
        <f>16840602911</f>
        <v>1.6840602911E10</v>
      </c>
      <c r="W281" s="32" t="n">
        <f>12050349471</f>
        <v>1.2050349471E10</v>
      </c>
      <c r="X281" s="36" t="n">
        <f>20</f>
        <v>20.0</v>
      </c>
    </row>
    <row r="282">
      <c r="A282" s="27" t="s">
        <v>42</v>
      </c>
      <c r="B282" s="27" t="s">
        <v>895</v>
      </c>
      <c r="C282" s="27" t="s">
        <v>896</v>
      </c>
      <c r="D282" s="27" t="s">
        <v>897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1.0</v>
      </c>
      <c r="K282" s="33" t="n">
        <f>5410</f>
        <v>5410.0</v>
      </c>
      <c r="L282" s="34" t="s">
        <v>48</v>
      </c>
      <c r="M282" s="33" t="n">
        <f>5870</f>
        <v>5870.0</v>
      </c>
      <c r="N282" s="34" t="s">
        <v>158</v>
      </c>
      <c r="O282" s="33" t="n">
        <f>5330</f>
        <v>5330.0</v>
      </c>
      <c r="P282" s="34" t="s">
        <v>48</v>
      </c>
      <c r="Q282" s="33" t="n">
        <f>5660</f>
        <v>5660.0</v>
      </c>
      <c r="R282" s="34" t="s">
        <v>50</v>
      </c>
      <c r="S282" s="35" t="n">
        <f>5659</f>
        <v>5659.0</v>
      </c>
      <c r="T282" s="32" t="n">
        <f>266379</f>
        <v>266379.0</v>
      </c>
      <c r="U282" s="32" t="n">
        <f>3</f>
        <v>3.0</v>
      </c>
      <c r="V282" s="32" t="n">
        <f>1497248120</f>
        <v>1.49724812E9</v>
      </c>
      <c r="W282" s="32" t="n">
        <f>16760</f>
        <v>16760.0</v>
      </c>
      <c r="X282" s="36" t="n">
        <f>20</f>
        <v>20.0</v>
      </c>
    </row>
    <row r="283">
      <c r="A283" s="27" t="s">
        <v>42</v>
      </c>
      <c r="B283" s="27" t="s">
        <v>898</v>
      </c>
      <c r="C283" s="27" t="s">
        <v>899</v>
      </c>
      <c r="D283" s="27" t="s">
        <v>900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10.0</v>
      </c>
      <c r="K283" s="33" t="n">
        <f>2155.5</f>
        <v>2155.5</v>
      </c>
      <c r="L283" s="34" t="s">
        <v>121</v>
      </c>
      <c r="M283" s="33" t="n">
        <f>2264</f>
        <v>2264.0</v>
      </c>
      <c r="N283" s="34" t="s">
        <v>73</v>
      </c>
      <c r="O283" s="33" t="n">
        <f>2155.5</f>
        <v>2155.5</v>
      </c>
      <c r="P283" s="34" t="s">
        <v>121</v>
      </c>
      <c r="Q283" s="33" t="n">
        <f>2209</f>
        <v>2209.0</v>
      </c>
      <c r="R283" s="34" t="s">
        <v>257</v>
      </c>
      <c r="S283" s="35" t="n">
        <f>2204.42</f>
        <v>2204.42</v>
      </c>
      <c r="T283" s="32" t="n">
        <f>590</f>
        <v>590.0</v>
      </c>
      <c r="U283" s="32" t="str">
        <f>"－"</f>
        <v>－</v>
      </c>
      <c r="V283" s="32" t="n">
        <f>1298220</f>
        <v>1298220.0</v>
      </c>
      <c r="W283" s="32" t="str">
        <f>"－"</f>
        <v>－</v>
      </c>
      <c r="X283" s="36" t="n">
        <f>6</f>
        <v>6.0</v>
      </c>
    </row>
    <row r="284">
      <c r="A284" s="27" t="s">
        <v>42</v>
      </c>
      <c r="B284" s="27" t="s">
        <v>901</v>
      </c>
      <c r="C284" s="27" t="s">
        <v>902</v>
      </c>
      <c r="D284" s="27" t="s">
        <v>903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10.0</v>
      </c>
      <c r="K284" s="33" t="n">
        <f>2722.5</f>
        <v>2722.5</v>
      </c>
      <c r="L284" s="34" t="s">
        <v>48</v>
      </c>
      <c r="M284" s="33" t="n">
        <f>2867</f>
        <v>2867.0</v>
      </c>
      <c r="N284" s="34" t="s">
        <v>69</v>
      </c>
      <c r="O284" s="33" t="n">
        <f>2717</f>
        <v>2717.0</v>
      </c>
      <c r="P284" s="34" t="s">
        <v>121</v>
      </c>
      <c r="Q284" s="33" t="n">
        <f>2753</f>
        <v>2753.0</v>
      </c>
      <c r="R284" s="34" t="s">
        <v>50</v>
      </c>
      <c r="S284" s="35" t="n">
        <f>2782.3</f>
        <v>2782.3</v>
      </c>
      <c r="T284" s="32" t="n">
        <f>365800</f>
        <v>365800.0</v>
      </c>
      <c r="U284" s="32" t="n">
        <f>54500</f>
        <v>54500.0</v>
      </c>
      <c r="V284" s="32" t="n">
        <f>1015873045</f>
        <v>1.015873045E9</v>
      </c>
      <c r="W284" s="32" t="n">
        <f>151639800</f>
        <v>1.516398E8</v>
      </c>
      <c r="X284" s="36" t="n">
        <f>20</f>
        <v>20.0</v>
      </c>
    </row>
    <row r="285">
      <c r="A285" s="27" t="s">
        <v>42</v>
      </c>
      <c r="B285" s="27" t="s">
        <v>904</v>
      </c>
      <c r="C285" s="27" t="s">
        <v>905</v>
      </c>
      <c r="D285" s="27" t="s">
        <v>906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1.0</v>
      </c>
      <c r="K285" s="33" t="n">
        <f>38560</f>
        <v>38560.0</v>
      </c>
      <c r="L285" s="34" t="s">
        <v>48</v>
      </c>
      <c r="M285" s="33" t="n">
        <f>40200</f>
        <v>40200.0</v>
      </c>
      <c r="N285" s="34" t="s">
        <v>54</v>
      </c>
      <c r="O285" s="33" t="n">
        <f>38270</f>
        <v>38270.0</v>
      </c>
      <c r="P285" s="34" t="s">
        <v>48</v>
      </c>
      <c r="Q285" s="33" t="n">
        <f>38480</f>
        <v>38480.0</v>
      </c>
      <c r="R285" s="34" t="s">
        <v>50</v>
      </c>
      <c r="S285" s="35" t="n">
        <f>38986</f>
        <v>38986.0</v>
      </c>
      <c r="T285" s="32" t="n">
        <f>64680</f>
        <v>64680.0</v>
      </c>
      <c r="U285" s="32" t="n">
        <f>706</f>
        <v>706.0</v>
      </c>
      <c r="V285" s="32" t="n">
        <f>2516757950</f>
        <v>2.51675795E9</v>
      </c>
      <c r="W285" s="32" t="n">
        <f>27058350</f>
        <v>2.705835E7</v>
      </c>
      <c r="X285" s="36" t="n">
        <f>20</f>
        <v>20.0</v>
      </c>
    </row>
    <row r="286">
      <c r="A286" s="27" t="s">
        <v>42</v>
      </c>
      <c r="B286" s="27" t="s">
        <v>907</v>
      </c>
      <c r="C286" s="27" t="s">
        <v>908</v>
      </c>
      <c r="D286" s="27" t="s">
        <v>909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1.0</v>
      </c>
      <c r="K286" s="33" t="n">
        <f>24655</f>
        <v>24655.0</v>
      </c>
      <c r="L286" s="34" t="s">
        <v>48</v>
      </c>
      <c r="M286" s="33" t="n">
        <f>25745</f>
        <v>25745.0</v>
      </c>
      <c r="N286" s="34" t="s">
        <v>49</v>
      </c>
      <c r="O286" s="33" t="n">
        <f>24645</f>
        <v>24645.0</v>
      </c>
      <c r="P286" s="34" t="s">
        <v>48</v>
      </c>
      <c r="Q286" s="33" t="n">
        <f>24730</f>
        <v>24730.0</v>
      </c>
      <c r="R286" s="34" t="s">
        <v>61</v>
      </c>
      <c r="S286" s="35" t="n">
        <f>25203.75</f>
        <v>25203.75</v>
      </c>
      <c r="T286" s="32" t="n">
        <f>10856</f>
        <v>10856.0</v>
      </c>
      <c r="U286" s="32" t="str">
        <f>"－"</f>
        <v>－</v>
      </c>
      <c r="V286" s="32" t="n">
        <f>273196515</f>
        <v>2.73196515E8</v>
      </c>
      <c r="W286" s="32" t="str">
        <f>"－"</f>
        <v>－</v>
      </c>
      <c r="X286" s="36" t="n">
        <f>12</f>
        <v>12.0</v>
      </c>
    </row>
    <row r="287">
      <c r="A287" s="27" t="s">
        <v>42</v>
      </c>
      <c r="B287" s="27" t="s">
        <v>910</v>
      </c>
      <c r="C287" s="27" t="s">
        <v>911</v>
      </c>
      <c r="D287" s="27" t="s">
        <v>912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10.0</v>
      </c>
      <c r="K287" s="33" t="n">
        <f>1028</f>
        <v>1028.0</v>
      </c>
      <c r="L287" s="34" t="s">
        <v>48</v>
      </c>
      <c r="M287" s="33" t="n">
        <f>1031.5</f>
        <v>1031.5</v>
      </c>
      <c r="N287" s="34" t="s">
        <v>48</v>
      </c>
      <c r="O287" s="33" t="n">
        <f>1013.5</f>
        <v>1013.5</v>
      </c>
      <c r="P287" s="34" t="s">
        <v>104</v>
      </c>
      <c r="Q287" s="33" t="n">
        <f>1020</f>
        <v>1020.0</v>
      </c>
      <c r="R287" s="34" t="s">
        <v>50</v>
      </c>
      <c r="S287" s="35" t="n">
        <f>1023.43</f>
        <v>1023.43</v>
      </c>
      <c r="T287" s="32" t="n">
        <f>72690</f>
        <v>72690.0</v>
      </c>
      <c r="U287" s="32" t="str">
        <f>"－"</f>
        <v>－</v>
      </c>
      <c r="V287" s="32" t="n">
        <f>74416235</f>
        <v>7.4416235E7</v>
      </c>
      <c r="W287" s="32" t="str">
        <f>"－"</f>
        <v>－</v>
      </c>
      <c r="X287" s="36" t="n">
        <f>20</f>
        <v>20.0</v>
      </c>
    </row>
    <row r="288">
      <c r="A288" s="27" t="s">
        <v>42</v>
      </c>
      <c r="B288" s="27" t="s">
        <v>913</v>
      </c>
      <c r="C288" s="27" t="s">
        <v>914</v>
      </c>
      <c r="D288" s="27" t="s">
        <v>915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1.0</v>
      </c>
      <c r="K288" s="33" t="n">
        <f>1012</f>
        <v>1012.0</v>
      </c>
      <c r="L288" s="34" t="s">
        <v>48</v>
      </c>
      <c r="M288" s="33" t="n">
        <f>1018</f>
        <v>1018.0</v>
      </c>
      <c r="N288" s="34" t="s">
        <v>158</v>
      </c>
      <c r="O288" s="33" t="n">
        <f>994</f>
        <v>994.0</v>
      </c>
      <c r="P288" s="34" t="s">
        <v>108</v>
      </c>
      <c r="Q288" s="33" t="n">
        <f>1009</f>
        <v>1009.0</v>
      </c>
      <c r="R288" s="34" t="s">
        <v>50</v>
      </c>
      <c r="S288" s="35" t="n">
        <f>1007.2</f>
        <v>1007.2</v>
      </c>
      <c r="T288" s="32" t="n">
        <f>506111</f>
        <v>506111.0</v>
      </c>
      <c r="U288" s="32" t="n">
        <f>500002</f>
        <v>500002.0</v>
      </c>
      <c r="V288" s="32" t="n">
        <f>504368413</f>
        <v>5.04368413E8</v>
      </c>
      <c r="W288" s="32" t="n">
        <f>498201802</f>
        <v>4.98201802E8</v>
      </c>
      <c r="X288" s="36" t="n">
        <f>20</f>
        <v>20.0</v>
      </c>
    </row>
    <row r="289">
      <c r="A289" s="27" t="s">
        <v>42</v>
      </c>
      <c r="B289" s="27" t="s">
        <v>916</v>
      </c>
      <c r="C289" s="27" t="s">
        <v>917</v>
      </c>
      <c r="D289" s="27" t="s">
        <v>918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1.0</v>
      </c>
      <c r="K289" s="33" t="n">
        <f>1683</f>
        <v>1683.0</v>
      </c>
      <c r="L289" s="34" t="s">
        <v>48</v>
      </c>
      <c r="M289" s="33" t="n">
        <f>1710</f>
        <v>1710.0</v>
      </c>
      <c r="N289" s="34" t="s">
        <v>54</v>
      </c>
      <c r="O289" s="33" t="n">
        <f>1631</f>
        <v>1631.0</v>
      </c>
      <c r="P289" s="34" t="s">
        <v>162</v>
      </c>
      <c r="Q289" s="33" t="n">
        <f>1641</f>
        <v>1641.0</v>
      </c>
      <c r="R289" s="34" t="s">
        <v>50</v>
      </c>
      <c r="S289" s="35" t="n">
        <f>1664.25</f>
        <v>1664.25</v>
      </c>
      <c r="T289" s="32" t="n">
        <f>130787</f>
        <v>130787.0</v>
      </c>
      <c r="U289" s="32" t="n">
        <f>18076</f>
        <v>18076.0</v>
      </c>
      <c r="V289" s="32" t="n">
        <f>218047812</f>
        <v>2.18047812E8</v>
      </c>
      <c r="W289" s="32" t="n">
        <f>30131558</f>
        <v>3.0131558E7</v>
      </c>
      <c r="X289" s="36" t="n">
        <f>20</f>
        <v>20.0</v>
      </c>
    </row>
    <row r="290">
      <c r="A290" s="27" t="s">
        <v>42</v>
      </c>
      <c r="B290" s="27" t="s">
        <v>919</v>
      </c>
      <c r="C290" s="27" t="s">
        <v>920</v>
      </c>
      <c r="D290" s="27" t="s">
        <v>921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1.0</v>
      </c>
      <c r="K290" s="33" t="n">
        <f>14890</f>
        <v>14890.0</v>
      </c>
      <c r="L290" s="34" t="s">
        <v>48</v>
      </c>
      <c r="M290" s="33" t="n">
        <f>16190</f>
        <v>16190.0</v>
      </c>
      <c r="N290" s="34" t="s">
        <v>54</v>
      </c>
      <c r="O290" s="33" t="n">
        <f>13985</f>
        <v>13985.0</v>
      </c>
      <c r="P290" s="34" t="s">
        <v>162</v>
      </c>
      <c r="Q290" s="33" t="n">
        <f>14340</f>
        <v>14340.0</v>
      </c>
      <c r="R290" s="34" t="s">
        <v>50</v>
      </c>
      <c r="S290" s="35" t="n">
        <f>14974</f>
        <v>14974.0</v>
      </c>
      <c r="T290" s="32" t="n">
        <f>30988</f>
        <v>30988.0</v>
      </c>
      <c r="U290" s="32" t="str">
        <f>"－"</f>
        <v>－</v>
      </c>
      <c r="V290" s="32" t="n">
        <f>464296275</f>
        <v>4.64296275E8</v>
      </c>
      <c r="W290" s="32" t="str">
        <f>"－"</f>
        <v>－</v>
      </c>
      <c r="X290" s="36" t="n">
        <f>20</f>
        <v>20.0</v>
      </c>
    </row>
    <row r="291">
      <c r="A291" s="27" t="s">
        <v>42</v>
      </c>
      <c r="B291" s="27" t="s">
        <v>922</v>
      </c>
      <c r="C291" s="27" t="s">
        <v>923</v>
      </c>
      <c r="D291" s="27" t="s">
        <v>924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1.0</v>
      </c>
      <c r="K291" s="33" t="n">
        <f>1813</f>
        <v>1813.0</v>
      </c>
      <c r="L291" s="34" t="s">
        <v>48</v>
      </c>
      <c r="M291" s="33" t="n">
        <f>1823</f>
        <v>1823.0</v>
      </c>
      <c r="N291" s="34" t="s">
        <v>158</v>
      </c>
      <c r="O291" s="33" t="n">
        <f>1776</f>
        <v>1776.0</v>
      </c>
      <c r="P291" s="34" t="s">
        <v>108</v>
      </c>
      <c r="Q291" s="33" t="n">
        <f>1801</f>
        <v>1801.0</v>
      </c>
      <c r="R291" s="34" t="s">
        <v>50</v>
      </c>
      <c r="S291" s="35" t="n">
        <f>1802.45</f>
        <v>1802.45</v>
      </c>
      <c r="T291" s="32" t="n">
        <f>56870</f>
        <v>56870.0</v>
      </c>
      <c r="U291" s="32" t="n">
        <f>8000</f>
        <v>8000.0</v>
      </c>
      <c r="V291" s="32" t="n">
        <f>102502626</f>
        <v>1.02502626E8</v>
      </c>
      <c r="W291" s="32" t="n">
        <f>14421600</f>
        <v>1.44216E7</v>
      </c>
      <c r="X291" s="36" t="n">
        <f>20</f>
        <v>20.0</v>
      </c>
    </row>
    <row r="292">
      <c r="A292" s="27" t="s">
        <v>42</v>
      </c>
      <c r="B292" s="27" t="s">
        <v>925</v>
      </c>
      <c r="C292" s="27" t="s">
        <v>926</v>
      </c>
      <c r="D292" s="27" t="s">
        <v>927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10.0</v>
      </c>
      <c r="K292" s="33" t="n">
        <f>1702</f>
        <v>1702.0</v>
      </c>
      <c r="L292" s="34" t="s">
        <v>48</v>
      </c>
      <c r="M292" s="33" t="n">
        <f>1861</f>
        <v>1861.0</v>
      </c>
      <c r="N292" s="34" t="s">
        <v>54</v>
      </c>
      <c r="O292" s="33" t="n">
        <f>1600</f>
        <v>1600.0</v>
      </c>
      <c r="P292" s="34" t="s">
        <v>162</v>
      </c>
      <c r="Q292" s="33" t="n">
        <f>1654.5</f>
        <v>1654.5</v>
      </c>
      <c r="R292" s="34" t="s">
        <v>50</v>
      </c>
      <c r="S292" s="35" t="n">
        <f>1723.1</f>
        <v>1723.1</v>
      </c>
      <c r="T292" s="32" t="n">
        <f>431150</f>
        <v>431150.0</v>
      </c>
      <c r="U292" s="32" t="str">
        <f>"－"</f>
        <v>－</v>
      </c>
      <c r="V292" s="32" t="n">
        <f>751949175</f>
        <v>7.51949175E8</v>
      </c>
      <c r="W292" s="32" t="str">
        <f>"－"</f>
        <v>－</v>
      </c>
      <c r="X292" s="36" t="n">
        <f>20</f>
        <v>20.0</v>
      </c>
    </row>
    <row r="293">
      <c r="A293" s="27" t="s">
        <v>42</v>
      </c>
      <c r="B293" s="27" t="s">
        <v>928</v>
      </c>
      <c r="C293" s="27" t="s">
        <v>929</v>
      </c>
      <c r="D293" s="27" t="s">
        <v>930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10.0</v>
      </c>
      <c r="K293" s="33" t="n">
        <f>792</f>
        <v>792.0</v>
      </c>
      <c r="L293" s="34" t="s">
        <v>48</v>
      </c>
      <c r="M293" s="33" t="n">
        <f>804.8</f>
        <v>804.8</v>
      </c>
      <c r="N293" s="34" t="s">
        <v>121</v>
      </c>
      <c r="O293" s="33" t="n">
        <f>789.6</f>
        <v>789.6</v>
      </c>
      <c r="P293" s="34" t="s">
        <v>104</v>
      </c>
      <c r="Q293" s="33" t="n">
        <f>796.5</f>
        <v>796.5</v>
      </c>
      <c r="R293" s="34" t="s">
        <v>50</v>
      </c>
      <c r="S293" s="35" t="n">
        <f>794.08</f>
        <v>794.08</v>
      </c>
      <c r="T293" s="32" t="n">
        <f>1202830</f>
        <v>1202830.0</v>
      </c>
      <c r="U293" s="32" t="n">
        <f>1050240</f>
        <v>1050240.0</v>
      </c>
      <c r="V293" s="32" t="n">
        <f>954498911</f>
        <v>9.54498911E8</v>
      </c>
      <c r="W293" s="32" t="n">
        <f>833492584</f>
        <v>8.33492584E8</v>
      </c>
      <c r="X293" s="36" t="n">
        <f>20</f>
        <v>20.0</v>
      </c>
    </row>
    <row r="294">
      <c r="A294" s="27" t="s">
        <v>42</v>
      </c>
      <c r="B294" s="27" t="s">
        <v>931</v>
      </c>
      <c r="C294" s="27" t="s">
        <v>932</v>
      </c>
      <c r="D294" s="27" t="s">
        <v>933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10.0</v>
      </c>
      <c r="K294" s="33" t="n">
        <f>1734</f>
        <v>1734.0</v>
      </c>
      <c r="L294" s="34" t="s">
        <v>48</v>
      </c>
      <c r="M294" s="33" t="n">
        <f>1749.5</f>
        <v>1749.5</v>
      </c>
      <c r="N294" s="34" t="s">
        <v>158</v>
      </c>
      <c r="O294" s="33" t="n">
        <f>1700</f>
        <v>1700.0</v>
      </c>
      <c r="P294" s="34" t="s">
        <v>108</v>
      </c>
      <c r="Q294" s="33" t="n">
        <f>1721</f>
        <v>1721.0</v>
      </c>
      <c r="R294" s="34" t="s">
        <v>50</v>
      </c>
      <c r="S294" s="35" t="n">
        <f>1724</f>
        <v>1724.0</v>
      </c>
      <c r="T294" s="32" t="n">
        <f>719650</f>
        <v>719650.0</v>
      </c>
      <c r="U294" s="32" t="n">
        <f>564510</f>
        <v>564510.0</v>
      </c>
      <c r="V294" s="32" t="n">
        <f>1233872977</f>
        <v>1.233872977E9</v>
      </c>
      <c r="W294" s="32" t="n">
        <f>965962007</f>
        <v>9.65962007E8</v>
      </c>
      <c r="X294" s="36" t="n">
        <f>20</f>
        <v>20.0</v>
      </c>
    </row>
    <row r="295">
      <c r="A295" s="27" t="s">
        <v>42</v>
      </c>
      <c r="B295" s="27" t="s">
        <v>934</v>
      </c>
      <c r="C295" s="27" t="s">
        <v>935</v>
      </c>
      <c r="D295" s="27" t="s">
        <v>936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10.0</v>
      </c>
      <c r="K295" s="33" t="n">
        <f>1725</f>
        <v>1725.0</v>
      </c>
      <c r="L295" s="34" t="s">
        <v>48</v>
      </c>
      <c r="M295" s="33" t="n">
        <f>1737</f>
        <v>1737.0</v>
      </c>
      <c r="N295" s="34" t="s">
        <v>158</v>
      </c>
      <c r="O295" s="33" t="n">
        <f>1694</f>
        <v>1694.0</v>
      </c>
      <c r="P295" s="34" t="s">
        <v>108</v>
      </c>
      <c r="Q295" s="33" t="n">
        <f>1707.5</f>
        <v>1707.5</v>
      </c>
      <c r="R295" s="34" t="s">
        <v>50</v>
      </c>
      <c r="S295" s="35" t="n">
        <f>1717.93</f>
        <v>1717.93</v>
      </c>
      <c r="T295" s="32" t="n">
        <f>1163760</f>
        <v>1163760.0</v>
      </c>
      <c r="U295" s="32" t="n">
        <f>88480</f>
        <v>88480.0</v>
      </c>
      <c r="V295" s="32" t="n">
        <f>2002093198</f>
        <v>2.002093198E9</v>
      </c>
      <c r="W295" s="32" t="n">
        <f>152168583</f>
        <v>1.52168583E8</v>
      </c>
      <c r="X295" s="36" t="n">
        <f>20</f>
        <v>20.0</v>
      </c>
    </row>
    <row r="296">
      <c r="A296" s="27" t="s">
        <v>42</v>
      </c>
      <c r="B296" s="27" t="s">
        <v>937</v>
      </c>
      <c r="C296" s="27" t="s">
        <v>938</v>
      </c>
      <c r="D296" s="27" t="s">
        <v>939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10.0</v>
      </c>
      <c r="K296" s="33" t="n">
        <f>2677.5</f>
        <v>2677.5</v>
      </c>
      <c r="L296" s="34" t="s">
        <v>48</v>
      </c>
      <c r="M296" s="33" t="n">
        <f>2795</f>
        <v>2795.0</v>
      </c>
      <c r="N296" s="34" t="s">
        <v>49</v>
      </c>
      <c r="O296" s="33" t="n">
        <f>2667.5</f>
        <v>2667.5</v>
      </c>
      <c r="P296" s="34" t="s">
        <v>48</v>
      </c>
      <c r="Q296" s="33" t="n">
        <f>2710.5</f>
        <v>2710.5</v>
      </c>
      <c r="R296" s="34" t="s">
        <v>50</v>
      </c>
      <c r="S296" s="35" t="n">
        <f>2726.43</f>
        <v>2726.43</v>
      </c>
      <c r="T296" s="32" t="n">
        <f>124430</f>
        <v>124430.0</v>
      </c>
      <c r="U296" s="32" t="str">
        <f>"－"</f>
        <v>－</v>
      </c>
      <c r="V296" s="32" t="n">
        <f>339945240</f>
        <v>3.3994524E8</v>
      </c>
      <c r="W296" s="32" t="str">
        <f>"－"</f>
        <v>－</v>
      </c>
      <c r="X296" s="36" t="n">
        <f>20</f>
        <v>20.0</v>
      </c>
    </row>
    <row r="297">
      <c r="A297" s="27" t="s">
        <v>42</v>
      </c>
      <c r="B297" s="27" t="s">
        <v>940</v>
      </c>
      <c r="C297" s="27" t="s">
        <v>941</v>
      </c>
      <c r="D297" s="27" t="s">
        <v>942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1.0</v>
      </c>
      <c r="K297" s="33" t="n">
        <f>25005</f>
        <v>25005.0</v>
      </c>
      <c r="L297" s="34" t="s">
        <v>48</v>
      </c>
      <c r="M297" s="33" t="n">
        <f>26935</f>
        <v>26935.0</v>
      </c>
      <c r="N297" s="34" t="s">
        <v>108</v>
      </c>
      <c r="O297" s="33" t="n">
        <f>24970</f>
        <v>24970.0</v>
      </c>
      <c r="P297" s="34" t="s">
        <v>48</v>
      </c>
      <c r="Q297" s="33" t="n">
        <f>26035</f>
        <v>26035.0</v>
      </c>
      <c r="R297" s="34" t="s">
        <v>50</v>
      </c>
      <c r="S297" s="35" t="n">
        <f>26324.75</f>
        <v>26324.75</v>
      </c>
      <c r="T297" s="32" t="n">
        <f>1022406</f>
        <v>1022406.0</v>
      </c>
      <c r="U297" s="32" t="n">
        <f>61360</f>
        <v>61360.0</v>
      </c>
      <c r="V297" s="32" t="n">
        <f>26878896896</f>
        <v>2.6878896896E10</v>
      </c>
      <c r="W297" s="32" t="n">
        <f>1609205001</f>
        <v>1.609205001E9</v>
      </c>
      <c r="X297" s="36" t="n">
        <f>20</f>
        <v>20.0</v>
      </c>
    </row>
    <row r="298">
      <c r="A298" s="27" t="s">
        <v>42</v>
      </c>
      <c r="B298" s="27" t="s">
        <v>943</v>
      </c>
      <c r="C298" s="27" t="s">
        <v>944</v>
      </c>
      <c r="D298" s="27" t="s">
        <v>945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1.0</v>
      </c>
      <c r="K298" s="33" t="n">
        <f>20825</f>
        <v>20825.0</v>
      </c>
      <c r="L298" s="34" t="s">
        <v>48</v>
      </c>
      <c r="M298" s="33" t="n">
        <f>21950</f>
        <v>21950.0</v>
      </c>
      <c r="N298" s="34" t="s">
        <v>108</v>
      </c>
      <c r="O298" s="33" t="n">
        <f>20525</f>
        <v>20525.0</v>
      </c>
      <c r="P298" s="34" t="s">
        <v>65</v>
      </c>
      <c r="Q298" s="33" t="n">
        <f>21305</f>
        <v>21305.0</v>
      </c>
      <c r="R298" s="34" t="s">
        <v>50</v>
      </c>
      <c r="S298" s="35" t="n">
        <f>21620.75</f>
        <v>21620.75</v>
      </c>
      <c r="T298" s="32" t="n">
        <f>261542</f>
        <v>261542.0</v>
      </c>
      <c r="U298" s="32" t="n">
        <f>669</f>
        <v>669.0</v>
      </c>
      <c r="V298" s="32" t="n">
        <f>5649849311</f>
        <v>5.649849311E9</v>
      </c>
      <c r="W298" s="32" t="n">
        <f>14426981</f>
        <v>1.4426981E7</v>
      </c>
      <c r="X298" s="36" t="n">
        <f>20</f>
        <v>20.0</v>
      </c>
    </row>
    <row r="299">
      <c r="A299" s="27" t="s">
        <v>42</v>
      </c>
      <c r="B299" s="27" t="s">
        <v>946</v>
      </c>
      <c r="C299" s="27" t="s">
        <v>947</v>
      </c>
      <c r="D299" s="27" t="s">
        <v>948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1.0</v>
      </c>
      <c r="K299" s="33" t="n">
        <f>36880</f>
        <v>36880.0</v>
      </c>
      <c r="L299" s="34" t="s">
        <v>48</v>
      </c>
      <c r="M299" s="33" t="n">
        <f>36880</f>
        <v>36880.0</v>
      </c>
      <c r="N299" s="34" t="s">
        <v>48</v>
      </c>
      <c r="O299" s="33" t="n">
        <f>35760</f>
        <v>35760.0</v>
      </c>
      <c r="P299" s="34" t="s">
        <v>65</v>
      </c>
      <c r="Q299" s="33" t="n">
        <f>36180</f>
        <v>36180.0</v>
      </c>
      <c r="R299" s="34" t="s">
        <v>158</v>
      </c>
      <c r="S299" s="35" t="n">
        <f>36240</f>
        <v>36240.0</v>
      </c>
      <c r="T299" s="32" t="n">
        <f>14</f>
        <v>14.0</v>
      </c>
      <c r="U299" s="32" t="str">
        <f>"－"</f>
        <v>－</v>
      </c>
      <c r="V299" s="32" t="n">
        <f>504560</f>
        <v>504560.0</v>
      </c>
      <c r="W299" s="32" t="str">
        <f>"－"</f>
        <v>－</v>
      </c>
      <c r="X299" s="36" t="n">
        <f>6</f>
        <v>6.0</v>
      </c>
    </row>
    <row r="300">
      <c r="A300" s="27" t="s">
        <v>42</v>
      </c>
      <c r="B300" s="27" t="s">
        <v>949</v>
      </c>
      <c r="C300" s="27" t="s">
        <v>950</v>
      </c>
      <c r="D300" s="27" t="s">
        <v>951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1.0</v>
      </c>
      <c r="K300" s="33" t="n">
        <f>2347</f>
        <v>2347.0</v>
      </c>
      <c r="L300" s="34" t="s">
        <v>48</v>
      </c>
      <c r="M300" s="33" t="n">
        <f>2370</f>
        <v>2370.0</v>
      </c>
      <c r="N300" s="34" t="s">
        <v>121</v>
      </c>
      <c r="O300" s="33" t="n">
        <f>2322</f>
        <v>2322.0</v>
      </c>
      <c r="P300" s="34" t="s">
        <v>104</v>
      </c>
      <c r="Q300" s="33" t="n">
        <f>2335</f>
        <v>2335.0</v>
      </c>
      <c r="R300" s="34" t="s">
        <v>50</v>
      </c>
      <c r="S300" s="35" t="n">
        <f>2336.3</f>
        <v>2336.3</v>
      </c>
      <c r="T300" s="32" t="n">
        <f>1579885</f>
        <v>1579885.0</v>
      </c>
      <c r="U300" s="32" t="n">
        <f>979384</f>
        <v>979384.0</v>
      </c>
      <c r="V300" s="32" t="n">
        <f>3683134857</f>
        <v>3.683134857E9</v>
      </c>
      <c r="W300" s="32" t="n">
        <f>2276781711</f>
        <v>2.276781711E9</v>
      </c>
      <c r="X300" s="36" t="n">
        <f>20</f>
        <v>20.0</v>
      </c>
    </row>
    <row r="301">
      <c r="A301" s="27" t="s">
        <v>42</v>
      </c>
      <c r="B301" s="27" t="s">
        <v>952</v>
      </c>
      <c r="C301" s="27" t="s">
        <v>953</v>
      </c>
      <c r="D301" s="27" t="s">
        <v>954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10.0</v>
      </c>
      <c r="K301" s="33" t="n">
        <f>3122</f>
        <v>3122.0</v>
      </c>
      <c r="L301" s="34" t="s">
        <v>48</v>
      </c>
      <c r="M301" s="33" t="n">
        <f>3350</f>
        <v>3350.0</v>
      </c>
      <c r="N301" s="34" t="s">
        <v>162</v>
      </c>
      <c r="O301" s="33" t="n">
        <f>3118</f>
        <v>3118.0</v>
      </c>
      <c r="P301" s="34" t="s">
        <v>48</v>
      </c>
      <c r="Q301" s="33" t="n">
        <f>3340</f>
        <v>3340.0</v>
      </c>
      <c r="R301" s="34" t="s">
        <v>50</v>
      </c>
      <c r="S301" s="35" t="n">
        <f>3267.45</f>
        <v>3267.45</v>
      </c>
      <c r="T301" s="32" t="n">
        <f>3953590</f>
        <v>3953590.0</v>
      </c>
      <c r="U301" s="32" t="n">
        <f>2870840</f>
        <v>2870840.0</v>
      </c>
      <c r="V301" s="32" t="n">
        <f>12863462109</f>
        <v>1.2863462109E10</v>
      </c>
      <c r="W301" s="32" t="n">
        <f>9349057049</f>
        <v>9.349057049E9</v>
      </c>
      <c r="X301" s="36" t="n">
        <f>20</f>
        <v>20.0</v>
      </c>
    </row>
    <row r="302">
      <c r="A302" s="27" t="s">
        <v>42</v>
      </c>
      <c r="B302" s="27" t="s">
        <v>955</v>
      </c>
      <c r="C302" s="27" t="s">
        <v>956</v>
      </c>
      <c r="D302" s="27" t="s">
        <v>957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10.0</v>
      </c>
      <c r="K302" s="33" t="n">
        <f>323.3</f>
        <v>323.3</v>
      </c>
      <c r="L302" s="34" t="s">
        <v>48</v>
      </c>
      <c r="M302" s="33" t="n">
        <f>340.9</f>
        <v>340.9</v>
      </c>
      <c r="N302" s="34" t="s">
        <v>162</v>
      </c>
      <c r="O302" s="33" t="n">
        <f>322.7</f>
        <v>322.7</v>
      </c>
      <c r="P302" s="34" t="s">
        <v>48</v>
      </c>
      <c r="Q302" s="33" t="n">
        <f>340</f>
        <v>340.0</v>
      </c>
      <c r="R302" s="34" t="s">
        <v>50</v>
      </c>
      <c r="S302" s="35" t="n">
        <f>336.06</f>
        <v>336.06</v>
      </c>
      <c r="T302" s="32" t="n">
        <f>54199610</f>
        <v>5.419961E7</v>
      </c>
      <c r="U302" s="32" t="n">
        <f>18756740</f>
        <v>1.875674E7</v>
      </c>
      <c r="V302" s="32" t="n">
        <f>18215813405</f>
        <v>1.8215813405E10</v>
      </c>
      <c r="W302" s="32" t="n">
        <f>6312150085</f>
        <v>6.312150085E9</v>
      </c>
      <c r="X302" s="36" t="n">
        <f>20</f>
        <v>20.0</v>
      </c>
    </row>
    <row r="303">
      <c r="A303" s="27" t="s">
        <v>42</v>
      </c>
      <c r="B303" s="27" t="s">
        <v>958</v>
      </c>
      <c r="C303" s="27" t="s">
        <v>959</v>
      </c>
      <c r="D303" s="27" t="s">
        <v>960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1.0</v>
      </c>
      <c r="K303" s="33" t="n">
        <f>2680</f>
        <v>2680.0</v>
      </c>
      <c r="L303" s="34" t="s">
        <v>48</v>
      </c>
      <c r="M303" s="33" t="n">
        <f>2728</f>
        <v>2728.0</v>
      </c>
      <c r="N303" s="34" t="s">
        <v>73</v>
      </c>
      <c r="O303" s="33" t="n">
        <f>2646</f>
        <v>2646.0</v>
      </c>
      <c r="P303" s="34" t="s">
        <v>162</v>
      </c>
      <c r="Q303" s="33" t="n">
        <f>2672</f>
        <v>2672.0</v>
      </c>
      <c r="R303" s="34" t="s">
        <v>50</v>
      </c>
      <c r="S303" s="35" t="n">
        <f>2687.2</f>
        <v>2687.2</v>
      </c>
      <c r="T303" s="32" t="n">
        <f>648719</f>
        <v>648719.0</v>
      </c>
      <c r="U303" s="32" t="n">
        <f>346029</f>
        <v>346029.0</v>
      </c>
      <c r="V303" s="32" t="n">
        <f>1744134809</f>
        <v>1.744134809E9</v>
      </c>
      <c r="W303" s="32" t="n">
        <f>928709573</f>
        <v>9.28709573E8</v>
      </c>
      <c r="X303" s="36" t="n">
        <f>20</f>
        <v>20.0</v>
      </c>
    </row>
    <row r="304">
      <c r="A304" s="27" t="s">
        <v>42</v>
      </c>
      <c r="B304" s="27" t="s">
        <v>961</v>
      </c>
      <c r="C304" s="27" t="s">
        <v>962</v>
      </c>
      <c r="D304" s="27" t="s">
        <v>963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1.0</v>
      </c>
      <c r="K304" s="33" t="n">
        <f>848</f>
        <v>848.0</v>
      </c>
      <c r="L304" s="34" t="s">
        <v>48</v>
      </c>
      <c r="M304" s="33" t="n">
        <f>851</f>
        <v>851.0</v>
      </c>
      <c r="N304" s="34" t="s">
        <v>48</v>
      </c>
      <c r="O304" s="33" t="n">
        <f>826</f>
        <v>826.0</v>
      </c>
      <c r="P304" s="34" t="s">
        <v>108</v>
      </c>
      <c r="Q304" s="33" t="n">
        <f>835</f>
        <v>835.0</v>
      </c>
      <c r="R304" s="34" t="s">
        <v>50</v>
      </c>
      <c r="S304" s="35" t="n">
        <f>840.15</f>
        <v>840.15</v>
      </c>
      <c r="T304" s="32" t="n">
        <f>1298993</f>
        <v>1298993.0</v>
      </c>
      <c r="U304" s="32" t="n">
        <f>1166460</f>
        <v>1166460.0</v>
      </c>
      <c r="V304" s="32" t="n">
        <f>1086439932</f>
        <v>1.086439932E9</v>
      </c>
      <c r="W304" s="32" t="n">
        <f>974767165</f>
        <v>9.74767165E8</v>
      </c>
      <c r="X304" s="36" t="n">
        <f>20</f>
        <v>20.0</v>
      </c>
    </row>
    <row r="305">
      <c r="A305" s="27" t="s">
        <v>42</v>
      </c>
      <c r="B305" s="27" t="s">
        <v>964</v>
      </c>
      <c r="C305" s="27" t="s">
        <v>965</v>
      </c>
      <c r="D305" s="27" t="s">
        <v>966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10.0</v>
      </c>
      <c r="K305" s="33" t="n">
        <f>953.8</f>
        <v>953.8</v>
      </c>
      <c r="L305" s="34" t="s">
        <v>48</v>
      </c>
      <c r="M305" s="33" t="n">
        <f>954.2</f>
        <v>954.2</v>
      </c>
      <c r="N305" s="34" t="s">
        <v>158</v>
      </c>
      <c r="O305" s="33" t="n">
        <f>931.9</f>
        <v>931.9</v>
      </c>
      <c r="P305" s="34" t="s">
        <v>108</v>
      </c>
      <c r="Q305" s="33" t="n">
        <f>940.8</f>
        <v>940.8</v>
      </c>
      <c r="R305" s="34" t="s">
        <v>50</v>
      </c>
      <c r="S305" s="35" t="n">
        <f>944.06</f>
        <v>944.06</v>
      </c>
      <c r="T305" s="32" t="n">
        <f>161520</f>
        <v>161520.0</v>
      </c>
      <c r="U305" s="32" t="n">
        <f>120</f>
        <v>120.0</v>
      </c>
      <c r="V305" s="32" t="n">
        <f>153426116</f>
        <v>1.53426116E8</v>
      </c>
      <c r="W305" s="32" t="n">
        <f>113648</f>
        <v>113648.0</v>
      </c>
      <c r="X305" s="36" t="n">
        <f>20</f>
        <v>20.0</v>
      </c>
    </row>
    <row r="306">
      <c r="A306" s="27" t="s">
        <v>42</v>
      </c>
      <c r="B306" s="27" t="s">
        <v>967</v>
      </c>
      <c r="C306" s="27" t="s">
        <v>968</v>
      </c>
      <c r="D306" s="27" t="s">
        <v>969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10.0</v>
      </c>
      <c r="K306" s="33" t="n">
        <f>349.9</f>
        <v>349.9</v>
      </c>
      <c r="L306" s="34" t="s">
        <v>121</v>
      </c>
      <c r="M306" s="33" t="n">
        <f>365</f>
        <v>365.0</v>
      </c>
      <c r="N306" s="34" t="s">
        <v>73</v>
      </c>
      <c r="O306" s="33" t="n">
        <f>341.9</f>
        <v>341.9</v>
      </c>
      <c r="P306" s="34" t="s">
        <v>121</v>
      </c>
      <c r="Q306" s="33" t="n">
        <f>349.2</f>
        <v>349.2</v>
      </c>
      <c r="R306" s="34" t="s">
        <v>50</v>
      </c>
      <c r="S306" s="35" t="n">
        <f>358.24</f>
        <v>358.24</v>
      </c>
      <c r="T306" s="32" t="n">
        <f>3910</f>
        <v>3910.0</v>
      </c>
      <c r="U306" s="32" t="str">
        <f>"－"</f>
        <v>－</v>
      </c>
      <c r="V306" s="32" t="n">
        <f>1392983</f>
        <v>1392983.0</v>
      </c>
      <c r="W306" s="32" t="str">
        <f>"－"</f>
        <v>－</v>
      </c>
      <c r="X306" s="36" t="n">
        <f>16</f>
        <v>16.0</v>
      </c>
    </row>
    <row r="307">
      <c r="A307" s="27" t="s">
        <v>42</v>
      </c>
      <c r="B307" s="27" t="s">
        <v>970</v>
      </c>
      <c r="C307" s="27" t="s">
        <v>971</v>
      </c>
      <c r="D307" s="27" t="s">
        <v>972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10.0</v>
      </c>
      <c r="K307" s="33" t="n">
        <f>5207</f>
        <v>5207.0</v>
      </c>
      <c r="L307" s="34" t="s">
        <v>48</v>
      </c>
      <c r="M307" s="33" t="n">
        <f>5642</f>
        <v>5642.0</v>
      </c>
      <c r="N307" s="34" t="s">
        <v>108</v>
      </c>
      <c r="O307" s="33" t="n">
        <f>5203</f>
        <v>5203.0</v>
      </c>
      <c r="P307" s="34" t="s">
        <v>48</v>
      </c>
      <c r="Q307" s="33" t="n">
        <f>5374</f>
        <v>5374.0</v>
      </c>
      <c r="R307" s="34" t="s">
        <v>50</v>
      </c>
      <c r="S307" s="35" t="n">
        <f>5488.15</f>
        <v>5488.15</v>
      </c>
      <c r="T307" s="32" t="n">
        <f>929640</f>
        <v>929640.0</v>
      </c>
      <c r="U307" s="32" t="n">
        <f>94500</f>
        <v>94500.0</v>
      </c>
      <c r="V307" s="32" t="n">
        <f>5104297950</f>
        <v>5.10429795E9</v>
      </c>
      <c r="W307" s="32" t="n">
        <f>528670800</f>
        <v>5.286708E8</v>
      </c>
      <c r="X307" s="36" t="n">
        <f>20</f>
        <v>20.0</v>
      </c>
    </row>
    <row r="308">
      <c r="A308" s="27" t="s">
        <v>42</v>
      </c>
      <c r="B308" s="27" t="s">
        <v>973</v>
      </c>
      <c r="C308" s="27" t="s">
        <v>974</v>
      </c>
      <c r="D308" s="27" t="s">
        <v>975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10.0</v>
      </c>
      <c r="K308" s="33" t="n">
        <f>3110</f>
        <v>3110.0</v>
      </c>
      <c r="L308" s="34" t="s">
        <v>48</v>
      </c>
      <c r="M308" s="33" t="n">
        <f>3300</f>
        <v>3300.0</v>
      </c>
      <c r="N308" s="34" t="s">
        <v>87</v>
      </c>
      <c r="O308" s="33" t="n">
        <f>3101</f>
        <v>3101.0</v>
      </c>
      <c r="P308" s="34" t="s">
        <v>48</v>
      </c>
      <c r="Q308" s="33" t="n">
        <f>3235</f>
        <v>3235.0</v>
      </c>
      <c r="R308" s="34" t="s">
        <v>50</v>
      </c>
      <c r="S308" s="35" t="n">
        <f>3231.6</f>
        <v>3231.6</v>
      </c>
      <c r="T308" s="32" t="n">
        <f>3891860</f>
        <v>3891860.0</v>
      </c>
      <c r="U308" s="32" t="n">
        <f>2219200</f>
        <v>2219200.0</v>
      </c>
      <c r="V308" s="32" t="n">
        <f>12549056521</f>
        <v>1.2549056521E10</v>
      </c>
      <c r="W308" s="32" t="n">
        <f>7173949901</f>
        <v>7.173949901E9</v>
      </c>
      <c r="X308" s="36" t="n">
        <f>20</f>
        <v>20.0</v>
      </c>
    </row>
    <row r="309">
      <c r="A309" s="27" t="s">
        <v>42</v>
      </c>
      <c r="B309" s="27" t="s">
        <v>976</v>
      </c>
      <c r="C309" s="27" t="s">
        <v>977</v>
      </c>
      <c r="D309" s="27" t="s">
        <v>978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1.0</v>
      </c>
      <c r="K309" s="33" t="n">
        <f>2125</f>
        <v>2125.0</v>
      </c>
      <c r="L309" s="34" t="s">
        <v>48</v>
      </c>
      <c r="M309" s="33" t="n">
        <f>2180</f>
        <v>2180.0</v>
      </c>
      <c r="N309" s="34" t="s">
        <v>121</v>
      </c>
      <c r="O309" s="33" t="n">
        <f>2037</f>
        <v>2037.0</v>
      </c>
      <c r="P309" s="34" t="s">
        <v>61</v>
      </c>
      <c r="Q309" s="33" t="n">
        <f>2047</f>
        <v>2047.0</v>
      </c>
      <c r="R309" s="34" t="s">
        <v>50</v>
      </c>
      <c r="S309" s="35" t="n">
        <f>2090.55</f>
        <v>2090.55</v>
      </c>
      <c r="T309" s="32" t="n">
        <f>9292</f>
        <v>9292.0</v>
      </c>
      <c r="U309" s="32" t="str">
        <f>"－"</f>
        <v>－</v>
      </c>
      <c r="V309" s="32" t="n">
        <f>19142904</f>
        <v>1.9142904E7</v>
      </c>
      <c r="W309" s="32" t="str">
        <f>"－"</f>
        <v>－</v>
      </c>
      <c r="X309" s="36" t="n">
        <f>20</f>
        <v>20.0</v>
      </c>
    </row>
    <row r="310">
      <c r="A310" s="27" t="s">
        <v>42</v>
      </c>
      <c r="B310" s="27" t="s">
        <v>979</v>
      </c>
      <c r="C310" s="27" t="s">
        <v>980</v>
      </c>
      <c r="D310" s="27" t="s">
        <v>981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1.0</v>
      </c>
      <c r="K310" s="33" t="n">
        <f>1964</f>
        <v>1964.0</v>
      </c>
      <c r="L310" s="34" t="s">
        <v>48</v>
      </c>
      <c r="M310" s="33" t="n">
        <f>1964</f>
        <v>1964.0</v>
      </c>
      <c r="N310" s="34" t="s">
        <v>48</v>
      </c>
      <c r="O310" s="33" t="n">
        <f>1890</f>
        <v>1890.0</v>
      </c>
      <c r="P310" s="34" t="s">
        <v>108</v>
      </c>
      <c r="Q310" s="33" t="n">
        <f>1910</f>
        <v>1910.0</v>
      </c>
      <c r="R310" s="34" t="s">
        <v>50</v>
      </c>
      <c r="S310" s="35" t="n">
        <f>1914.55</f>
        <v>1914.55</v>
      </c>
      <c r="T310" s="32" t="n">
        <f>71927</f>
        <v>71927.0</v>
      </c>
      <c r="U310" s="32" t="str">
        <f>"－"</f>
        <v>－</v>
      </c>
      <c r="V310" s="32" t="n">
        <f>138047782</f>
        <v>1.38047782E8</v>
      </c>
      <c r="W310" s="32" t="str">
        <f>"－"</f>
        <v>－</v>
      </c>
      <c r="X310" s="36" t="n">
        <f>20</f>
        <v>20.0</v>
      </c>
    </row>
    <row r="311">
      <c r="A311" s="27" t="s">
        <v>42</v>
      </c>
      <c r="B311" s="27" t="s">
        <v>982</v>
      </c>
      <c r="C311" s="27" t="s">
        <v>983</v>
      </c>
      <c r="D311" s="27" t="s">
        <v>984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10.0</v>
      </c>
      <c r="K311" s="33" t="n">
        <f>347.3</f>
        <v>347.3</v>
      </c>
      <c r="L311" s="34" t="s">
        <v>48</v>
      </c>
      <c r="M311" s="33" t="n">
        <f>357.9</f>
        <v>357.9</v>
      </c>
      <c r="N311" s="34" t="s">
        <v>104</v>
      </c>
      <c r="O311" s="33" t="n">
        <f>343.3</f>
        <v>343.3</v>
      </c>
      <c r="P311" s="34" t="s">
        <v>50</v>
      </c>
      <c r="Q311" s="33" t="n">
        <f>343.7</f>
        <v>343.7</v>
      </c>
      <c r="R311" s="34" t="s">
        <v>50</v>
      </c>
      <c r="S311" s="35" t="n">
        <f>351.63</f>
        <v>351.63</v>
      </c>
      <c r="T311" s="32" t="n">
        <f>13834650</f>
        <v>1.383465E7</v>
      </c>
      <c r="U311" s="32" t="n">
        <f>2912720</f>
        <v>2912720.0</v>
      </c>
      <c r="V311" s="32" t="n">
        <f>4849525101</f>
        <v>4.849525101E9</v>
      </c>
      <c r="W311" s="32" t="n">
        <f>1013936070</f>
        <v>1.01393607E9</v>
      </c>
      <c r="X311" s="36" t="n">
        <f>20</f>
        <v>20.0</v>
      </c>
    </row>
    <row r="312">
      <c r="A312" s="27" t="s">
        <v>42</v>
      </c>
      <c r="B312" s="27" t="s">
        <v>985</v>
      </c>
      <c r="C312" s="27" t="s">
        <v>986</v>
      </c>
      <c r="D312" s="27" t="s">
        <v>987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1.0</v>
      </c>
      <c r="K312" s="33" t="n">
        <f>1199</f>
        <v>1199.0</v>
      </c>
      <c r="L312" s="34" t="s">
        <v>48</v>
      </c>
      <c r="M312" s="33" t="n">
        <f>1210</f>
        <v>1210.0</v>
      </c>
      <c r="N312" s="34" t="s">
        <v>69</v>
      </c>
      <c r="O312" s="33" t="n">
        <f>1161</f>
        <v>1161.0</v>
      </c>
      <c r="P312" s="34" t="s">
        <v>108</v>
      </c>
      <c r="Q312" s="33" t="n">
        <f>1208</f>
        <v>1208.0</v>
      </c>
      <c r="R312" s="34" t="s">
        <v>50</v>
      </c>
      <c r="S312" s="35" t="n">
        <f>1184.25</f>
        <v>1184.25</v>
      </c>
      <c r="T312" s="32" t="n">
        <f>27812232</f>
        <v>2.7812232E7</v>
      </c>
      <c r="U312" s="32" t="n">
        <f>83727</f>
        <v>83727.0</v>
      </c>
      <c r="V312" s="32" t="n">
        <f>32887092268</f>
        <v>3.2887092268E10</v>
      </c>
      <c r="W312" s="32" t="n">
        <f>98367738</f>
        <v>9.8367738E7</v>
      </c>
      <c r="X312" s="36" t="n">
        <f>20</f>
        <v>20.0</v>
      </c>
    </row>
    <row r="313">
      <c r="A313" s="27" t="s">
        <v>42</v>
      </c>
      <c r="B313" s="27" t="s">
        <v>988</v>
      </c>
      <c r="C313" s="27" t="s">
        <v>989</v>
      </c>
      <c r="D313" s="27" t="s">
        <v>990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1750</f>
        <v>1750.0</v>
      </c>
      <c r="L313" s="34" t="s">
        <v>48</v>
      </c>
      <c r="M313" s="33" t="n">
        <f>1769</f>
        <v>1769.0</v>
      </c>
      <c r="N313" s="34" t="s">
        <v>87</v>
      </c>
      <c r="O313" s="33" t="n">
        <f>1726</f>
        <v>1726.0</v>
      </c>
      <c r="P313" s="34" t="s">
        <v>69</v>
      </c>
      <c r="Q313" s="33" t="n">
        <f>1769</f>
        <v>1769.0</v>
      </c>
      <c r="R313" s="34" t="s">
        <v>50</v>
      </c>
      <c r="S313" s="35" t="n">
        <f>1750.55</f>
        <v>1750.55</v>
      </c>
      <c r="T313" s="32" t="n">
        <f>22074</f>
        <v>22074.0</v>
      </c>
      <c r="U313" s="32" t="str">
        <f>"－"</f>
        <v>－</v>
      </c>
      <c r="V313" s="32" t="n">
        <f>38543155</f>
        <v>3.8543155E7</v>
      </c>
      <c r="W313" s="32" t="str">
        <f>"－"</f>
        <v>－</v>
      </c>
      <c r="X313" s="36" t="n">
        <f>20</f>
        <v>20.0</v>
      </c>
    </row>
    <row r="314">
      <c r="A314" s="27" t="s">
        <v>42</v>
      </c>
      <c r="B314" s="27" t="s">
        <v>991</v>
      </c>
      <c r="C314" s="27" t="s">
        <v>992</v>
      </c>
      <c r="D314" s="27" t="s">
        <v>993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2072</f>
        <v>2072.0</v>
      </c>
      <c r="L314" s="34" t="s">
        <v>48</v>
      </c>
      <c r="M314" s="33" t="n">
        <f>2100</f>
        <v>2100.0</v>
      </c>
      <c r="N314" s="34" t="s">
        <v>108</v>
      </c>
      <c r="O314" s="33" t="n">
        <f>2000</f>
        <v>2000.0</v>
      </c>
      <c r="P314" s="34" t="s">
        <v>108</v>
      </c>
      <c r="Q314" s="33" t="n">
        <f>2092</f>
        <v>2092.0</v>
      </c>
      <c r="R314" s="34" t="s">
        <v>50</v>
      </c>
      <c r="S314" s="35" t="n">
        <f>2081.7</f>
        <v>2081.7</v>
      </c>
      <c r="T314" s="32" t="n">
        <f>1189226</f>
        <v>1189226.0</v>
      </c>
      <c r="U314" s="32" t="n">
        <f>1175000</f>
        <v>1175000.0</v>
      </c>
      <c r="V314" s="32" t="n">
        <f>2470125313</f>
        <v>2.470125313E9</v>
      </c>
      <c r="W314" s="32" t="n">
        <f>2440493500</f>
        <v>2.4404935E9</v>
      </c>
      <c r="X314" s="36" t="n">
        <f>20</f>
        <v>20.0</v>
      </c>
    </row>
    <row r="315">
      <c r="A315" s="27" t="s">
        <v>42</v>
      </c>
      <c r="B315" s="27" t="s">
        <v>994</v>
      </c>
      <c r="C315" s="27" t="s">
        <v>995</v>
      </c>
      <c r="D315" s="27" t="s">
        <v>996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1.0</v>
      </c>
      <c r="K315" s="33" t="n">
        <f>3830</f>
        <v>3830.0</v>
      </c>
      <c r="L315" s="34" t="s">
        <v>48</v>
      </c>
      <c r="M315" s="33" t="n">
        <f>4000</f>
        <v>4000.0</v>
      </c>
      <c r="N315" s="34" t="s">
        <v>73</v>
      </c>
      <c r="O315" s="33" t="n">
        <f>3795</f>
        <v>3795.0</v>
      </c>
      <c r="P315" s="34" t="s">
        <v>61</v>
      </c>
      <c r="Q315" s="33" t="n">
        <f>3835</f>
        <v>3835.0</v>
      </c>
      <c r="R315" s="34" t="s">
        <v>50</v>
      </c>
      <c r="S315" s="35" t="n">
        <f>3880.5</f>
        <v>3880.5</v>
      </c>
      <c r="T315" s="32" t="n">
        <f>3011476</f>
        <v>3011476.0</v>
      </c>
      <c r="U315" s="32" t="n">
        <f>2834955</f>
        <v>2834955.0</v>
      </c>
      <c r="V315" s="32" t="n">
        <f>11731155779</f>
        <v>1.1731155779E10</v>
      </c>
      <c r="W315" s="32" t="n">
        <f>11048151259</f>
        <v>1.1048151259E10</v>
      </c>
      <c r="X315" s="36" t="n">
        <f>20</f>
        <v>20.0</v>
      </c>
    </row>
    <row r="316">
      <c r="A316" s="27" t="s">
        <v>42</v>
      </c>
      <c r="B316" s="27" t="s">
        <v>997</v>
      </c>
      <c r="C316" s="27" t="s">
        <v>998</v>
      </c>
      <c r="D316" s="27" t="s">
        <v>999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1.0</v>
      </c>
      <c r="K316" s="33" t="n">
        <f>2680</f>
        <v>2680.0</v>
      </c>
      <c r="L316" s="34" t="s">
        <v>48</v>
      </c>
      <c r="M316" s="33" t="n">
        <f>2776</f>
        <v>2776.0</v>
      </c>
      <c r="N316" s="34" t="s">
        <v>49</v>
      </c>
      <c r="O316" s="33" t="n">
        <f>2645</f>
        <v>2645.0</v>
      </c>
      <c r="P316" s="34" t="s">
        <v>48</v>
      </c>
      <c r="Q316" s="33" t="n">
        <f>2683</f>
        <v>2683.0</v>
      </c>
      <c r="R316" s="34" t="s">
        <v>50</v>
      </c>
      <c r="S316" s="35" t="n">
        <f>2712.2</f>
        <v>2712.2</v>
      </c>
      <c r="T316" s="32" t="n">
        <f>3788070</f>
        <v>3788070.0</v>
      </c>
      <c r="U316" s="32" t="n">
        <f>3586486</f>
        <v>3586486.0</v>
      </c>
      <c r="V316" s="32" t="n">
        <f>10454405971</f>
        <v>1.0454405971E10</v>
      </c>
      <c r="W316" s="32" t="n">
        <f>9910986009</f>
        <v>9.910986009E9</v>
      </c>
      <c r="X316" s="36" t="n">
        <f>20</f>
        <v>20.0</v>
      </c>
    </row>
    <row r="317">
      <c r="A317" s="27" t="s">
        <v>42</v>
      </c>
      <c r="B317" s="27" t="s">
        <v>1000</v>
      </c>
      <c r="C317" s="27" t="s">
        <v>1001</v>
      </c>
      <c r="D317" s="27" t="s">
        <v>1002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1.0</v>
      </c>
      <c r="K317" s="33" t="n">
        <f>2326</f>
        <v>2326.0</v>
      </c>
      <c r="L317" s="34" t="s">
        <v>48</v>
      </c>
      <c r="M317" s="33" t="n">
        <f>2381</f>
        <v>2381.0</v>
      </c>
      <c r="N317" s="34" t="s">
        <v>49</v>
      </c>
      <c r="O317" s="33" t="n">
        <f>2274</f>
        <v>2274.0</v>
      </c>
      <c r="P317" s="34" t="s">
        <v>121</v>
      </c>
      <c r="Q317" s="33" t="n">
        <f>2340</f>
        <v>2340.0</v>
      </c>
      <c r="R317" s="34" t="s">
        <v>50</v>
      </c>
      <c r="S317" s="35" t="n">
        <f>2312.8</f>
        <v>2312.8</v>
      </c>
      <c r="T317" s="32" t="n">
        <f>27200</f>
        <v>27200.0</v>
      </c>
      <c r="U317" s="32" t="str">
        <f>"－"</f>
        <v>－</v>
      </c>
      <c r="V317" s="32" t="n">
        <f>62821336</f>
        <v>6.2821336E7</v>
      </c>
      <c r="W317" s="32" t="str">
        <f>"－"</f>
        <v>－</v>
      </c>
      <c r="X317" s="36" t="n">
        <f>20</f>
        <v>20.0</v>
      </c>
    </row>
    <row r="318">
      <c r="A318" s="27" t="s">
        <v>42</v>
      </c>
      <c r="B318" s="27" t="s">
        <v>1003</v>
      </c>
      <c r="C318" s="27" t="s">
        <v>1004</v>
      </c>
      <c r="D318" s="27" t="s">
        <v>1005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1.0</v>
      </c>
      <c r="K318" s="33" t="n">
        <f>1381</f>
        <v>1381.0</v>
      </c>
      <c r="L318" s="34" t="s">
        <v>48</v>
      </c>
      <c r="M318" s="33" t="n">
        <f>1410</f>
        <v>1410.0</v>
      </c>
      <c r="N318" s="34" t="s">
        <v>49</v>
      </c>
      <c r="O318" s="33" t="n">
        <f>1303</f>
        <v>1303.0</v>
      </c>
      <c r="P318" s="34" t="s">
        <v>372</v>
      </c>
      <c r="Q318" s="33" t="n">
        <f>1374</f>
        <v>1374.0</v>
      </c>
      <c r="R318" s="34" t="s">
        <v>50</v>
      </c>
      <c r="S318" s="35" t="n">
        <f>1367.6</f>
        <v>1367.6</v>
      </c>
      <c r="T318" s="32" t="n">
        <f>44256</f>
        <v>44256.0</v>
      </c>
      <c r="U318" s="32" t="str">
        <f>"－"</f>
        <v>－</v>
      </c>
      <c r="V318" s="32" t="n">
        <f>61113184</f>
        <v>6.1113184E7</v>
      </c>
      <c r="W318" s="32" t="str">
        <f>"－"</f>
        <v>－</v>
      </c>
      <c r="X318" s="36" t="n">
        <f>20</f>
        <v>20.0</v>
      </c>
    </row>
    <row r="319">
      <c r="A319" s="27" t="s">
        <v>42</v>
      </c>
      <c r="B319" s="27" t="s">
        <v>1006</v>
      </c>
      <c r="C319" s="27" t="s">
        <v>1007</v>
      </c>
      <c r="D319" s="27" t="s">
        <v>1008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1.0</v>
      </c>
      <c r="K319" s="33" t="n">
        <f>2018</f>
        <v>2018.0</v>
      </c>
      <c r="L319" s="34" t="s">
        <v>48</v>
      </c>
      <c r="M319" s="33" t="n">
        <f>2220</f>
        <v>2220.0</v>
      </c>
      <c r="N319" s="34" t="s">
        <v>49</v>
      </c>
      <c r="O319" s="33" t="n">
        <f>1935</f>
        <v>1935.0</v>
      </c>
      <c r="P319" s="34" t="s">
        <v>162</v>
      </c>
      <c r="Q319" s="33" t="n">
        <f>2035</f>
        <v>2035.0</v>
      </c>
      <c r="R319" s="34" t="s">
        <v>50</v>
      </c>
      <c r="S319" s="35" t="n">
        <f>2076.9</f>
        <v>2076.9</v>
      </c>
      <c r="T319" s="32" t="n">
        <f>319358</f>
        <v>319358.0</v>
      </c>
      <c r="U319" s="32" t="str">
        <f>"－"</f>
        <v>－</v>
      </c>
      <c r="V319" s="32" t="n">
        <f>661688347</f>
        <v>6.61688347E8</v>
      </c>
      <c r="W319" s="32" t="str">
        <f>"－"</f>
        <v>－</v>
      </c>
      <c r="X319" s="36" t="n">
        <f>20</f>
        <v>20.0</v>
      </c>
    </row>
    <row r="320">
      <c r="A320" s="27" t="s">
        <v>42</v>
      </c>
      <c r="B320" s="27" t="s">
        <v>1009</v>
      </c>
      <c r="C320" s="27" t="s">
        <v>1010</v>
      </c>
      <c r="D320" s="27" t="s">
        <v>1011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2855</f>
        <v>2855.0</v>
      </c>
      <c r="L320" s="34" t="s">
        <v>48</v>
      </c>
      <c r="M320" s="33" t="n">
        <f>3080</f>
        <v>3080.0</v>
      </c>
      <c r="N320" s="34" t="s">
        <v>54</v>
      </c>
      <c r="O320" s="33" t="n">
        <f>2699</f>
        <v>2699.0</v>
      </c>
      <c r="P320" s="34" t="s">
        <v>50</v>
      </c>
      <c r="Q320" s="33" t="n">
        <f>2727</f>
        <v>2727.0</v>
      </c>
      <c r="R320" s="34" t="s">
        <v>50</v>
      </c>
      <c r="S320" s="35" t="n">
        <f>2865.9</f>
        <v>2865.9</v>
      </c>
      <c r="T320" s="32" t="n">
        <f>51464</f>
        <v>51464.0</v>
      </c>
      <c r="U320" s="32" t="str">
        <f>"－"</f>
        <v>－</v>
      </c>
      <c r="V320" s="32" t="n">
        <f>150897287</f>
        <v>1.50897287E8</v>
      </c>
      <c r="W320" s="32" t="str">
        <f>"－"</f>
        <v>－</v>
      </c>
      <c r="X320" s="36" t="n">
        <f>20</f>
        <v>20.0</v>
      </c>
    </row>
    <row r="321">
      <c r="A321" s="27" t="s">
        <v>42</v>
      </c>
      <c r="B321" s="27" t="s">
        <v>1012</v>
      </c>
      <c r="C321" s="27" t="s">
        <v>1013</v>
      </c>
      <c r="D321" s="27" t="s">
        <v>1014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1.0</v>
      </c>
      <c r="K321" s="33" t="n">
        <f>12825</f>
        <v>12825.0</v>
      </c>
      <c r="L321" s="34" t="s">
        <v>48</v>
      </c>
      <c r="M321" s="33" t="n">
        <f>13500</f>
        <v>13500.0</v>
      </c>
      <c r="N321" s="34" t="s">
        <v>162</v>
      </c>
      <c r="O321" s="33" t="n">
        <f>12805</f>
        <v>12805.0</v>
      </c>
      <c r="P321" s="34" t="s">
        <v>48</v>
      </c>
      <c r="Q321" s="33" t="n">
        <f>13460</f>
        <v>13460.0</v>
      </c>
      <c r="R321" s="34" t="s">
        <v>50</v>
      </c>
      <c r="S321" s="35" t="n">
        <f>13320.5</f>
        <v>13320.5</v>
      </c>
      <c r="T321" s="32" t="n">
        <f>440971</f>
        <v>440971.0</v>
      </c>
      <c r="U321" s="32" t="n">
        <f>256689</f>
        <v>256689.0</v>
      </c>
      <c r="V321" s="32" t="n">
        <f>5845391068</f>
        <v>5.845391068E9</v>
      </c>
      <c r="W321" s="32" t="n">
        <f>3402841118</f>
        <v>3.402841118E9</v>
      </c>
      <c r="X321" s="36" t="n">
        <f>20</f>
        <v>20.0</v>
      </c>
    </row>
    <row r="322">
      <c r="A322" s="27" t="s">
        <v>42</v>
      </c>
      <c r="B322" s="27" t="s">
        <v>1015</v>
      </c>
      <c r="C322" s="27" t="s">
        <v>1016</v>
      </c>
      <c r="D322" s="27" t="s">
        <v>1017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21760</f>
        <v>21760.0</v>
      </c>
      <c r="L322" s="34" t="s">
        <v>48</v>
      </c>
      <c r="M322" s="33" t="n">
        <f>23575</f>
        <v>23575.0</v>
      </c>
      <c r="N322" s="34" t="s">
        <v>108</v>
      </c>
      <c r="O322" s="33" t="n">
        <f>21730</f>
        <v>21730.0</v>
      </c>
      <c r="P322" s="34" t="s">
        <v>48</v>
      </c>
      <c r="Q322" s="33" t="n">
        <f>22465</f>
        <v>22465.0</v>
      </c>
      <c r="R322" s="34" t="s">
        <v>50</v>
      </c>
      <c r="S322" s="35" t="n">
        <f>22916</f>
        <v>22916.0</v>
      </c>
      <c r="T322" s="32" t="n">
        <f>445363</f>
        <v>445363.0</v>
      </c>
      <c r="U322" s="32" t="n">
        <f>9293</f>
        <v>9293.0</v>
      </c>
      <c r="V322" s="32" t="n">
        <f>10181311670</f>
        <v>1.018131167E10</v>
      </c>
      <c r="W322" s="32" t="n">
        <f>211980070</f>
        <v>2.1198007E8</v>
      </c>
      <c r="X322" s="36" t="n">
        <f>20</f>
        <v>20.0</v>
      </c>
    </row>
    <row r="323">
      <c r="A323" s="27" t="s">
        <v>42</v>
      </c>
      <c r="B323" s="27" t="s">
        <v>1018</v>
      </c>
      <c r="C323" s="27" t="s">
        <v>1019</v>
      </c>
      <c r="D323" s="27" t="s">
        <v>1020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1.0</v>
      </c>
      <c r="K323" s="33" t="n">
        <f>13005</f>
        <v>13005.0</v>
      </c>
      <c r="L323" s="34" t="s">
        <v>48</v>
      </c>
      <c r="M323" s="33" t="n">
        <f>13800</f>
        <v>13800.0</v>
      </c>
      <c r="N323" s="34" t="s">
        <v>87</v>
      </c>
      <c r="O323" s="33" t="n">
        <f>12970</f>
        <v>12970.0</v>
      </c>
      <c r="P323" s="34" t="s">
        <v>48</v>
      </c>
      <c r="Q323" s="33" t="n">
        <f>13545</f>
        <v>13545.0</v>
      </c>
      <c r="R323" s="34" t="s">
        <v>50</v>
      </c>
      <c r="S323" s="35" t="n">
        <f>13515</f>
        <v>13515.0</v>
      </c>
      <c r="T323" s="32" t="n">
        <f>478772</f>
        <v>478772.0</v>
      </c>
      <c r="U323" s="32" t="n">
        <f>308396</f>
        <v>308396.0</v>
      </c>
      <c r="V323" s="32" t="n">
        <f>6440411710</f>
        <v>6.44041171E9</v>
      </c>
      <c r="W323" s="32" t="n">
        <f>4148896735</f>
        <v>4.148896735E9</v>
      </c>
      <c r="X323" s="36" t="n">
        <f>20</f>
        <v>20.0</v>
      </c>
    </row>
    <row r="324">
      <c r="A324" s="27" t="s">
        <v>42</v>
      </c>
      <c r="B324" s="27" t="s">
        <v>1021</v>
      </c>
      <c r="C324" s="27" t="s">
        <v>1022</v>
      </c>
      <c r="D324" s="27" t="s">
        <v>1023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10.0</v>
      </c>
      <c r="K324" s="33" t="n">
        <f>400.5</f>
        <v>400.5</v>
      </c>
      <c r="L324" s="34" t="s">
        <v>48</v>
      </c>
      <c r="M324" s="33" t="n">
        <f>431.3</f>
        <v>431.3</v>
      </c>
      <c r="N324" s="34" t="s">
        <v>108</v>
      </c>
      <c r="O324" s="33" t="n">
        <f>399.8</f>
        <v>399.8</v>
      </c>
      <c r="P324" s="34" t="s">
        <v>48</v>
      </c>
      <c r="Q324" s="33" t="n">
        <f>416.4</f>
        <v>416.4</v>
      </c>
      <c r="R324" s="34" t="s">
        <v>50</v>
      </c>
      <c r="S324" s="35" t="n">
        <f>421.35</f>
        <v>421.35</v>
      </c>
      <c r="T324" s="32" t="n">
        <f>6557550</f>
        <v>6557550.0</v>
      </c>
      <c r="U324" s="32" t="n">
        <f>167260</f>
        <v>167260.0</v>
      </c>
      <c r="V324" s="32" t="n">
        <f>2744726673</f>
        <v>2.744726673E9</v>
      </c>
      <c r="W324" s="32" t="n">
        <f>70207509</f>
        <v>7.0207509E7</v>
      </c>
      <c r="X324" s="36" t="n">
        <f>20</f>
        <v>20.0</v>
      </c>
    </row>
    <row r="325">
      <c r="A325" s="27" t="s">
        <v>42</v>
      </c>
      <c r="B325" s="27" t="s">
        <v>1024</v>
      </c>
      <c r="C325" s="27" t="s">
        <v>1025</v>
      </c>
      <c r="D325" s="27" t="s">
        <v>1026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10.0</v>
      </c>
      <c r="K325" s="33" t="n">
        <f>2519</f>
        <v>2519.0</v>
      </c>
      <c r="L325" s="34" t="s">
        <v>48</v>
      </c>
      <c r="M325" s="33" t="n">
        <f>2673</f>
        <v>2673.0</v>
      </c>
      <c r="N325" s="34" t="s">
        <v>50</v>
      </c>
      <c r="O325" s="33" t="n">
        <f>2514</f>
        <v>2514.0</v>
      </c>
      <c r="P325" s="34" t="s">
        <v>48</v>
      </c>
      <c r="Q325" s="33" t="n">
        <f>2673</f>
        <v>2673.0</v>
      </c>
      <c r="R325" s="34" t="s">
        <v>50</v>
      </c>
      <c r="S325" s="35" t="n">
        <f>2621.4</f>
        <v>2621.4</v>
      </c>
      <c r="T325" s="32" t="n">
        <f>1600040</f>
        <v>1600040.0</v>
      </c>
      <c r="U325" s="32" t="n">
        <f>855020</f>
        <v>855020.0</v>
      </c>
      <c r="V325" s="32" t="n">
        <f>4181105980</f>
        <v>4.18110598E9</v>
      </c>
      <c r="W325" s="32" t="n">
        <f>2236036070</f>
        <v>2.23603607E9</v>
      </c>
      <c r="X325" s="36" t="n">
        <f>20</f>
        <v>20.0</v>
      </c>
    </row>
    <row r="326">
      <c r="A326" s="27" t="s">
        <v>42</v>
      </c>
      <c r="B326" s="27" t="s">
        <v>1027</v>
      </c>
      <c r="C326" s="27" t="s">
        <v>1028</v>
      </c>
      <c r="D326" s="27" t="s">
        <v>1029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10.0</v>
      </c>
      <c r="K326" s="33" t="n">
        <f>4181</f>
        <v>4181.0</v>
      </c>
      <c r="L326" s="34" t="s">
        <v>48</v>
      </c>
      <c r="M326" s="33" t="n">
        <f>4474</f>
        <v>4474.0</v>
      </c>
      <c r="N326" s="34" t="s">
        <v>257</v>
      </c>
      <c r="O326" s="33" t="n">
        <f>4129</f>
        <v>4129.0</v>
      </c>
      <c r="P326" s="34" t="s">
        <v>48</v>
      </c>
      <c r="Q326" s="33" t="n">
        <f>4296</f>
        <v>4296.0</v>
      </c>
      <c r="R326" s="34" t="s">
        <v>50</v>
      </c>
      <c r="S326" s="35" t="n">
        <f>4349.05</f>
        <v>4349.05</v>
      </c>
      <c r="T326" s="32" t="n">
        <f>354020</f>
        <v>354020.0</v>
      </c>
      <c r="U326" s="32" t="n">
        <f>10</f>
        <v>10.0</v>
      </c>
      <c r="V326" s="32" t="n">
        <f>1502077260</f>
        <v>1.50207726E9</v>
      </c>
      <c r="W326" s="32" t="n">
        <f>43800</f>
        <v>43800.0</v>
      </c>
      <c r="X326" s="36" t="n">
        <f>20</f>
        <v>20.0</v>
      </c>
    </row>
    <row r="327">
      <c r="A327" s="27" t="s">
        <v>42</v>
      </c>
      <c r="B327" s="27" t="s">
        <v>1030</v>
      </c>
      <c r="C327" s="27" t="s">
        <v>1031</v>
      </c>
      <c r="D327" s="27" t="s">
        <v>1032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1.0</v>
      </c>
      <c r="K327" s="33" t="n">
        <f>3235</f>
        <v>3235.0</v>
      </c>
      <c r="L327" s="34" t="s">
        <v>48</v>
      </c>
      <c r="M327" s="33" t="n">
        <f>3420</f>
        <v>3420.0</v>
      </c>
      <c r="N327" s="34" t="s">
        <v>54</v>
      </c>
      <c r="O327" s="33" t="n">
        <f>3235</f>
        <v>3235.0</v>
      </c>
      <c r="P327" s="34" t="s">
        <v>48</v>
      </c>
      <c r="Q327" s="33" t="n">
        <f>3280</f>
        <v>3280.0</v>
      </c>
      <c r="R327" s="34" t="s">
        <v>50</v>
      </c>
      <c r="S327" s="35" t="n">
        <f>3299.75</f>
        <v>3299.75</v>
      </c>
      <c r="T327" s="32" t="n">
        <f>3196</f>
        <v>3196.0</v>
      </c>
      <c r="U327" s="32" t="str">
        <f>"－"</f>
        <v>－</v>
      </c>
      <c r="V327" s="32" t="n">
        <f>10635445</f>
        <v>1.0635445E7</v>
      </c>
      <c r="W327" s="32" t="str">
        <f>"－"</f>
        <v>－</v>
      </c>
      <c r="X327" s="36" t="n">
        <f>20</f>
        <v>20.0</v>
      </c>
    </row>
    <row r="328">
      <c r="A328" s="27" t="s">
        <v>42</v>
      </c>
      <c r="B328" s="27" t="s">
        <v>1033</v>
      </c>
      <c r="C328" s="27" t="s">
        <v>1034</v>
      </c>
      <c r="D328" s="27" t="s">
        <v>1035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1.0</v>
      </c>
      <c r="K328" s="33" t="n">
        <f>1498</f>
        <v>1498.0</v>
      </c>
      <c r="L328" s="34" t="s">
        <v>48</v>
      </c>
      <c r="M328" s="33" t="n">
        <f>1579</f>
        <v>1579.0</v>
      </c>
      <c r="N328" s="34" t="s">
        <v>54</v>
      </c>
      <c r="O328" s="33" t="n">
        <f>1445</f>
        <v>1445.0</v>
      </c>
      <c r="P328" s="34" t="s">
        <v>61</v>
      </c>
      <c r="Q328" s="33" t="n">
        <f>1455</f>
        <v>1455.0</v>
      </c>
      <c r="R328" s="34" t="s">
        <v>50</v>
      </c>
      <c r="S328" s="35" t="n">
        <f>1498.6</f>
        <v>1498.6</v>
      </c>
      <c r="T328" s="32" t="n">
        <f>38955</f>
        <v>38955.0</v>
      </c>
      <c r="U328" s="32" t="str">
        <f>"－"</f>
        <v>－</v>
      </c>
      <c r="V328" s="32" t="n">
        <f>57939230</f>
        <v>5.793923E7</v>
      </c>
      <c r="W328" s="32" t="str">
        <f>"－"</f>
        <v>－</v>
      </c>
      <c r="X328" s="36" t="n">
        <f>20</f>
        <v>20.0</v>
      </c>
    </row>
    <row r="329">
      <c r="A329" s="27" t="s">
        <v>42</v>
      </c>
      <c r="B329" s="27" t="s">
        <v>1036</v>
      </c>
      <c r="C329" s="27" t="s">
        <v>1037</v>
      </c>
      <c r="D329" s="27" t="s">
        <v>1038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1.0</v>
      </c>
      <c r="K329" s="33" t="n">
        <f>1994</f>
        <v>1994.0</v>
      </c>
      <c r="L329" s="34" t="s">
        <v>48</v>
      </c>
      <c r="M329" s="33" t="n">
        <f>2071</f>
        <v>2071.0</v>
      </c>
      <c r="N329" s="34" t="s">
        <v>73</v>
      </c>
      <c r="O329" s="33" t="n">
        <f>1923</f>
        <v>1923.0</v>
      </c>
      <c r="P329" s="34" t="s">
        <v>50</v>
      </c>
      <c r="Q329" s="33" t="n">
        <f>1937</f>
        <v>1937.0</v>
      </c>
      <c r="R329" s="34" t="s">
        <v>50</v>
      </c>
      <c r="S329" s="35" t="n">
        <f>1982.55</f>
        <v>1982.55</v>
      </c>
      <c r="T329" s="32" t="n">
        <f>130524</f>
        <v>130524.0</v>
      </c>
      <c r="U329" s="32" t="str">
        <f>"－"</f>
        <v>－</v>
      </c>
      <c r="V329" s="32" t="n">
        <f>257024532</f>
        <v>2.57024532E8</v>
      </c>
      <c r="W329" s="32" t="str">
        <f>"－"</f>
        <v>－</v>
      </c>
      <c r="X329" s="36" t="n">
        <f>20</f>
        <v>20.0</v>
      </c>
    </row>
    <row r="330">
      <c r="A330" s="27" t="s">
        <v>42</v>
      </c>
      <c r="B330" s="27" t="s">
        <v>1039</v>
      </c>
      <c r="C330" s="27" t="s">
        <v>1040</v>
      </c>
      <c r="D330" s="27" t="s">
        <v>1041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1.0</v>
      </c>
      <c r="K330" s="33" t="n">
        <f>1754</f>
        <v>1754.0</v>
      </c>
      <c r="L330" s="34" t="s">
        <v>48</v>
      </c>
      <c r="M330" s="33" t="n">
        <f>1815</f>
        <v>1815.0</v>
      </c>
      <c r="N330" s="34" t="s">
        <v>73</v>
      </c>
      <c r="O330" s="33" t="n">
        <f>1675</f>
        <v>1675.0</v>
      </c>
      <c r="P330" s="34" t="s">
        <v>519</v>
      </c>
      <c r="Q330" s="33" t="n">
        <f>1721</f>
        <v>1721.0</v>
      </c>
      <c r="R330" s="34" t="s">
        <v>50</v>
      </c>
      <c r="S330" s="35" t="n">
        <f>1733.45</f>
        <v>1733.45</v>
      </c>
      <c r="T330" s="32" t="n">
        <f>12530</f>
        <v>12530.0</v>
      </c>
      <c r="U330" s="32" t="str">
        <f>"－"</f>
        <v>－</v>
      </c>
      <c r="V330" s="32" t="n">
        <f>21829158</f>
        <v>2.1829158E7</v>
      </c>
      <c r="W330" s="32" t="str">
        <f>"－"</f>
        <v>－</v>
      </c>
      <c r="X330" s="36" t="n">
        <f>20</f>
        <v>20.0</v>
      </c>
    </row>
    <row r="331">
      <c r="A331" s="27" t="s">
        <v>42</v>
      </c>
      <c r="B331" s="27" t="s">
        <v>1042</v>
      </c>
      <c r="C331" s="27" t="s">
        <v>1043</v>
      </c>
      <c r="D331" s="27" t="s">
        <v>1044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1.0</v>
      </c>
      <c r="K331" s="33" t="n">
        <f>3245</f>
        <v>3245.0</v>
      </c>
      <c r="L331" s="34" t="s">
        <v>48</v>
      </c>
      <c r="M331" s="33" t="n">
        <f>3450</f>
        <v>3450.0</v>
      </c>
      <c r="N331" s="34" t="s">
        <v>50</v>
      </c>
      <c r="O331" s="33" t="n">
        <f>3170</f>
        <v>3170.0</v>
      </c>
      <c r="P331" s="34" t="s">
        <v>121</v>
      </c>
      <c r="Q331" s="33" t="n">
        <f>3385</f>
        <v>3385.0</v>
      </c>
      <c r="R331" s="34" t="s">
        <v>50</v>
      </c>
      <c r="S331" s="35" t="n">
        <f>3303.5</f>
        <v>3303.5</v>
      </c>
      <c r="T331" s="32" t="n">
        <f>56071</f>
        <v>56071.0</v>
      </c>
      <c r="U331" s="32" t="n">
        <f>100</f>
        <v>100.0</v>
      </c>
      <c r="V331" s="32" t="n">
        <f>185162680</f>
        <v>1.8516268E8</v>
      </c>
      <c r="W331" s="32" t="n">
        <f>330000</f>
        <v>330000.0</v>
      </c>
      <c r="X331" s="36" t="n">
        <f>20</f>
        <v>20.0</v>
      </c>
    </row>
    <row r="332">
      <c r="A332" s="27" t="s">
        <v>42</v>
      </c>
      <c r="B332" s="27" t="s">
        <v>1045</v>
      </c>
      <c r="C332" s="27" t="s">
        <v>1046</v>
      </c>
      <c r="D332" s="27" t="s">
        <v>1047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1.0</v>
      </c>
      <c r="K332" s="33" t="n">
        <f>3020</f>
        <v>3020.0</v>
      </c>
      <c r="L332" s="34" t="s">
        <v>48</v>
      </c>
      <c r="M332" s="33" t="n">
        <f>3200</f>
        <v>3200.0</v>
      </c>
      <c r="N332" s="34" t="s">
        <v>49</v>
      </c>
      <c r="O332" s="33" t="n">
        <f>2998</f>
        <v>2998.0</v>
      </c>
      <c r="P332" s="34" t="s">
        <v>121</v>
      </c>
      <c r="Q332" s="33" t="n">
        <f>3105</f>
        <v>3105.0</v>
      </c>
      <c r="R332" s="34" t="s">
        <v>50</v>
      </c>
      <c r="S332" s="35" t="n">
        <f>3110.25</f>
        <v>3110.25</v>
      </c>
      <c r="T332" s="32" t="n">
        <f>938519</f>
        <v>938519.0</v>
      </c>
      <c r="U332" s="32" t="n">
        <f>394405</f>
        <v>394405.0</v>
      </c>
      <c r="V332" s="32" t="n">
        <f>2916882165</f>
        <v>2.916882165E9</v>
      </c>
      <c r="W332" s="32" t="n">
        <f>1223849658</f>
        <v>1.223849658E9</v>
      </c>
      <c r="X332" s="36" t="n">
        <f>20</f>
        <v>20.0</v>
      </c>
    </row>
    <row r="333">
      <c r="A333" s="27" t="s">
        <v>42</v>
      </c>
      <c r="B333" s="27" t="s">
        <v>1048</v>
      </c>
      <c r="C333" s="27" t="s">
        <v>1049</v>
      </c>
      <c r="D333" s="27" t="s">
        <v>1050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1.0</v>
      </c>
      <c r="K333" s="33" t="n">
        <f>35500</f>
        <v>35500.0</v>
      </c>
      <c r="L333" s="34" t="s">
        <v>48</v>
      </c>
      <c r="M333" s="33" t="n">
        <f>36750</f>
        <v>36750.0</v>
      </c>
      <c r="N333" s="34" t="s">
        <v>519</v>
      </c>
      <c r="O333" s="33" t="n">
        <f>35250</f>
        <v>35250.0</v>
      </c>
      <c r="P333" s="34" t="s">
        <v>48</v>
      </c>
      <c r="Q333" s="33" t="n">
        <f>35690</f>
        <v>35690.0</v>
      </c>
      <c r="R333" s="34" t="s">
        <v>50</v>
      </c>
      <c r="S333" s="35" t="n">
        <f>35923.13</f>
        <v>35923.13</v>
      </c>
      <c r="T333" s="32" t="n">
        <f>55</f>
        <v>55.0</v>
      </c>
      <c r="U333" s="32" t="str">
        <f>"－"</f>
        <v>－</v>
      </c>
      <c r="V333" s="32" t="n">
        <f>1966750</f>
        <v>1966750.0</v>
      </c>
      <c r="W333" s="32" t="str">
        <f>"－"</f>
        <v>－</v>
      </c>
      <c r="X333" s="36" t="n">
        <f>16</f>
        <v>16.0</v>
      </c>
    </row>
    <row r="334">
      <c r="A334" s="27" t="s">
        <v>42</v>
      </c>
      <c r="B334" s="27" t="s">
        <v>1051</v>
      </c>
      <c r="C334" s="27" t="s">
        <v>1052</v>
      </c>
      <c r="D334" s="27" t="s">
        <v>1053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1.0</v>
      </c>
      <c r="K334" s="33" t="n">
        <f>2838</f>
        <v>2838.0</v>
      </c>
      <c r="L334" s="34" t="s">
        <v>48</v>
      </c>
      <c r="M334" s="33" t="n">
        <f>2939</f>
        <v>2939.0</v>
      </c>
      <c r="N334" s="34" t="s">
        <v>87</v>
      </c>
      <c r="O334" s="33" t="n">
        <f>2724</f>
        <v>2724.0</v>
      </c>
      <c r="P334" s="34" t="s">
        <v>121</v>
      </c>
      <c r="Q334" s="33" t="n">
        <f>2809</f>
        <v>2809.0</v>
      </c>
      <c r="R334" s="34" t="s">
        <v>50</v>
      </c>
      <c r="S334" s="35" t="n">
        <f>2835.85</f>
        <v>2835.85</v>
      </c>
      <c r="T334" s="32" t="n">
        <f>8077</f>
        <v>8077.0</v>
      </c>
      <c r="U334" s="32" t="str">
        <f>"－"</f>
        <v>－</v>
      </c>
      <c r="V334" s="32" t="n">
        <f>22831212</f>
        <v>2.2831212E7</v>
      </c>
      <c r="W334" s="32" t="str">
        <f>"－"</f>
        <v>－</v>
      </c>
      <c r="X334" s="36" t="n">
        <f>20</f>
        <v>20.0</v>
      </c>
    </row>
    <row r="335">
      <c r="A335" s="27" t="s">
        <v>42</v>
      </c>
      <c r="B335" s="27" t="s">
        <v>1054</v>
      </c>
      <c r="C335" s="27" t="s">
        <v>1055</v>
      </c>
      <c r="D335" s="27" t="s">
        <v>1056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1.0</v>
      </c>
      <c r="K335" s="33" t="n">
        <f>1844</f>
        <v>1844.0</v>
      </c>
      <c r="L335" s="34" t="s">
        <v>48</v>
      </c>
      <c r="M335" s="33" t="n">
        <f>1960</f>
        <v>1960.0</v>
      </c>
      <c r="N335" s="34" t="s">
        <v>73</v>
      </c>
      <c r="O335" s="33" t="n">
        <f>1669</f>
        <v>1669.0</v>
      </c>
      <c r="P335" s="34" t="s">
        <v>61</v>
      </c>
      <c r="Q335" s="33" t="n">
        <f>1705</f>
        <v>1705.0</v>
      </c>
      <c r="R335" s="34" t="s">
        <v>50</v>
      </c>
      <c r="S335" s="35" t="n">
        <f>1796</f>
        <v>1796.0</v>
      </c>
      <c r="T335" s="32" t="n">
        <f>9885723</f>
        <v>9885723.0</v>
      </c>
      <c r="U335" s="32" t="n">
        <f>764857</f>
        <v>764857.0</v>
      </c>
      <c r="V335" s="32" t="n">
        <f>17848123952</f>
        <v>1.7848123952E10</v>
      </c>
      <c r="W335" s="32" t="n">
        <f>1394762973</f>
        <v>1.394762973E9</v>
      </c>
      <c r="X335" s="36" t="n">
        <f>20</f>
        <v>20.0</v>
      </c>
    </row>
    <row r="336">
      <c r="A336" s="27" t="s">
        <v>42</v>
      </c>
      <c r="B336" s="27" t="s">
        <v>1057</v>
      </c>
      <c r="C336" s="27" t="s">
        <v>1058</v>
      </c>
      <c r="D336" s="27" t="s">
        <v>1059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1.0</v>
      </c>
      <c r="K336" s="33" t="n">
        <f>2293</f>
        <v>2293.0</v>
      </c>
      <c r="L336" s="34" t="s">
        <v>48</v>
      </c>
      <c r="M336" s="33" t="n">
        <f>2394</f>
        <v>2394.0</v>
      </c>
      <c r="N336" s="34" t="s">
        <v>49</v>
      </c>
      <c r="O336" s="33" t="n">
        <f>2281</f>
        <v>2281.0</v>
      </c>
      <c r="P336" s="34" t="s">
        <v>65</v>
      </c>
      <c r="Q336" s="33" t="n">
        <f>2394</f>
        <v>2394.0</v>
      </c>
      <c r="R336" s="34" t="s">
        <v>50</v>
      </c>
      <c r="S336" s="35" t="n">
        <f>2347.65</f>
        <v>2347.65</v>
      </c>
      <c r="T336" s="32" t="n">
        <f>15811</f>
        <v>15811.0</v>
      </c>
      <c r="U336" s="32" t="str">
        <f>"－"</f>
        <v>－</v>
      </c>
      <c r="V336" s="32" t="n">
        <f>37246108</f>
        <v>3.7246108E7</v>
      </c>
      <c r="W336" s="32" t="str">
        <f>"－"</f>
        <v>－</v>
      </c>
      <c r="X336" s="36" t="n">
        <f>20</f>
        <v>20.0</v>
      </c>
    </row>
    <row r="337">
      <c r="A337" s="27" t="s">
        <v>42</v>
      </c>
      <c r="B337" s="27" t="s">
        <v>1060</v>
      </c>
      <c r="C337" s="27" t="s">
        <v>1061</v>
      </c>
      <c r="D337" s="27" t="s">
        <v>1062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1.0</v>
      </c>
      <c r="K337" s="33" t="n">
        <f>1649</f>
        <v>1649.0</v>
      </c>
      <c r="L337" s="34" t="s">
        <v>48</v>
      </c>
      <c r="M337" s="33" t="n">
        <f>1718</f>
        <v>1718.0</v>
      </c>
      <c r="N337" s="34" t="s">
        <v>73</v>
      </c>
      <c r="O337" s="33" t="n">
        <f>1564</f>
        <v>1564.0</v>
      </c>
      <c r="P337" s="34" t="s">
        <v>61</v>
      </c>
      <c r="Q337" s="33" t="n">
        <f>1587</f>
        <v>1587.0</v>
      </c>
      <c r="R337" s="34" t="s">
        <v>50</v>
      </c>
      <c r="S337" s="35" t="n">
        <f>1634.2</f>
        <v>1634.2</v>
      </c>
      <c r="T337" s="32" t="n">
        <f>12247</f>
        <v>12247.0</v>
      </c>
      <c r="U337" s="32" t="str">
        <f>"－"</f>
        <v>－</v>
      </c>
      <c r="V337" s="32" t="n">
        <f>19902337</f>
        <v>1.9902337E7</v>
      </c>
      <c r="W337" s="32" t="str">
        <f>"－"</f>
        <v>－</v>
      </c>
      <c r="X337" s="36" t="n">
        <f>20</f>
        <v>20.0</v>
      </c>
    </row>
    <row r="338">
      <c r="A338" s="27" t="s">
        <v>42</v>
      </c>
      <c r="B338" s="27" t="s">
        <v>1063</v>
      </c>
      <c r="C338" s="27" t="s">
        <v>1064</v>
      </c>
      <c r="D338" s="27" t="s">
        <v>1065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10.0</v>
      </c>
      <c r="K338" s="33" t="n">
        <f>5658</f>
        <v>5658.0</v>
      </c>
      <c r="L338" s="34" t="s">
        <v>48</v>
      </c>
      <c r="M338" s="33" t="n">
        <f>5765</f>
        <v>5765.0</v>
      </c>
      <c r="N338" s="34" t="s">
        <v>104</v>
      </c>
      <c r="O338" s="33" t="n">
        <f>5646</f>
        <v>5646.0</v>
      </c>
      <c r="P338" s="34" t="s">
        <v>48</v>
      </c>
      <c r="Q338" s="33" t="n">
        <f>5650</f>
        <v>5650.0</v>
      </c>
      <c r="R338" s="34" t="s">
        <v>50</v>
      </c>
      <c r="S338" s="35" t="n">
        <f>5693.41</f>
        <v>5693.41</v>
      </c>
      <c r="T338" s="32" t="n">
        <f>2177600</f>
        <v>2177600.0</v>
      </c>
      <c r="U338" s="32" t="n">
        <f>2170000</f>
        <v>2170000.0</v>
      </c>
      <c r="V338" s="32" t="n">
        <f>12409787288</f>
        <v>1.2409787288E10</v>
      </c>
      <c r="W338" s="32" t="n">
        <f>12366711838</f>
        <v>1.2366711838E10</v>
      </c>
      <c r="X338" s="36" t="n">
        <f>17</f>
        <v>17.0</v>
      </c>
    </row>
    <row r="339">
      <c r="A339" s="27" t="s">
        <v>42</v>
      </c>
      <c r="B339" s="27" t="s">
        <v>1066</v>
      </c>
      <c r="C339" s="27" t="s">
        <v>1067</v>
      </c>
      <c r="D339" s="27" t="s">
        <v>1068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10.0</v>
      </c>
      <c r="K339" s="33" t="n">
        <f>3644</f>
        <v>3644.0</v>
      </c>
      <c r="L339" s="34" t="s">
        <v>48</v>
      </c>
      <c r="M339" s="33" t="n">
        <f>3660</f>
        <v>3660.0</v>
      </c>
      <c r="N339" s="34" t="s">
        <v>108</v>
      </c>
      <c r="O339" s="33" t="n">
        <f>3590</f>
        <v>3590.0</v>
      </c>
      <c r="P339" s="34" t="s">
        <v>108</v>
      </c>
      <c r="Q339" s="33" t="n">
        <f>3657</f>
        <v>3657.0</v>
      </c>
      <c r="R339" s="34" t="s">
        <v>50</v>
      </c>
      <c r="S339" s="35" t="n">
        <f>3621.53</f>
        <v>3621.53</v>
      </c>
      <c r="T339" s="32" t="n">
        <f>1213140</f>
        <v>1213140.0</v>
      </c>
      <c r="U339" s="32" t="n">
        <f>504020</f>
        <v>504020.0</v>
      </c>
      <c r="V339" s="32" t="n">
        <f>4390657646</f>
        <v>4.390657646E9</v>
      </c>
      <c r="W339" s="32" t="n">
        <f>1817016346</f>
        <v>1.817016346E9</v>
      </c>
      <c r="X339" s="36" t="n">
        <f>19</f>
        <v>19.0</v>
      </c>
    </row>
    <row r="340">
      <c r="A340" s="27" t="s">
        <v>42</v>
      </c>
      <c r="B340" s="27" t="s">
        <v>1069</v>
      </c>
      <c r="C340" s="27" t="s">
        <v>1070</v>
      </c>
      <c r="D340" s="27" t="s">
        <v>1071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10.0</v>
      </c>
      <c r="K340" s="33" t="n">
        <f>614.6</f>
        <v>614.6</v>
      </c>
      <c r="L340" s="34" t="s">
        <v>48</v>
      </c>
      <c r="M340" s="33" t="n">
        <f>618.7</f>
        <v>618.7</v>
      </c>
      <c r="N340" s="34" t="s">
        <v>50</v>
      </c>
      <c r="O340" s="33" t="n">
        <f>610.9</f>
        <v>610.9</v>
      </c>
      <c r="P340" s="34" t="s">
        <v>65</v>
      </c>
      <c r="Q340" s="33" t="n">
        <f>618.5</f>
        <v>618.5</v>
      </c>
      <c r="R340" s="34" t="s">
        <v>50</v>
      </c>
      <c r="S340" s="35" t="n">
        <f>614.14</f>
        <v>614.14</v>
      </c>
      <c r="T340" s="32" t="n">
        <f>59100</f>
        <v>59100.0</v>
      </c>
      <c r="U340" s="32" t="str">
        <f>"－"</f>
        <v>－</v>
      </c>
      <c r="V340" s="32" t="n">
        <f>36223044</f>
        <v>3.6223044E7</v>
      </c>
      <c r="W340" s="32" t="str">
        <f>"－"</f>
        <v>－</v>
      </c>
      <c r="X340" s="36" t="n">
        <f>20</f>
        <v>20.0</v>
      </c>
    </row>
    <row r="341">
      <c r="A341" s="27" t="s">
        <v>42</v>
      </c>
      <c r="B341" s="27" t="s">
        <v>1072</v>
      </c>
      <c r="C341" s="27" t="s">
        <v>1073</v>
      </c>
      <c r="D341" s="27" t="s">
        <v>1074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1.0</v>
      </c>
      <c r="K341" s="33" t="n">
        <f>13825</f>
        <v>13825.0</v>
      </c>
      <c r="L341" s="34" t="s">
        <v>48</v>
      </c>
      <c r="M341" s="33" t="n">
        <f>14425</f>
        <v>14425.0</v>
      </c>
      <c r="N341" s="34" t="s">
        <v>121</v>
      </c>
      <c r="O341" s="33" t="n">
        <f>9418</f>
        <v>9418.0</v>
      </c>
      <c r="P341" s="34" t="s">
        <v>61</v>
      </c>
      <c r="Q341" s="33" t="n">
        <f>9451</f>
        <v>9451.0</v>
      </c>
      <c r="R341" s="34" t="s">
        <v>50</v>
      </c>
      <c r="S341" s="35" t="n">
        <f>10182.55</f>
        <v>10182.55</v>
      </c>
      <c r="T341" s="32" t="n">
        <f>50054</f>
        <v>50054.0</v>
      </c>
      <c r="U341" s="32" t="n">
        <f>12</f>
        <v>12.0</v>
      </c>
      <c r="V341" s="32" t="n">
        <f>535209394</f>
        <v>5.35209394E8</v>
      </c>
      <c r="W341" s="32" t="n">
        <f>130788</f>
        <v>130788.0</v>
      </c>
      <c r="X341" s="36" t="n">
        <f>20</f>
        <v>20.0</v>
      </c>
    </row>
    <row r="342">
      <c r="A342" s="27" t="s">
        <v>42</v>
      </c>
      <c r="B342" s="27" t="s">
        <v>1075</v>
      </c>
      <c r="C342" s="27" t="s">
        <v>1076</v>
      </c>
      <c r="D342" s="27" t="s">
        <v>1077</v>
      </c>
      <c r="E342" s="28" t="s">
        <v>1078</v>
      </c>
      <c r="F342" s="29" t="s">
        <v>1079</v>
      </c>
      <c r="G342" s="30" t="s">
        <v>1080</v>
      </c>
      <c r="H342" s="31"/>
      <c r="I342" s="31" t="s">
        <v>47</v>
      </c>
      <c r="J342" s="32" t="n">
        <v>1.0</v>
      </c>
      <c r="K342" s="33" t="n">
        <f>1017</f>
        <v>1017.0</v>
      </c>
      <c r="L342" s="34" t="s">
        <v>397</v>
      </c>
      <c r="M342" s="33" t="n">
        <f>1030</f>
        <v>1030.0</v>
      </c>
      <c r="N342" s="34" t="s">
        <v>158</v>
      </c>
      <c r="O342" s="33" t="n">
        <f>950</f>
        <v>950.0</v>
      </c>
      <c r="P342" s="34" t="s">
        <v>61</v>
      </c>
      <c r="Q342" s="33" t="n">
        <f>965</f>
        <v>965.0</v>
      </c>
      <c r="R342" s="34" t="s">
        <v>50</v>
      </c>
      <c r="S342" s="35" t="n">
        <f>990.86</f>
        <v>990.86</v>
      </c>
      <c r="T342" s="32" t="n">
        <f>682207</f>
        <v>682207.0</v>
      </c>
      <c r="U342" s="32" t="n">
        <f>100350</f>
        <v>100350.0</v>
      </c>
      <c r="V342" s="32" t="n">
        <f>674351855</f>
        <v>6.74351855E8</v>
      </c>
      <c r="W342" s="32" t="n">
        <f>97769491</f>
        <v>9.7769491E7</v>
      </c>
      <c r="X342" s="36" t="n">
        <f>7</f>
        <v>7.0</v>
      </c>
    </row>
    <row r="343">
      <c r="A343" s="27" t="s">
        <v>42</v>
      </c>
      <c r="B343" s="27" t="s">
        <v>1081</v>
      </c>
      <c r="C343" s="27" t="s">
        <v>1082</v>
      </c>
      <c r="D343" s="27" t="s">
        <v>1083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1.0</v>
      </c>
      <c r="K343" s="33" t="n">
        <f>2469</f>
        <v>2469.0</v>
      </c>
      <c r="L343" s="34" t="s">
        <v>48</v>
      </c>
      <c r="M343" s="33" t="n">
        <f>2659</f>
        <v>2659.0</v>
      </c>
      <c r="N343" s="34" t="s">
        <v>50</v>
      </c>
      <c r="O343" s="33" t="n">
        <f>2444</f>
        <v>2444.0</v>
      </c>
      <c r="P343" s="34" t="s">
        <v>48</v>
      </c>
      <c r="Q343" s="33" t="n">
        <f>2659</f>
        <v>2659.0</v>
      </c>
      <c r="R343" s="34" t="s">
        <v>50</v>
      </c>
      <c r="S343" s="35" t="n">
        <f>2563.7</f>
        <v>2563.7</v>
      </c>
      <c r="T343" s="32" t="n">
        <f>5175</f>
        <v>5175.0</v>
      </c>
      <c r="U343" s="32" t="str">
        <f>"－"</f>
        <v>－</v>
      </c>
      <c r="V343" s="32" t="n">
        <f>13330873</f>
        <v>1.3330873E7</v>
      </c>
      <c r="W343" s="32" t="str">
        <f>"－"</f>
        <v>－</v>
      </c>
      <c r="X343" s="36" t="n">
        <f>20</f>
        <v>20.0</v>
      </c>
    </row>
    <row r="344">
      <c r="A344" s="27" t="s">
        <v>42</v>
      </c>
      <c r="B344" s="27" t="s">
        <v>1084</v>
      </c>
      <c r="C344" s="27" t="s">
        <v>1085</v>
      </c>
      <c r="D344" s="27" t="s">
        <v>1086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1.0</v>
      </c>
      <c r="K344" s="33" t="n">
        <f>2244</f>
        <v>2244.0</v>
      </c>
      <c r="L344" s="34" t="s">
        <v>48</v>
      </c>
      <c r="M344" s="33" t="n">
        <f>2350</f>
        <v>2350.0</v>
      </c>
      <c r="N344" s="34" t="s">
        <v>54</v>
      </c>
      <c r="O344" s="33" t="n">
        <f>2156</f>
        <v>2156.0</v>
      </c>
      <c r="P344" s="34" t="s">
        <v>519</v>
      </c>
      <c r="Q344" s="33" t="n">
        <f>2253</f>
        <v>2253.0</v>
      </c>
      <c r="R344" s="34" t="s">
        <v>50</v>
      </c>
      <c r="S344" s="35" t="n">
        <f>2247.85</f>
        <v>2247.85</v>
      </c>
      <c r="T344" s="32" t="n">
        <f>12996</f>
        <v>12996.0</v>
      </c>
      <c r="U344" s="32" t="str">
        <f>"－"</f>
        <v>－</v>
      </c>
      <c r="V344" s="32" t="n">
        <f>29102095</f>
        <v>2.9102095E7</v>
      </c>
      <c r="W344" s="32" t="str">
        <f>"－"</f>
        <v>－</v>
      </c>
      <c r="X344" s="36" t="n">
        <f>20</f>
        <v>20.0</v>
      </c>
    </row>
    <row r="345">
      <c r="A345" s="27" t="s">
        <v>42</v>
      </c>
      <c r="B345" s="27" t="s">
        <v>1087</v>
      </c>
      <c r="C345" s="27" t="s">
        <v>1088</v>
      </c>
      <c r="D345" s="27" t="s">
        <v>1089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1.0</v>
      </c>
      <c r="K345" s="33" t="n">
        <f>8468</f>
        <v>8468.0</v>
      </c>
      <c r="L345" s="34" t="s">
        <v>48</v>
      </c>
      <c r="M345" s="33" t="n">
        <f>8616</f>
        <v>8616.0</v>
      </c>
      <c r="N345" s="34" t="s">
        <v>108</v>
      </c>
      <c r="O345" s="33" t="n">
        <f>8350</f>
        <v>8350.0</v>
      </c>
      <c r="P345" s="34" t="s">
        <v>50</v>
      </c>
      <c r="Q345" s="33" t="n">
        <f>8350</f>
        <v>8350.0</v>
      </c>
      <c r="R345" s="34" t="s">
        <v>50</v>
      </c>
      <c r="S345" s="35" t="n">
        <f>8482.71</f>
        <v>8482.71</v>
      </c>
      <c r="T345" s="32" t="n">
        <f>853163</f>
        <v>853163.0</v>
      </c>
      <c r="U345" s="32" t="n">
        <f>851250</f>
        <v>851250.0</v>
      </c>
      <c r="V345" s="32" t="n">
        <f>7279235235</f>
        <v>7.279235235E9</v>
      </c>
      <c r="W345" s="32" t="n">
        <f>7263036830</f>
        <v>7.26303683E9</v>
      </c>
      <c r="X345" s="36" t="n">
        <f>17</f>
        <v>17.0</v>
      </c>
    </row>
    <row r="346">
      <c r="A346" s="27" t="s">
        <v>42</v>
      </c>
      <c r="B346" s="27" t="s">
        <v>1090</v>
      </c>
      <c r="C346" s="27" t="s">
        <v>1091</v>
      </c>
      <c r="D346" s="27" t="s">
        <v>1092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5433</f>
        <v>5433.0</v>
      </c>
      <c r="L346" s="34" t="s">
        <v>48</v>
      </c>
      <c r="M346" s="33" t="n">
        <f>5485</f>
        <v>5485.0</v>
      </c>
      <c r="N346" s="34" t="s">
        <v>49</v>
      </c>
      <c r="O346" s="33" t="n">
        <f>5330</f>
        <v>5330.0</v>
      </c>
      <c r="P346" s="34" t="s">
        <v>108</v>
      </c>
      <c r="Q346" s="33" t="n">
        <f>5434</f>
        <v>5434.0</v>
      </c>
      <c r="R346" s="34" t="s">
        <v>50</v>
      </c>
      <c r="S346" s="35" t="n">
        <f>5381.1</f>
        <v>5381.1</v>
      </c>
      <c r="T346" s="32" t="n">
        <f>81152</f>
        <v>81152.0</v>
      </c>
      <c r="U346" s="32" t="n">
        <f>60000</f>
        <v>60000.0</v>
      </c>
      <c r="V346" s="32" t="n">
        <f>437432367</f>
        <v>4.37432367E8</v>
      </c>
      <c r="W346" s="32" t="n">
        <f>323458530</f>
        <v>3.2345853E8</v>
      </c>
      <c r="X346" s="36" t="n">
        <f>20</f>
        <v>20.0</v>
      </c>
    </row>
    <row r="347">
      <c r="A347" s="27" t="s">
        <v>42</v>
      </c>
      <c r="B347" s="27" t="s">
        <v>1093</v>
      </c>
      <c r="C347" s="27" t="s">
        <v>1094</v>
      </c>
      <c r="D347" s="27" t="s">
        <v>1095</v>
      </c>
      <c r="E347" s="28" t="s">
        <v>1078</v>
      </c>
      <c r="F347" s="29" t="s">
        <v>1079</v>
      </c>
      <c r="G347" s="30" t="s">
        <v>1080</v>
      </c>
      <c r="H347" s="31"/>
      <c r="I347" s="31" t="s">
        <v>47</v>
      </c>
      <c r="J347" s="32" t="n">
        <v>1.0</v>
      </c>
      <c r="K347" s="33" t="n">
        <f>1012</f>
        <v>1012.0</v>
      </c>
      <c r="L347" s="34" t="s">
        <v>397</v>
      </c>
      <c r="M347" s="33" t="n">
        <f>1030</f>
        <v>1030.0</v>
      </c>
      <c r="N347" s="34" t="s">
        <v>257</v>
      </c>
      <c r="O347" s="33" t="n">
        <f>991</f>
        <v>991.0</v>
      </c>
      <c r="P347" s="34" t="s">
        <v>50</v>
      </c>
      <c r="Q347" s="33" t="n">
        <f>995</f>
        <v>995.0</v>
      </c>
      <c r="R347" s="34" t="s">
        <v>50</v>
      </c>
      <c r="S347" s="35" t="n">
        <f>1012.71</f>
        <v>1012.71</v>
      </c>
      <c r="T347" s="32" t="n">
        <f>107173</f>
        <v>107173.0</v>
      </c>
      <c r="U347" s="32" t="str">
        <f>"－"</f>
        <v>－</v>
      </c>
      <c r="V347" s="32" t="n">
        <f>108484381</f>
        <v>1.08484381E8</v>
      </c>
      <c r="W347" s="32" t="str">
        <f>"－"</f>
        <v>－</v>
      </c>
      <c r="X347" s="36" t="n">
        <f>7</f>
        <v>7.0</v>
      </c>
    </row>
    <row r="348">
      <c r="A348" s="27" t="s">
        <v>42</v>
      </c>
      <c r="B348" s="27" t="s">
        <v>1096</v>
      </c>
      <c r="C348" s="27" t="s">
        <v>1097</v>
      </c>
      <c r="D348" s="27" t="s">
        <v>1098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1.0</v>
      </c>
      <c r="K348" s="33" t="n">
        <f>28005</f>
        <v>28005.0</v>
      </c>
      <c r="L348" s="34" t="s">
        <v>48</v>
      </c>
      <c r="M348" s="33" t="n">
        <f>30340</f>
        <v>30340.0</v>
      </c>
      <c r="N348" s="34" t="s">
        <v>108</v>
      </c>
      <c r="O348" s="33" t="n">
        <f>27970</f>
        <v>27970.0</v>
      </c>
      <c r="P348" s="34" t="s">
        <v>48</v>
      </c>
      <c r="Q348" s="33" t="n">
        <f>28865</f>
        <v>28865.0</v>
      </c>
      <c r="R348" s="34" t="s">
        <v>50</v>
      </c>
      <c r="S348" s="35" t="n">
        <f>29519.5</f>
        <v>29519.5</v>
      </c>
      <c r="T348" s="32" t="n">
        <f>267030</f>
        <v>267030.0</v>
      </c>
      <c r="U348" s="32" t="n">
        <f>52404</f>
        <v>52404.0</v>
      </c>
      <c r="V348" s="32" t="n">
        <f>7856263858</f>
        <v>7.856263858E9</v>
      </c>
      <c r="W348" s="32" t="n">
        <f>1539281478</f>
        <v>1.539281478E9</v>
      </c>
      <c r="X348" s="36" t="n">
        <f>20</f>
        <v>20.0</v>
      </c>
    </row>
    <row r="349">
      <c r="A349" s="27" t="s">
        <v>42</v>
      </c>
      <c r="B349" s="27" t="s">
        <v>1099</v>
      </c>
      <c r="C349" s="27" t="s">
        <v>1100</v>
      </c>
      <c r="D349" s="27" t="s">
        <v>1101</v>
      </c>
      <c r="E349" s="28" t="s">
        <v>46</v>
      </c>
      <c r="F349" s="29" t="s">
        <v>46</v>
      </c>
      <c r="G349" s="30" t="s">
        <v>46</v>
      </c>
      <c r="H349" s="31"/>
      <c r="I349" s="31" t="s">
        <v>47</v>
      </c>
      <c r="J349" s="32" t="n">
        <v>1.0</v>
      </c>
      <c r="K349" s="33" t="n">
        <f>12215</f>
        <v>12215.0</v>
      </c>
      <c r="L349" s="34" t="s">
        <v>48</v>
      </c>
      <c r="M349" s="33" t="n">
        <f>12960</f>
        <v>12960.0</v>
      </c>
      <c r="N349" s="34" t="s">
        <v>87</v>
      </c>
      <c r="O349" s="33" t="n">
        <f>12175</f>
        <v>12175.0</v>
      </c>
      <c r="P349" s="34" t="s">
        <v>48</v>
      </c>
      <c r="Q349" s="33" t="n">
        <f>12690</f>
        <v>12690.0</v>
      </c>
      <c r="R349" s="34" t="s">
        <v>50</v>
      </c>
      <c r="S349" s="35" t="n">
        <f>12694.25</f>
        <v>12694.25</v>
      </c>
      <c r="T349" s="32" t="n">
        <f>585431</f>
        <v>585431.0</v>
      </c>
      <c r="U349" s="32" t="n">
        <f>341709</f>
        <v>341709.0</v>
      </c>
      <c r="V349" s="32" t="n">
        <f>7445539417</f>
        <v>7.445539417E9</v>
      </c>
      <c r="W349" s="32" t="n">
        <f>4375416487</f>
        <v>4.375416487E9</v>
      </c>
      <c r="X349" s="36" t="n">
        <f>20</f>
        <v>20.0</v>
      </c>
    </row>
    <row r="350">
      <c r="A350" s="27" t="s">
        <v>42</v>
      </c>
      <c r="B350" s="27" t="s">
        <v>1102</v>
      </c>
      <c r="C350" s="27" t="s">
        <v>1103</v>
      </c>
      <c r="D350" s="27" t="s">
        <v>1104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1.0</v>
      </c>
      <c r="K350" s="33" t="n">
        <f>18520</f>
        <v>18520.0</v>
      </c>
      <c r="L350" s="34" t="s">
        <v>48</v>
      </c>
      <c r="M350" s="33" t="n">
        <f>18560</f>
        <v>18560.0</v>
      </c>
      <c r="N350" s="34" t="s">
        <v>48</v>
      </c>
      <c r="O350" s="33" t="n">
        <f>17420</f>
        <v>17420.0</v>
      </c>
      <c r="P350" s="34" t="s">
        <v>87</v>
      </c>
      <c r="Q350" s="33" t="n">
        <f>17730</f>
        <v>17730.0</v>
      </c>
      <c r="R350" s="34" t="s">
        <v>50</v>
      </c>
      <c r="S350" s="35" t="n">
        <f>17833.5</f>
        <v>17833.5</v>
      </c>
      <c r="T350" s="32" t="n">
        <f>83712</f>
        <v>83712.0</v>
      </c>
      <c r="U350" s="32" t="n">
        <f>64</f>
        <v>64.0</v>
      </c>
      <c r="V350" s="32" t="n">
        <f>1490576770</f>
        <v>1.49057677E9</v>
      </c>
      <c r="W350" s="32" t="n">
        <f>1124550</f>
        <v>1124550.0</v>
      </c>
      <c r="X350" s="36" t="n">
        <f>20</f>
        <v>20.0</v>
      </c>
    </row>
    <row r="351">
      <c r="A351" s="27" t="s">
        <v>42</v>
      </c>
      <c r="B351" s="27" t="s">
        <v>1105</v>
      </c>
      <c r="C351" s="27" t="s">
        <v>1106</v>
      </c>
      <c r="D351" s="27" t="s">
        <v>1107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10.0</v>
      </c>
      <c r="K351" s="33" t="n">
        <f>3987</f>
        <v>3987.0</v>
      </c>
      <c r="L351" s="34" t="s">
        <v>48</v>
      </c>
      <c r="M351" s="33" t="n">
        <f>4039</f>
        <v>4039.0</v>
      </c>
      <c r="N351" s="34" t="s">
        <v>61</v>
      </c>
      <c r="O351" s="33" t="n">
        <f>3897</f>
        <v>3897.0</v>
      </c>
      <c r="P351" s="34" t="s">
        <v>108</v>
      </c>
      <c r="Q351" s="33" t="n">
        <f>4008</f>
        <v>4008.0</v>
      </c>
      <c r="R351" s="34" t="s">
        <v>61</v>
      </c>
      <c r="S351" s="35" t="n">
        <f>3962.47</f>
        <v>3962.47</v>
      </c>
      <c r="T351" s="32" t="n">
        <f>1649300</f>
        <v>1649300.0</v>
      </c>
      <c r="U351" s="32" t="n">
        <f>1550010</f>
        <v>1550010.0</v>
      </c>
      <c r="V351" s="32" t="n">
        <f>6518298140</f>
        <v>6.51829814E9</v>
      </c>
      <c r="W351" s="32" t="n">
        <f>6125881530</f>
        <v>6.12588153E9</v>
      </c>
      <c r="X351" s="36" t="n">
        <f>17</f>
        <v>17.0</v>
      </c>
    </row>
    <row r="352">
      <c r="A352" s="27" t="s">
        <v>42</v>
      </c>
      <c r="B352" s="27" t="s">
        <v>1108</v>
      </c>
      <c r="C352" s="27" t="s">
        <v>1109</v>
      </c>
      <c r="D352" s="27" t="s">
        <v>1110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10.0</v>
      </c>
      <c r="K352" s="33" t="n">
        <f>5155</f>
        <v>5155.0</v>
      </c>
      <c r="L352" s="34" t="s">
        <v>48</v>
      </c>
      <c r="M352" s="33" t="n">
        <f>5215</f>
        <v>5215.0</v>
      </c>
      <c r="N352" s="34" t="s">
        <v>54</v>
      </c>
      <c r="O352" s="33" t="n">
        <f>5055</f>
        <v>5055.0</v>
      </c>
      <c r="P352" s="34" t="s">
        <v>50</v>
      </c>
      <c r="Q352" s="33" t="n">
        <f>5061</f>
        <v>5061.0</v>
      </c>
      <c r="R352" s="34" t="s">
        <v>50</v>
      </c>
      <c r="S352" s="35" t="n">
        <f>5134.6</f>
        <v>5134.6</v>
      </c>
      <c r="T352" s="32" t="n">
        <f>49910</f>
        <v>49910.0</v>
      </c>
      <c r="U352" s="32" t="n">
        <f>23860</f>
        <v>23860.0</v>
      </c>
      <c r="V352" s="32" t="n">
        <f>256893270</f>
        <v>2.5689327E8</v>
      </c>
      <c r="W352" s="32" t="n">
        <f>123118200</f>
        <v>1.231182E8</v>
      </c>
      <c r="X352" s="36" t="n">
        <f>20</f>
        <v>20.0</v>
      </c>
    </row>
    <row r="353">
      <c r="A353" s="27" t="s">
        <v>42</v>
      </c>
      <c r="B353" s="27" t="s">
        <v>1111</v>
      </c>
      <c r="C353" s="27" t="s">
        <v>1112</v>
      </c>
      <c r="D353" s="27" t="s">
        <v>1113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10.0</v>
      </c>
      <c r="K353" s="33" t="n">
        <f>2560</f>
        <v>2560.0</v>
      </c>
      <c r="L353" s="34" t="s">
        <v>48</v>
      </c>
      <c r="M353" s="33" t="n">
        <f>2715</f>
        <v>2715.0</v>
      </c>
      <c r="N353" s="34" t="s">
        <v>87</v>
      </c>
      <c r="O353" s="33" t="n">
        <f>2550.5</f>
        <v>2550.5</v>
      </c>
      <c r="P353" s="34" t="s">
        <v>48</v>
      </c>
      <c r="Q353" s="33" t="n">
        <f>2661</f>
        <v>2661.0</v>
      </c>
      <c r="R353" s="34" t="s">
        <v>50</v>
      </c>
      <c r="S353" s="35" t="n">
        <f>2659.6</f>
        <v>2659.6</v>
      </c>
      <c r="T353" s="32" t="n">
        <f>3117670</f>
        <v>3117670.0</v>
      </c>
      <c r="U353" s="32" t="n">
        <f>2253400</f>
        <v>2253400.0</v>
      </c>
      <c r="V353" s="32" t="n">
        <f>8184118485</f>
        <v>8.184118485E9</v>
      </c>
      <c r="W353" s="32" t="n">
        <f>5891682665</f>
        <v>5.891682665E9</v>
      </c>
      <c r="X353" s="36" t="n">
        <f>20</f>
        <v>20.0</v>
      </c>
    </row>
    <row r="354">
      <c r="A354" s="27" t="s">
        <v>42</v>
      </c>
      <c r="B354" s="27" t="s">
        <v>1114</v>
      </c>
      <c r="C354" s="27" t="s">
        <v>1115</v>
      </c>
      <c r="D354" s="27" t="s">
        <v>1116</v>
      </c>
      <c r="E354" s="28" t="s">
        <v>46</v>
      </c>
      <c r="F354" s="29" t="s">
        <v>46</v>
      </c>
      <c r="G354" s="30" t="s">
        <v>46</v>
      </c>
      <c r="H354" s="31"/>
      <c r="I354" s="31" t="s">
        <v>47</v>
      </c>
      <c r="J354" s="32" t="n">
        <v>10.0</v>
      </c>
      <c r="K354" s="33" t="n">
        <f>2158</f>
        <v>2158.0</v>
      </c>
      <c r="L354" s="34" t="s">
        <v>48</v>
      </c>
      <c r="M354" s="33" t="n">
        <f>2318</f>
        <v>2318.0</v>
      </c>
      <c r="N354" s="34" t="s">
        <v>162</v>
      </c>
      <c r="O354" s="33" t="n">
        <f>2143.5</f>
        <v>2143.5</v>
      </c>
      <c r="P354" s="34" t="s">
        <v>121</v>
      </c>
      <c r="Q354" s="33" t="n">
        <f>2311</f>
        <v>2311.0</v>
      </c>
      <c r="R354" s="34" t="s">
        <v>50</v>
      </c>
      <c r="S354" s="35" t="n">
        <f>2258.5</f>
        <v>2258.5</v>
      </c>
      <c r="T354" s="32" t="n">
        <f>3593190</f>
        <v>3593190.0</v>
      </c>
      <c r="U354" s="32" t="n">
        <f>2486010</f>
        <v>2486010.0</v>
      </c>
      <c r="V354" s="32" t="n">
        <f>8001371392</f>
        <v>8.001371392E9</v>
      </c>
      <c r="W354" s="32" t="n">
        <f>5507449307</f>
        <v>5.507449307E9</v>
      </c>
      <c r="X354" s="36" t="n">
        <f>20</f>
        <v>20.0</v>
      </c>
    </row>
    <row r="355">
      <c r="A355" s="27" t="s">
        <v>42</v>
      </c>
      <c r="B355" s="27" t="s">
        <v>1117</v>
      </c>
      <c r="C355" s="27" t="s">
        <v>1118</v>
      </c>
      <c r="D355" s="27" t="s">
        <v>1119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1.0</v>
      </c>
      <c r="K355" s="33" t="n">
        <f>1851</f>
        <v>1851.0</v>
      </c>
      <c r="L355" s="34" t="s">
        <v>48</v>
      </c>
      <c r="M355" s="33" t="n">
        <f>1916</f>
        <v>1916.0</v>
      </c>
      <c r="N355" s="34" t="s">
        <v>54</v>
      </c>
      <c r="O355" s="33" t="n">
        <f>1843</f>
        <v>1843.0</v>
      </c>
      <c r="P355" s="34" t="s">
        <v>48</v>
      </c>
      <c r="Q355" s="33" t="n">
        <f>1873</f>
        <v>1873.0</v>
      </c>
      <c r="R355" s="34" t="s">
        <v>50</v>
      </c>
      <c r="S355" s="35" t="n">
        <f>1872.68</f>
        <v>1872.68</v>
      </c>
      <c r="T355" s="32" t="n">
        <f>17259</f>
        <v>17259.0</v>
      </c>
      <c r="U355" s="32" t="str">
        <f>"－"</f>
        <v>－</v>
      </c>
      <c r="V355" s="32" t="n">
        <f>32374259</f>
        <v>3.2374259E7</v>
      </c>
      <c r="W355" s="32" t="str">
        <f>"－"</f>
        <v>－</v>
      </c>
      <c r="X355" s="36" t="n">
        <f>19</f>
        <v>19.0</v>
      </c>
    </row>
    <row r="356">
      <c r="A356" s="27" t="s">
        <v>42</v>
      </c>
      <c r="B356" s="27" t="s">
        <v>1120</v>
      </c>
      <c r="C356" s="27" t="s">
        <v>1121</v>
      </c>
      <c r="D356" s="27" t="s">
        <v>1122</v>
      </c>
      <c r="E356" s="28" t="s">
        <v>46</v>
      </c>
      <c r="F356" s="29" t="s">
        <v>46</v>
      </c>
      <c r="G356" s="30" t="s">
        <v>46</v>
      </c>
      <c r="H356" s="31"/>
      <c r="I356" s="31" t="s">
        <v>47</v>
      </c>
      <c r="J356" s="32" t="n">
        <v>1.0</v>
      </c>
      <c r="K356" s="33" t="n">
        <f>2043</f>
        <v>2043.0</v>
      </c>
      <c r="L356" s="34" t="s">
        <v>48</v>
      </c>
      <c r="M356" s="33" t="n">
        <f>2128</f>
        <v>2128.0</v>
      </c>
      <c r="N356" s="34" t="s">
        <v>49</v>
      </c>
      <c r="O356" s="33" t="n">
        <f>2037</f>
        <v>2037.0</v>
      </c>
      <c r="P356" s="34" t="s">
        <v>61</v>
      </c>
      <c r="Q356" s="33" t="n">
        <f>2046</f>
        <v>2046.0</v>
      </c>
      <c r="R356" s="34" t="s">
        <v>50</v>
      </c>
      <c r="S356" s="35" t="n">
        <f>2067.95</f>
        <v>2067.95</v>
      </c>
      <c r="T356" s="32" t="n">
        <f>232232</f>
        <v>232232.0</v>
      </c>
      <c r="U356" s="32" t="n">
        <f>190000</f>
        <v>190000.0</v>
      </c>
      <c r="V356" s="32" t="n">
        <f>481017842</f>
        <v>4.81017842E8</v>
      </c>
      <c r="W356" s="32" t="n">
        <f>393184286</f>
        <v>3.93184286E8</v>
      </c>
      <c r="X356" s="36" t="n">
        <f>20</f>
        <v>20.0</v>
      </c>
    </row>
    <row r="357">
      <c r="A357" s="27" t="s">
        <v>42</v>
      </c>
      <c r="B357" s="27" t="s">
        <v>1123</v>
      </c>
      <c r="C357" s="27" t="s">
        <v>1124</v>
      </c>
      <c r="D357" s="27" t="s">
        <v>1125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1.0</v>
      </c>
      <c r="K357" s="33" t="n">
        <f>4265</f>
        <v>4265.0</v>
      </c>
      <c r="L357" s="34" t="s">
        <v>48</v>
      </c>
      <c r="M357" s="33" t="n">
        <f>4400</f>
        <v>4400.0</v>
      </c>
      <c r="N357" s="34" t="s">
        <v>104</v>
      </c>
      <c r="O357" s="33" t="n">
        <f>4265</f>
        <v>4265.0</v>
      </c>
      <c r="P357" s="34" t="s">
        <v>48</v>
      </c>
      <c r="Q357" s="33" t="n">
        <f>4330</f>
        <v>4330.0</v>
      </c>
      <c r="R357" s="34" t="s">
        <v>50</v>
      </c>
      <c r="S357" s="35" t="n">
        <f>4329.5</f>
        <v>4329.5</v>
      </c>
      <c r="T357" s="32" t="n">
        <f>48689</f>
        <v>48689.0</v>
      </c>
      <c r="U357" s="32" t="n">
        <f>30000</f>
        <v>30000.0</v>
      </c>
      <c r="V357" s="32" t="n">
        <f>210561845</f>
        <v>2.10561845E8</v>
      </c>
      <c r="W357" s="32" t="n">
        <f>129689000</f>
        <v>1.29689E8</v>
      </c>
      <c r="X357" s="36" t="n">
        <f>20</f>
        <v>20.0</v>
      </c>
    </row>
    <row r="358">
      <c r="A358" s="27" t="s">
        <v>42</v>
      </c>
      <c r="B358" s="27" t="s">
        <v>1126</v>
      </c>
      <c r="C358" s="27" t="s">
        <v>1127</v>
      </c>
      <c r="D358" s="27" t="s">
        <v>1128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10.0</v>
      </c>
      <c r="K358" s="33" t="n">
        <f>2767.5</f>
        <v>2767.5</v>
      </c>
      <c r="L358" s="34" t="s">
        <v>69</v>
      </c>
      <c r="M358" s="33" t="n">
        <f>2836</f>
        <v>2836.0</v>
      </c>
      <c r="N358" s="34" t="s">
        <v>54</v>
      </c>
      <c r="O358" s="33" t="n">
        <f>2730.5</f>
        <v>2730.5</v>
      </c>
      <c r="P358" s="34" t="s">
        <v>235</v>
      </c>
      <c r="Q358" s="33" t="n">
        <f>2735</f>
        <v>2735.0</v>
      </c>
      <c r="R358" s="34" t="s">
        <v>257</v>
      </c>
      <c r="S358" s="35" t="n">
        <f>2781.85</f>
        <v>2781.85</v>
      </c>
      <c r="T358" s="32" t="n">
        <f>8160</f>
        <v>8160.0</v>
      </c>
      <c r="U358" s="32" t="str">
        <f>"－"</f>
        <v>－</v>
      </c>
      <c r="V358" s="32" t="n">
        <f>22624545</f>
        <v>2.2624545E7</v>
      </c>
      <c r="W358" s="32" t="str">
        <f>"－"</f>
        <v>－</v>
      </c>
      <c r="X358" s="36" t="n">
        <f>10</f>
        <v>10.0</v>
      </c>
    </row>
    <row r="359">
      <c r="A359" s="27" t="s">
        <v>42</v>
      </c>
      <c r="B359" s="27" t="s">
        <v>1129</v>
      </c>
      <c r="C359" s="27" t="s">
        <v>1130</v>
      </c>
      <c r="D359" s="27" t="s">
        <v>1131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10.0</v>
      </c>
      <c r="K359" s="33" t="n">
        <f>264.1</f>
        <v>264.1</v>
      </c>
      <c r="L359" s="34" t="s">
        <v>48</v>
      </c>
      <c r="M359" s="33" t="n">
        <f>279.6</f>
        <v>279.6</v>
      </c>
      <c r="N359" s="34" t="s">
        <v>87</v>
      </c>
      <c r="O359" s="33" t="n">
        <f>263.8</f>
        <v>263.8</v>
      </c>
      <c r="P359" s="34" t="s">
        <v>48</v>
      </c>
      <c r="Q359" s="33" t="n">
        <f>270.3</f>
        <v>270.3</v>
      </c>
      <c r="R359" s="34" t="s">
        <v>50</v>
      </c>
      <c r="S359" s="35" t="n">
        <f>271.18</f>
        <v>271.18</v>
      </c>
      <c r="T359" s="32" t="n">
        <f>6600</f>
        <v>6600.0</v>
      </c>
      <c r="U359" s="32" t="str">
        <f>"－"</f>
        <v>－</v>
      </c>
      <c r="V359" s="32" t="n">
        <f>1792783</f>
        <v>1792783.0</v>
      </c>
      <c r="W359" s="32" t="str">
        <f>"－"</f>
        <v>－</v>
      </c>
      <c r="X359" s="36" t="n">
        <f>20</f>
        <v>20.0</v>
      </c>
    </row>
    <row r="360">
      <c r="A360" s="27" t="s">
        <v>42</v>
      </c>
      <c r="B360" s="27" t="s">
        <v>1132</v>
      </c>
      <c r="C360" s="27" t="s">
        <v>1133</v>
      </c>
      <c r="D360" s="27" t="s">
        <v>1134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10.0</v>
      </c>
      <c r="K360" s="33" t="n">
        <f>166.9</f>
        <v>166.9</v>
      </c>
      <c r="L360" s="34" t="s">
        <v>48</v>
      </c>
      <c r="M360" s="33" t="n">
        <f>169</f>
        <v>169.0</v>
      </c>
      <c r="N360" s="34" t="s">
        <v>69</v>
      </c>
      <c r="O360" s="33" t="n">
        <f>162.2</f>
        <v>162.2</v>
      </c>
      <c r="P360" s="34" t="s">
        <v>108</v>
      </c>
      <c r="Q360" s="33" t="n">
        <f>164.8</f>
        <v>164.8</v>
      </c>
      <c r="R360" s="34" t="s">
        <v>50</v>
      </c>
      <c r="S360" s="35" t="n">
        <f>164.7</f>
        <v>164.7</v>
      </c>
      <c r="T360" s="32" t="n">
        <f>27250</f>
        <v>27250.0</v>
      </c>
      <c r="U360" s="32" t="str">
        <f>"－"</f>
        <v>－</v>
      </c>
      <c r="V360" s="32" t="n">
        <f>4496048</f>
        <v>4496048.0</v>
      </c>
      <c r="W360" s="32" t="str">
        <f>"－"</f>
        <v>－</v>
      </c>
      <c r="X360" s="36" t="n">
        <f>20</f>
        <v>20.0</v>
      </c>
    </row>
    <row r="361">
      <c r="A361" s="27" t="s">
        <v>42</v>
      </c>
      <c r="B361" s="27" t="s">
        <v>1135</v>
      </c>
      <c r="C361" s="27" t="s">
        <v>1136</v>
      </c>
      <c r="D361" s="27" t="s">
        <v>1137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10.0</v>
      </c>
      <c r="K361" s="33" t="n">
        <f>660</f>
        <v>660.0</v>
      </c>
      <c r="L361" s="34" t="s">
        <v>69</v>
      </c>
      <c r="M361" s="33" t="n">
        <f>670.5</f>
        <v>670.5</v>
      </c>
      <c r="N361" s="34" t="s">
        <v>257</v>
      </c>
      <c r="O361" s="33" t="n">
        <f>658.6</f>
        <v>658.6</v>
      </c>
      <c r="P361" s="34" t="s">
        <v>65</v>
      </c>
      <c r="Q361" s="33" t="n">
        <f>665.4</f>
        <v>665.4</v>
      </c>
      <c r="R361" s="34" t="s">
        <v>162</v>
      </c>
      <c r="S361" s="35" t="n">
        <f>663.44</f>
        <v>663.44</v>
      </c>
      <c r="T361" s="32" t="n">
        <f>10970</f>
        <v>10970.0</v>
      </c>
      <c r="U361" s="32" t="n">
        <f>10090</f>
        <v>10090.0</v>
      </c>
      <c r="V361" s="32" t="n">
        <f>7276928</f>
        <v>7276928.0</v>
      </c>
      <c r="W361" s="32" t="n">
        <f>6694715</f>
        <v>6694715.0</v>
      </c>
      <c r="X361" s="36" t="n">
        <f>7</f>
        <v>7.0</v>
      </c>
    </row>
    <row r="362">
      <c r="A362" s="27" t="s">
        <v>42</v>
      </c>
      <c r="B362" s="27" t="s">
        <v>1138</v>
      </c>
      <c r="C362" s="27" t="s">
        <v>1139</v>
      </c>
      <c r="D362" s="27" t="s">
        <v>1140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1.0</v>
      </c>
      <c r="K362" s="33" t="n">
        <f>1535</f>
        <v>1535.0</v>
      </c>
      <c r="L362" s="34" t="s">
        <v>48</v>
      </c>
      <c r="M362" s="33" t="n">
        <f>1571</f>
        <v>1571.0</v>
      </c>
      <c r="N362" s="34" t="s">
        <v>49</v>
      </c>
      <c r="O362" s="33" t="n">
        <f>1480</f>
        <v>1480.0</v>
      </c>
      <c r="P362" s="34" t="s">
        <v>48</v>
      </c>
      <c r="Q362" s="33" t="n">
        <f>1516</f>
        <v>1516.0</v>
      </c>
      <c r="R362" s="34" t="s">
        <v>50</v>
      </c>
      <c r="S362" s="35" t="n">
        <f>1515.7</f>
        <v>1515.7</v>
      </c>
      <c r="T362" s="32" t="n">
        <f>649423</f>
        <v>649423.0</v>
      </c>
      <c r="U362" s="32" t="n">
        <f>160371</f>
        <v>160371.0</v>
      </c>
      <c r="V362" s="32" t="n">
        <f>983090983</f>
        <v>9.83090983E8</v>
      </c>
      <c r="W362" s="32" t="n">
        <f>244083036</f>
        <v>2.44083036E8</v>
      </c>
      <c r="X362" s="36" t="n">
        <f>20</f>
        <v>20.0</v>
      </c>
    </row>
    <row r="363">
      <c r="A363" s="27" t="s">
        <v>42</v>
      </c>
      <c r="B363" s="27" t="s">
        <v>1141</v>
      </c>
      <c r="C363" s="27" t="s">
        <v>1142</v>
      </c>
      <c r="D363" s="27" t="s">
        <v>1143</v>
      </c>
      <c r="E363" s="28" t="s">
        <v>46</v>
      </c>
      <c r="F363" s="29" t="s">
        <v>46</v>
      </c>
      <c r="G363" s="30" t="s">
        <v>46</v>
      </c>
      <c r="H363" s="31"/>
      <c r="I363" s="31" t="s">
        <v>47</v>
      </c>
      <c r="J363" s="32" t="n">
        <v>1.0</v>
      </c>
      <c r="K363" s="33" t="n">
        <f>878</f>
        <v>878.0</v>
      </c>
      <c r="L363" s="34" t="s">
        <v>48</v>
      </c>
      <c r="M363" s="33" t="n">
        <f>896</f>
        <v>896.0</v>
      </c>
      <c r="N363" s="34" t="s">
        <v>69</v>
      </c>
      <c r="O363" s="33" t="n">
        <f>862</f>
        <v>862.0</v>
      </c>
      <c r="P363" s="34" t="s">
        <v>108</v>
      </c>
      <c r="Q363" s="33" t="n">
        <f>870</f>
        <v>870.0</v>
      </c>
      <c r="R363" s="34" t="s">
        <v>50</v>
      </c>
      <c r="S363" s="35" t="n">
        <f>874.5</f>
        <v>874.5</v>
      </c>
      <c r="T363" s="32" t="n">
        <f>66842</f>
        <v>66842.0</v>
      </c>
      <c r="U363" s="32" t="n">
        <f>2</f>
        <v>2.0</v>
      </c>
      <c r="V363" s="32" t="n">
        <f>58614164</f>
        <v>5.8614164E7</v>
      </c>
      <c r="W363" s="32" t="n">
        <f>1756</f>
        <v>1756.0</v>
      </c>
      <c r="X363" s="36" t="n">
        <f>20</f>
        <v>20.0</v>
      </c>
    </row>
    <row r="364">
      <c r="A364" s="27" t="s">
        <v>42</v>
      </c>
      <c r="B364" s="27" t="s">
        <v>1144</v>
      </c>
      <c r="C364" s="27" t="s">
        <v>1145</v>
      </c>
      <c r="D364" s="27" t="s">
        <v>1146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10.0</v>
      </c>
      <c r="K364" s="33" t="n">
        <f>690.1</f>
        <v>690.1</v>
      </c>
      <c r="L364" s="34" t="s">
        <v>48</v>
      </c>
      <c r="M364" s="33" t="n">
        <f>693.3</f>
        <v>693.3</v>
      </c>
      <c r="N364" s="34" t="s">
        <v>121</v>
      </c>
      <c r="O364" s="33" t="n">
        <f>685.2</f>
        <v>685.2</v>
      </c>
      <c r="P364" s="34" t="s">
        <v>104</v>
      </c>
      <c r="Q364" s="33" t="n">
        <f>692.8</f>
        <v>692.8</v>
      </c>
      <c r="R364" s="34" t="s">
        <v>50</v>
      </c>
      <c r="S364" s="35" t="n">
        <f>688.88</f>
        <v>688.88</v>
      </c>
      <c r="T364" s="32" t="n">
        <f>6352480</f>
        <v>6352480.0</v>
      </c>
      <c r="U364" s="32" t="n">
        <f>5102400</f>
        <v>5102400.0</v>
      </c>
      <c r="V364" s="32" t="n">
        <f>4360453951</f>
        <v>4.360453951E9</v>
      </c>
      <c r="W364" s="32" t="n">
        <f>3499856484</f>
        <v>3.499856484E9</v>
      </c>
      <c r="X364" s="36" t="n">
        <f>20</f>
        <v>20.0</v>
      </c>
    </row>
    <row r="365">
      <c r="A365" s="27" t="s">
        <v>42</v>
      </c>
      <c r="B365" s="27" t="s">
        <v>1147</v>
      </c>
      <c r="C365" s="27" t="s">
        <v>1148</v>
      </c>
      <c r="D365" s="27" t="s">
        <v>1149</v>
      </c>
      <c r="E365" s="28" t="s">
        <v>46</v>
      </c>
      <c r="F365" s="29" t="s">
        <v>46</v>
      </c>
      <c r="G365" s="30" t="s">
        <v>46</v>
      </c>
      <c r="H365" s="31"/>
      <c r="I365" s="31" t="s">
        <v>47</v>
      </c>
      <c r="J365" s="32" t="n">
        <v>10.0</v>
      </c>
      <c r="K365" s="33" t="n">
        <f>684.9</f>
        <v>684.9</v>
      </c>
      <c r="L365" s="34" t="s">
        <v>48</v>
      </c>
      <c r="M365" s="33" t="n">
        <f>697.3</f>
        <v>697.3</v>
      </c>
      <c r="N365" s="34" t="s">
        <v>50</v>
      </c>
      <c r="O365" s="33" t="n">
        <f>677.5</f>
        <v>677.5</v>
      </c>
      <c r="P365" s="34" t="s">
        <v>69</v>
      </c>
      <c r="Q365" s="33" t="n">
        <f>694.4</f>
        <v>694.4</v>
      </c>
      <c r="R365" s="34" t="s">
        <v>50</v>
      </c>
      <c r="S365" s="35" t="n">
        <f>685.57</f>
        <v>685.57</v>
      </c>
      <c r="T365" s="32" t="n">
        <f>2903600</f>
        <v>2903600.0</v>
      </c>
      <c r="U365" s="32" t="n">
        <f>2839880</f>
        <v>2839880.0</v>
      </c>
      <c r="V365" s="32" t="n">
        <f>1985992883</f>
        <v>1.985992883E9</v>
      </c>
      <c r="W365" s="32" t="n">
        <f>1942218230</f>
        <v>1.94221823E9</v>
      </c>
      <c r="X365" s="36" t="n">
        <f>17</f>
        <v>17.0</v>
      </c>
    </row>
    <row r="366">
      <c r="A366" s="27" t="s">
        <v>42</v>
      </c>
      <c r="B366" s="27" t="s">
        <v>1150</v>
      </c>
      <c r="C366" s="27" t="s">
        <v>1151</v>
      </c>
      <c r="D366" s="27" t="s">
        <v>1152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1.0</v>
      </c>
      <c r="K366" s="33" t="n">
        <f>1150</f>
        <v>1150.0</v>
      </c>
      <c r="L366" s="34" t="s">
        <v>48</v>
      </c>
      <c r="M366" s="33" t="n">
        <f>1240</f>
        <v>1240.0</v>
      </c>
      <c r="N366" s="34" t="s">
        <v>73</v>
      </c>
      <c r="O366" s="33" t="n">
        <f>1086</f>
        <v>1086.0</v>
      </c>
      <c r="P366" s="34" t="s">
        <v>54</v>
      </c>
      <c r="Q366" s="33" t="n">
        <f>1157</f>
        <v>1157.0</v>
      </c>
      <c r="R366" s="34" t="s">
        <v>50</v>
      </c>
      <c r="S366" s="35" t="n">
        <f>1158.3</f>
        <v>1158.3</v>
      </c>
      <c r="T366" s="32" t="n">
        <f>23709</f>
        <v>23709.0</v>
      </c>
      <c r="U366" s="32" t="str">
        <f>"－"</f>
        <v>－</v>
      </c>
      <c r="V366" s="32" t="n">
        <f>27485447</f>
        <v>2.7485447E7</v>
      </c>
      <c r="W366" s="32" t="str">
        <f>"－"</f>
        <v>－</v>
      </c>
      <c r="X366" s="36" t="n">
        <f>20</f>
        <v>20.0</v>
      </c>
    </row>
    <row r="367">
      <c r="A367" s="27" t="s">
        <v>42</v>
      </c>
      <c r="B367" s="27" t="s">
        <v>1153</v>
      </c>
      <c r="C367" s="27" t="s">
        <v>1154</v>
      </c>
      <c r="D367" s="27" t="s">
        <v>1155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10.0</v>
      </c>
      <c r="K367" s="33" t="n">
        <f>2510</f>
        <v>2510.0</v>
      </c>
      <c r="L367" s="34" t="s">
        <v>48</v>
      </c>
      <c r="M367" s="33" t="n">
        <f>2550.5</f>
        <v>2550.5</v>
      </c>
      <c r="N367" s="34" t="s">
        <v>69</v>
      </c>
      <c r="O367" s="33" t="n">
        <f>2460</f>
        <v>2460.0</v>
      </c>
      <c r="P367" s="34" t="s">
        <v>108</v>
      </c>
      <c r="Q367" s="33" t="n">
        <f>2476</f>
        <v>2476.0</v>
      </c>
      <c r="R367" s="34" t="s">
        <v>50</v>
      </c>
      <c r="S367" s="35" t="n">
        <f>2492.08</f>
        <v>2492.08</v>
      </c>
      <c r="T367" s="32" t="n">
        <f>84540</f>
        <v>84540.0</v>
      </c>
      <c r="U367" s="32" t="str">
        <f>"－"</f>
        <v>－</v>
      </c>
      <c r="V367" s="32" t="n">
        <f>211354785</f>
        <v>2.11354785E8</v>
      </c>
      <c r="W367" s="32" t="str">
        <f>"－"</f>
        <v>－</v>
      </c>
      <c r="X367" s="36" t="n">
        <f>20</f>
        <v>20.0</v>
      </c>
    </row>
    <row r="368">
      <c r="A368" s="27" t="s">
        <v>42</v>
      </c>
      <c r="B368" s="27" t="s">
        <v>1156</v>
      </c>
      <c r="C368" s="27" t="s">
        <v>1157</v>
      </c>
      <c r="D368" s="27" t="s">
        <v>1158</v>
      </c>
      <c r="E368" s="28" t="s">
        <v>46</v>
      </c>
      <c r="F368" s="29" t="s">
        <v>46</v>
      </c>
      <c r="G368" s="30" t="s">
        <v>46</v>
      </c>
      <c r="H368" s="31"/>
      <c r="I368" s="31" t="s">
        <v>47</v>
      </c>
      <c r="J368" s="32" t="n">
        <v>10.0</v>
      </c>
      <c r="K368" s="33" t="n">
        <f>2598.5</f>
        <v>2598.5</v>
      </c>
      <c r="L368" s="34" t="s">
        <v>48</v>
      </c>
      <c r="M368" s="33" t="n">
        <f>2670.5</f>
        <v>2670.5</v>
      </c>
      <c r="N368" s="34" t="s">
        <v>49</v>
      </c>
      <c r="O368" s="33" t="n">
        <f>2580</f>
        <v>2580.0</v>
      </c>
      <c r="P368" s="34" t="s">
        <v>108</v>
      </c>
      <c r="Q368" s="33" t="n">
        <f>2638</f>
        <v>2638.0</v>
      </c>
      <c r="R368" s="34" t="s">
        <v>50</v>
      </c>
      <c r="S368" s="35" t="n">
        <f>2611.22</f>
        <v>2611.22</v>
      </c>
      <c r="T368" s="32" t="n">
        <f>23320</f>
        <v>23320.0</v>
      </c>
      <c r="U368" s="32" t="str">
        <f>"－"</f>
        <v>－</v>
      </c>
      <c r="V368" s="32" t="n">
        <f>60817840</f>
        <v>6.081784E7</v>
      </c>
      <c r="W368" s="32" t="str">
        <f>"－"</f>
        <v>－</v>
      </c>
      <c r="X368" s="36" t="n">
        <f>18</f>
        <v>18.0</v>
      </c>
    </row>
    <row r="369">
      <c r="A369" s="27" t="s">
        <v>42</v>
      </c>
      <c r="B369" s="27" t="s">
        <v>1159</v>
      </c>
      <c r="C369" s="27" t="s">
        <v>1160</v>
      </c>
      <c r="D369" s="27" t="s">
        <v>1161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10.0</v>
      </c>
      <c r="K369" s="33" t="n">
        <f>5410</f>
        <v>5410.0</v>
      </c>
      <c r="L369" s="34" t="s">
        <v>73</v>
      </c>
      <c r="M369" s="33" t="n">
        <f>5410</f>
        <v>5410.0</v>
      </c>
      <c r="N369" s="34" t="s">
        <v>73</v>
      </c>
      <c r="O369" s="33" t="n">
        <f>5260</f>
        <v>5260.0</v>
      </c>
      <c r="P369" s="34" t="s">
        <v>50</v>
      </c>
      <c r="Q369" s="33" t="n">
        <f>5267</f>
        <v>5267.0</v>
      </c>
      <c r="R369" s="34" t="s">
        <v>50</v>
      </c>
      <c r="S369" s="35" t="n">
        <f>5336.09</f>
        <v>5336.09</v>
      </c>
      <c r="T369" s="32" t="n">
        <f>3610</f>
        <v>3610.0</v>
      </c>
      <c r="U369" s="32" t="str">
        <f>"－"</f>
        <v>－</v>
      </c>
      <c r="V369" s="32" t="n">
        <f>19055420</f>
        <v>1.905542E7</v>
      </c>
      <c r="W369" s="32" t="str">
        <f>"－"</f>
        <v>－</v>
      </c>
      <c r="X369" s="36" t="n">
        <f>11</f>
        <v>11.0</v>
      </c>
    </row>
    <row r="370">
      <c r="A370" s="27" t="s">
        <v>42</v>
      </c>
      <c r="B370" s="27" t="s">
        <v>1162</v>
      </c>
      <c r="C370" s="27" t="s">
        <v>1163</v>
      </c>
      <c r="D370" s="27" t="s">
        <v>1164</v>
      </c>
      <c r="E370" s="28" t="s">
        <v>46</v>
      </c>
      <c r="F370" s="29" t="s">
        <v>46</v>
      </c>
      <c r="G370" s="30" t="s">
        <v>46</v>
      </c>
      <c r="H370" s="31"/>
      <c r="I370" s="31" t="s">
        <v>47</v>
      </c>
      <c r="J370" s="32" t="n">
        <v>10.0</v>
      </c>
      <c r="K370" s="33" t="n">
        <f>4150</f>
        <v>4150.0</v>
      </c>
      <c r="L370" s="34" t="s">
        <v>54</v>
      </c>
      <c r="M370" s="33" t="n">
        <f>4220</f>
        <v>4220.0</v>
      </c>
      <c r="N370" s="34" t="s">
        <v>50</v>
      </c>
      <c r="O370" s="33" t="n">
        <f>4150</f>
        <v>4150.0</v>
      </c>
      <c r="P370" s="34" t="s">
        <v>54</v>
      </c>
      <c r="Q370" s="33" t="n">
        <f>4220</f>
        <v>4220.0</v>
      </c>
      <c r="R370" s="34" t="s">
        <v>50</v>
      </c>
      <c r="S370" s="35" t="n">
        <f>4184.8</f>
        <v>4184.8</v>
      </c>
      <c r="T370" s="32" t="n">
        <f>740</f>
        <v>740.0</v>
      </c>
      <c r="U370" s="32" t="str">
        <f>"－"</f>
        <v>－</v>
      </c>
      <c r="V370" s="32" t="n">
        <f>3074140</f>
        <v>3074140.0</v>
      </c>
      <c r="W370" s="32" t="str">
        <f>"－"</f>
        <v>－</v>
      </c>
      <c r="X370" s="36" t="n">
        <f>5</f>
        <v>5.0</v>
      </c>
    </row>
    <row r="371">
      <c r="A371" s="27" t="s">
        <v>42</v>
      </c>
      <c r="B371" s="27" t="s">
        <v>1165</v>
      </c>
      <c r="C371" s="27" t="s">
        <v>1166</v>
      </c>
      <c r="D371" s="27" t="s">
        <v>1167</v>
      </c>
      <c r="E371" s="28" t="s">
        <v>46</v>
      </c>
      <c r="F371" s="29" t="s">
        <v>46</v>
      </c>
      <c r="G371" s="30" t="s">
        <v>46</v>
      </c>
      <c r="H371" s="31"/>
      <c r="I371" s="31" t="s">
        <v>47</v>
      </c>
      <c r="J371" s="32" t="n">
        <v>10.0</v>
      </c>
      <c r="K371" s="33" t="n">
        <f>1906</f>
        <v>1906.0</v>
      </c>
      <c r="L371" s="34" t="s">
        <v>121</v>
      </c>
      <c r="M371" s="33" t="n">
        <f>1931</f>
        <v>1931.0</v>
      </c>
      <c r="N371" s="34" t="s">
        <v>50</v>
      </c>
      <c r="O371" s="33" t="n">
        <f>1890</f>
        <v>1890.0</v>
      </c>
      <c r="P371" s="34" t="s">
        <v>69</v>
      </c>
      <c r="Q371" s="33" t="n">
        <f>1931</f>
        <v>1931.0</v>
      </c>
      <c r="R371" s="34" t="s">
        <v>50</v>
      </c>
      <c r="S371" s="35" t="n">
        <f>1908.94</f>
        <v>1908.94</v>
      </c>
      <c r="T371" s="32" t="n">
        <f>2070</f>
        <v>2070.0</v>
      </c>
      <c r="U371" s="32" t="str">
        <f>"－"</f>
        <v>－</v>
      </c>
      <c r="V371" s="32" t="n">
        <f>3939430</f>
        <v>3939430.0</v>
      </c>
      <c r="W371" s="32" t="str">
        <f>"－"</f>
        <v>－</v>
      </c>
      <c r="X371" s="36" t="n">
        <f>9</f>
        <v>9.0</v>
      </c>
    </row>
    <row r="372">
      <c r="A372" s="27" t="s">
        <v>42</v>
      </c>
      <c r="B372" s="27" t="s">
        <v>1168</v>
      </c>
      <c r="C372" s="27" t="s">
        <v>1169</v>
      </c>
      <c r="D372" s="27" t="s">
        <v>1170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1.0</v>
      </c>
      <c r="K372" s="33" t="n">
        <f>1332</f>
        <v>1332.0</v>
      </c>
      <c r="L372" s="34" t="s">
        <v>48</v>
      </c>
      <c r="M372" s="33" t="n">
        <f>1372</f>
        <v>1372.0</v>
      </c>
      <c r="N372" s="34" t="s">
        <v>69</v>
      </c>
      <c r="O372" s="33" t="n">
        <f>1323</f>
        <v>1323.0</v>
      </c>
      <c r="P372" s="34" t="s">
        <v>94</v>
      </c>
      <c r="Q372" s="33" t="n">
        <f>1330</f>
        <v>1330.0</v>
      </c>
      <c r="R372" s="34" t="s">
        <v>50</v>
      </c>
      <c r="S372" s="35" t="n">
        <f>1343</f>
        <v>1343.0</v>
      </c>
      <c r="T372" s="32" t="n">
        <f>73758</f>
        <v>73758.0</v>
      </c>
      <c r="U372" s="32" t="n">
        <f>30000</f>
        <v>30000.0</v>
      </c>
      <c r="V372" s="32" t="n">
        <f>99436184</f>
        <v>9.9436184E7</v>
      </c>
      <c r="W372" s="32" t="n">
        <f>40706307</f>
        <v>4.0706307E7</v>
      </c>
      <c r="X372" s="36" t="n">
        <f>20</f>
        <v>20.0</v>
      </c>
    </row>
    <row r="373">
      <c r="A373" s="27" t="s">
        <v>42</v>
      </c>
      <c r="B373" s="27" t="s">
        <v>1171</v>
      </c>
      <c r="C373" s="27" t="s">
        <v>1172</v>
      </c>
      <c r="D373" s="27" t="s">
        <v>1173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1199</f>
        <v>1199.0</v>
      </c>
      <c r="L373" s="34" t="s">
        <v>48</v>
      </c>
      <c r="M373" s="33" t="n">
        <f>1264</f>
        <v>1264.0</v>
      </c>
      <c r="N373" s="34" t="s">
        <v>104</v>
      </c>
      <c r="O373" s="33" t="n">
        <f>1189</f>
        <v>1189.0</v>
      </c>
      <c r="P373" s="34" t="s">
        <v>48</v>
      </c>
      <c r="Q373" s="33" t="n">
        <f>1201</f>
        <v>1201.0</v>
      </c>
      <c r="R373" s="34" t="s">
        <v>50</v>
      </c>
      <c r="S373" s="35" t="n">
        <f>1229.6</f>
        <v>1229.6</v>
      </c>
      <c r="T373" s="32" t="n">
        <f>4477988</f>
        <v>4477988.0</v>
      </c>
      <c r="U373" s="32" t="n">
        <f>812</f>
        <v>812.0</v>
      </c>
      <c r="V373" s="32" t="n">
        <f>5487074825</f>
        <v>5.487074825E9</v>
      </c>
      <c r="W373" s="32" t="n">
        <f>993837</f>
        <v>993837.0</v>
      </c>
      <c r="X373" s="36" t="n">
        <f>20</f>
        <v>20.0</v>
      </c>
    </row>
    <row r="374">
      <c r="A374" s="27" t="s">
        <v>42</v>
      </c>
      <c r="B374" s="27" t="s">
        <v>1174</v>
      </c>
      <c r="C374" s="27" t="s">
        <v>1175</v>
      </c>
      <c r="D374" s="27" t="s">
        <v>1176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1050</f>
        <v>1050.0</v>
      </c>
      <c r="L374" s="34" t="s">
        <v>48</v>
      </c>
      <c r="M374" s="33" t="n">
        <f>1075</f>
        <v>1075.0</v>
      </c>
      <c r="N374" s="34" t="s">
        <v>69</v>
      </c>
      <c r="O374" s="33" t="n">
        <f>1025</f>
        <v>1025.0</v>
      </c>
      <c r="P374" s="34" t="s">
        <v>50</v>
      </c>
      <c r="Q374" s="33" t="n">
        <f>1028</f>
        <v>1028.0</v>
      </c>
      <c r="R374" s="34" t="s">
        <v>50</v>
      </c>
      <c r="S374" s="35" t="n">
        <f>1055.55</f>
        <v>1055.55</v>
      </c>
      <c r="T374" s="32" t="n">
        <f>618714</f>
        <v>618714.0</v>
      </c>
      <c r="U374" s="32" t="n">
        <f>38</f>
        <v>38.0</v>
      </c>
      <c r="V374" s="32" t="n">
        <f>652027559</f>
        <v>6.52027559E8</v>
      </c>
      <c r="W374" s="32" t="n">
        <f>40320</f>
        <v>40320.0</v>
      </c>
      <c r="X374" s="36" t="n">
        <f>20</f>
        <v>20.0</v>
      </c>
    </row>
    <row r="375">
      <c r="A375" s="27" t="s">
        <v>42</v>
      </c>
      <c r="B375" s="27" t="s">
        <v>1177</v>
      </c>
      <c r="C375" s="27" t="s">
        <v>1178</v>
      </c>
      <c r="D375" s="27" t="s">
        <v>1179</v>
      </c>
      <c r="E375" s="28" t="s">
        <v>46</v>
      </c>
      <c r="F375" s="29" t="s">
        <v>46</v>
      </c>
      <c r="G375" s="30" t="s">
        <v>46</v>
      </c>
      <c r="H375" s="31"/>
      <c r="I375" s="31" t="s">
        <v>47</v>
      </c>
      <c r="J375" s="32" t="n">
        <v>1.0</v>
      </c>
      <c r="K375" s="33" t="n">
        <f>1079</f>
        <v>1079.0</v>
      </c>
      <c r="L375" s="34" t="s">
        <v>48</v>
      </c>
      <c r="M375" s="33" t="n">
        <f>1167</f>
        <v>1167.0</v>
      </c>
      <c r="N375" s="34" t="s">
        <v>49</v>
      </c>
      <c r="O375" s="33" t="n">
        <f>1053</f>
        <v>1053.0</v>
      </c>
      <c r="P375" s="34" t="s">
        <v>48</v>
      </c>
      <c r="Q375" s="33" t="n">
        <f>1102</f>
        <v>1102.0</v>
      </c>
      <c r="R375" s="34" t="s">
        <v>50</v>
      </c>
      <c r="S375" s="35" t="n">
        <f>1125.1</f>
        <v>1125.1</v>
      </c>
      <c r="T375" s="32" t="n">
        <f>13050</f>
        <v>13050.0</v>
      </c>
      <c r="U375" s="32" t="str">
        <f>"－"</f>
        <v>－</v>
      </c>
      <c r="V375" s="32" t="n">
        <f>14713953</f>
        <v>1.4713953E7</v>
      </c>
      <c r="W375" s="32" t="str">
        <f>"－"</f>
        <v>－</v>
      </c>
      <c r="X375" s="36" t="n">
        <f>20</f>
        <v>20.0</v>
      </c>
    </row>
    <row r="376">
      <c r="A376" s="27" t="s">
        <v>42</v>
      </c>
      <c r="B376" s="27" t="s">
        <v>1180</v>
      </c>
      <c r="C376" s="27" t="s">
        <v>1181</v>
      </c>
      <c r="D376" s="27" t="s">
        <v>1182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1074</f>
        <v>1074.0</v>
      </c>
      <c r="L376" s="34" t="s">
        <v>48</v>
      </c>
      <c r="M376" s="33" t="n">
        <f>1136</f>
        <v>1136.0</v>
      </c>
      <c r="N376" s="34" t="s">
        <v>104</v>
      </c>
      <c r="O376" s="33" t="n">
        <f>1071</f>
        <v>1071.0</v>
      </c>
      <c r="P376" s="34" t="s">
        <v>48</v>
      </c>
      <c r="Q376" s="33" t="n">
        <f>1091</f>
        <v>1091.0</v>
      </c>
      <c r="R376" s="34" t="s">
        <v>50</v>
      </c>
      <c r="S376" s="35" t="n">
        <f>1112.65</f>
        <v>1112.65</v>
      </c>
      <c r="T376" s="32" t="n">
        <f>824993</f>
        <v>824993.0</v>
      </c>
      <c r="U376" s="32" t="n">
        <f>220008</f>
        <v>220008.0</v>
      </c>
      <c r="V376" s="32" t="n">
        <f>914101324</f>
        <v>9.14101324E8</v>
      </c>
      <c r="W376" s="32" t="n">
        <f>245700952</f>
        <v>2.45700952E8</v>
      </c>
      <c r="X376" s="36" t="n">
        <f>20</f>
        <v>20.0</v>
      </c>
    </row>
    <row r="377">
      <c r="A377" s="27" t="s">
        <v>42</v>
      </c>
      <c r="B377" s="27" t="s">
        <v>1183</v>
      </c>
      <c r="C377" s="27" t="s">
        <v>1184</v>
      </c>
      <c r="D377" s="27" t="s">
        <v>1185</v>
      </c>
      <c r="E377" s="28" t="s">
        <v>46</v>
      </c>
      <c r="F377" s="29" t="s">
        <v>46</v>
      </c>
      <c r="G377" s="30" t="s">
        <v>46</v>
      </c>
      <c r="H377" s="31"/>
      <c r="I377" s="31" t="s">
        <v>47</v>
      </c>
      <c r="J377" s="32" t="n">
        <v>1.0</v>
      </c>
      <c r="K377" s="33" t="n">
        <f>43080</f>
        <v>43080.0</v>
      </c>
      <c r="L377" s="34" t="s">
        <v>48</v>
      </c>
      <c r="M377" s="33" t="n">
        <f>48610</f>
        <v>48610.0</v>
      </c>
      <c r="N377" s="34" t="s">
        <v>87</v>
      </c>
      <c r="O377" s="33" t="n">
        <f>42900</f>
        <v>42900.0</v>
      </c>
      <c r="P377" s="34" t="s">
        <v>48</v>
      </c>
      <c r="Q377" s="33" t="n">
        <f>46680</f>
        <v>46680.0</v>
      </c>
      <c r="R377" s="34" t="s">
        <v>50</v>
      </c>
      <c r="S377" s="35" t="n">
        <f>46529.5</f>
        <v>46529.5</v>
      </c>
      <c r="T377" s="32" t="n">
        <f>307002</f>
        <v>307002.0</v>
      </c>
      <c r="U377" s="32" t="n">
        <f>3</f>
        <v>3.0</v>
      </c>
      <c r="V377" s="32" t="n">
        <f>14256094500</f>
        <v>1.42560945E10</v>
      </c>
      <c r="W377" s="32" t="n">
        <f>140240</f>
        <v>140240.0</v>
      </c>
      <c r="X377" s="36" t="n">
        <f>20</f>
        <v>20.0</v>
      </c>
    </row>
    <row r="378">
      <c r="A378" s="27" t="s">
        <v>42</v>
      </c>
      <c r="B378" s="27" t="s">
        <v>1186</v>
      </c>
      <c r="C378" s="27" t="s">
        <v>1187</v>
      </c>
      <c r="D378" s="27" t="s">
        <v>1188</v>
      </c>
      <c r="E378" s="28" t="s">
        <v>46</v>
      </c>
      <c r="F378" s="29" t="s">
        <v>46</v>
      </c>
      <c r="G378" s="30" t="s">
        <v>46</v>
      </c>
      <c r="H378" s="31"/>
      <c r="I378" s="31" t="s">
        <v>47</v>
      </c>
      <c r="J378" s="32" t="n">
        <v>1.0</v>
      </c>
      <c r="K378" s="33" t="n">
        <f>19600</f>
        <v>19600.0</v>
      </c>
      <c r="L378" s="34" t="s">
        <v>48</v>
      </c>
      <c r="M378" s="33" t="n">
        <f>19670</f>
        <v>19670.0</v>
      </c>
      <c r="N378" s="34" t="s">
        <v>48</v>
      </c>
      <c r="O378" s="33" t="n">
        <f>17295</f>
        <v>17295.0</v>
      </c>
      <c r="P378" s="34" t="s">
        <v>87</v>
      </c>
      <c r="Q378" s="33" t="n">
        <f>17910</f>
        <v>17910.0</v>
      </c>
      <c r="R378" s="34" t="s">
        <v>50</v>
      </c>
      <c r="S378" s="35" t="n">
        <f>18125</f>
        <v>18125.0</v>
      </c>
      <c r="T378" s="32" t="n">
        <f>280810</f>
        <v>280810.0</v>
      </c>
      <c r="U378" s="32" t="n">
        <f>77</f>
        <v>77.0</v>
      </c>
      <c r="V378" s="32" t="n">
        <f>5110745945</f>
        <v>5.110745945E9</v>
      </c>
      <c r="W378" s="32" t="n">
        <f>1382855</f>
        <v>1382855.0</v>
      </c>
      <c r="X378" s="36" t="n">
        <f>20</f>
        <v>20.0</v>
      </c>
    </row>
    <row r="379">
      <c r="A379" s="27" t="s">
        <v>42</v>
      </c>
      <c r="B379" s="27" t="s">
        <v>1189</v>
      </c>
      <c r="C379" s="27" t="s">
        <v>1190</v>
      </c>
      <c r="D379" s="27" t="s">
        <v>1191</v>
      </c>
      <c r="E379" s="28" t="s">
        <v>46</v>
      </c>
      <c r="F379" s="29" t="s">
        <v>46</v>
      </c>
      <c r="G379" s="30" t="s">
        <v>46</v>
      </c>
      <c r="H379" s="31"/>
      <c r="I379" s="31" t="s">
        <v>47</v>
      </c>
      <c r="J379" s="32" t="n">
        <v>1.0</v>
      </c>
      <c r="K379" s="33" t="n">
        <f>116200</f>
        <v>116200.0</v>
      </c>
      <c r="L379" s="34" t="s">
        <v>48</v>
      </c>
      <c r="M379" s="33" t="n">
        <f>116500</f>
        <v>116500.0</v>
      </c>
      <c r="N379" s="34" t="s">
        <v>48</v>
      </c>
      <c r="O379" s="33" t="n">
        <f>111200</f>
        <v>111200.0</v>
      </c>
      <c r="P379" s="34" t="s">
        <v>54</v>
      </c>
      <c r="Q379" s="33" t="n">
        <f>113800</f>
        <v>113800.0</v>
      </c>
      <c r="R379" s="34" t="s">
        <v>50</v>
      </c>
      <c r="S379" s="35" t="n">
        <f>113510</f>
        <v>113510.0</v>
      </c>
      <c r="T379" s="32" t="n">
        <f>15444</f>
        <v>15444.0</v>
      </c>
      <c r="U379" s="32" t="n">
        <f>3445</f>
        <v>3445.0</v>
      </c>
      <c r="V379" s="32" t="n">
        <f>1752289316</f>
        <v>1.752289316E9</v>
      </c>
      <c r="W379" s="32" t="n">
        <f>390703216</f>
        <v>3.90703216E8</v>
      </c>
      <c r="X379" s="36" t="n">
        <f>20</f>
        <v>20.0</v>
      </c>
    </row>
    <row r="380">
      <c r="A380" s="27" t="s">
        <v>42</v>
      </c>
      <c r="B380" s="27" t="s">
        <v>1192</v>
      </c>
      <c r="C380" s="27" t="s">
        <v>1193</v>
      </c>
      <c r="D380" s="27" t="s">
        <v>1194</v>
      </c>
      <c r="E380" s="28" t="s">
        <v>46</v>
      </c>
      <c r="F380" s="29" t="s">
        <v>46</v>
      </c>
      <c r="G380" s="30" t="s">
        <v>46</v>
      </c>
      <c r="H380" s="31"/>
      <c r="I380" s="31" t="s">
        <v>428</v>
      </c>
      <c r="J380" s="32" t="n">
        <v>1.0</v>
      </c>
      <c r="K380" s="33" t="n">
        <f>78700</f>
        <v>78700.0</v>
      </c>
      <c r="L380" s="34" t="s">
        <v>48</v>
      </c>
      <c r="M380" s="33" t="n">
        <f>79400</f>
        <v>79400.0</v>
      </c>
      <c r="N380" s="34" t="s">
        <v>48</v>
      </c>
      <c r="O380" s="33" t="n">
        <f>75600</f>
        <v>75600.0</v>
      </c>
      <c r="P380" s="34" t="s">
        <v>61</v>
      </c>
      <c r="Q380" s="33" t="n">
        <f>75700</f>
        <v>75700.0</v>
      </c>
      <c r="R380" s="34" t="s">
        <v>50</v>
      </c>
      <c r="S380" s="35" t="n">
        <f>77250</f>
        <v>77250.0</v>
      </c>
      <c r="T380" s="32" t="n">
        <f>40411</f>
        <v>40411.0</v>
      </c>
      <c r="U380" s="32" t="n">
        <f>10624</f>
        <v>10624.0</v>
      </c>
      <c r="V380" s="32" t="n">
        <f>3113132868</f>
        <v>3.113132868E9</v>
      </c>
      <c r="W380" s="32" t="n">
        <f>819430768</f>
        <v>8.19430768E8</v>
      </c>
      <c r="X380" s="36" t="n">
        <f>20</f>
        <v>20.0</v>
      </c>
    </row>
    <row r="381">
      <c r="A381" s="27" t="s">
        <v>42</v>
      </c>
      <c r="B381" s="27" t="s">
        <v>1195</v>
      </c>
      <c r="C381" s="27" t="s">
        <v>1196</v>
      </c>
      <c r="D381" s="27" t="s">
        <v>1197</v>
      </c>
      <c r="E381" s="28" t="s">
        <v>46</v>
      </c>
      <c r="F381" s="29" t="s">
        <v>46</v>
      </c>
      <c r="G381" s="30" t="s">
        <v>46</v>
      </c>
      <c r="H381" s="31"/>
      <c r="I381" s="31" t="s">
        <v>47</v>
      </c>
      <c r="J381" s="32" t="n">
        <v>1.0</v>
      </c>
      <c r="K381" s="33" t="n">
        <f>109800</f>
        <v>109800.0</v>
      </c>
      <c r="L381" s="34" t="s">
        <v>48</v>
      </c>
      <c r="M381" s="33" t="n">
        <f>111700</f>
        <v>111700.0</v>
      </c>
      <c r="N381" s="34" t="s">
        <v>158</v>
      </c>
      <c r="O381" s="33" t="n">
        <f>106400</f>
        <v>106400.0</v>
      </c>
      <c r="P381" s="34" t="s">
        <v>108</v>
      </c>
      <c r="Q381" s="33" t="n">
        <f>107200</f>
        <v>107200.0</v>
      </c>
      <c r="R381" s="34" t="s">
        <v>50</v>
      </c>
      <c r="S381" s="35" t="n">
        <f>108890</f>
        <v>108890.0</v>
      </c>
      <c r="T381" s="32" t="n">
        <f>53131</f>
        <v>53131.0</v>
      </c>
      <c r="U381" s="32" t="n">
        <f>8196</f>
        <v>8196.0</v>
      </c>
      <c r="V381" s="32" t="n">
        <f>5793029128</f>
        <v>5.793029128E9</v>
      </c>
      <c r="W381" s="32" t="n">
        <f>892492528</f>
        <v>8.92492528E8</v>
      </c>
      <c r="X381" s="36" t="n">
        <f>20</f>
        <v>20.0</v>
      </c>
    </row>
    <row r="382">
      <c r="A382" s="27" t="s">
        <v>42</v>
      </c>
      <c r="B382" s="27" t="s">
        <v>1198</v>
      </c>
      <c r="C382" s="27" t="s">
        <v>1199</v>
      </c>
      <c r="D382" s="27" t="s">
        <v>1200</v>
      </c>
      <c r="E382" s="28" t="s">
        <v>46</v>
      </c>
      <c r="F382" s="29" t="s">
        <v>46</v>
      </c>
      <c r="G382" s="30" t="s">
        <v>46</v>
      </c>
      <c r="H382" s="31"/>
      <c r="I382" s="31" t="s">
        <v>428</v>
      </c>
      <c r="J382" s="32" t="n">
        <v>1.0</v>
      </c>
      <c r="K382" s="33" t="n">
        <f>107400</f>
        <v>107400.0</v>
      </c>
      <c r="L382" s="34" t="s">
        <v>48</v>
      </c>
      <c r="M382" s="33" t="n">
        <f>108500</f>
        <v>108500.0</v>
      </c>
      <c r="N382" s="34" t="s">
        <v>158</v>
      </c>
      <c r="O382" s="33" t="n">
        <f>104300</f>
        <v>104300.0</v>
      </c>
      <c r="P382" s="34" t="s">
        <v>108</v>
      </c>
      <c r="Q382" s="33" t="n">
        <f>105900</f>
        <v>105900.0</v>
      </c>
      <c r="R382" s="34" t="s">
        <v>50</v>
      </c>
      <c r="S382" s="35" t="n">
        <f>105950</f>
        <v>105950.0</v>
      </c>
      <c r="T382" s="32" t="n">
        <f>23837</f>
        <v>23837.0</v>
      </c>
      <c r="U382" s="32" t="n">
        <f>2520</f>
        <v>2520.0</v>
      </c>
      <c r="V382" s="32" t="n">
        <f>2520788151</f>
        <v>2.520788151E9</v>
      </c>
      <c r="W382" s="32" t="n">
        <f>266092051</f>
        <v>2.66092051E8</v>
      </c>
      <c r="X382" s="36" t="n">
        <f>20</f>
        <v>20.0</v>
      </c>
    </row>
    <row r="383">
      <c r="A383" s="27" t="s">
        <v>42</v>
      </c>
      <c r="B383" s="27" t="s">
        <v>1201</v>
      </c>
      <c r="C383" s="27" t="s">
        <v>1202</v>
      </c>
      <c r="D383" s="27" t="s">
        <v>1203</v>
      </c>
      <c r="E383" s="28" t="s">
        <v>46</v>
      </c>
      <c r="F383" s="29" t="s">
        <v>46</v>
      </c>
      <c r="G383" s="30" t="s">
        <v>46</v>
      </c>
      <c r="H383" s="31"/>
      <c r="I383" s="31" t="s">
        <v>47</v>
      </c>
      <c r="J383" s="32" t="n">
        <v>1.0</v>
      </c>
      <c r="K383" s="33" t="n">
        <f>610000</f>
        <v>610000.0</v>
      </c>
      <c r="L383" s="34" t="s">
        <v>48</v>
      </c>
      <c r="M383" s="33" t="n">
        <f>614000</f>
        <v>614000.0</v>
      </c>
      <c r="N383" s="34" t="s">
        <v>48</v>
      </c>
      <c r="O383" s="33" t="n">
        <f>579000</f>
        <v>579000.0</v>
      </c>
      <c r="P383" s="34" t="s">
        <v>162</v>
      </c>
      <c r="Q383" s="33" t="n">
        <f>581000</f>
        <v>581000.0</v>
      </c>
      <c r="R383" s="34" t="s">
        <v>50</v>
      </c>
      <c r="S383" s="35" t="n">
        <f>588950</f>
        <v>588950.0</v>
      </c>
      <c r="T383" s="32" t="n">
        <f>33320</f>
        <v>33320.0</v>
      </c>
      <c r="U383" s="32" t="n">
        <f>9940</f>
        <v>9940.0</v>
      </c>
      <c r="V383" s="32" t="n">
        <f>19653306886</f>
        <v>1.9653306886E10</v>
      </c>
      <c r="W383" s="32" t="n">
        <f>5857983886</f>
        <v>5.857983886E9</v>
      </c>
      <c r="X383" s="36" t="n">
        <f>20</f>
        <v>20.0</v>
      </c>
    </row>
    <row r="384">
      <c r="A384" s="27" t="s">
        <v>42</v>
      </c>
      <c r="B384" s="27" t="s">
        <v>1204</v>
      </c>
      <c r="C384" s="27" t="s">
        <v>1205</v>
      </c>
      <c r="D384" s="27" t="s">
        <v>1206</v>
      </c>
      <c r="E384" s="28" t="s">
        <v>46</v>
      </c>
      <c r="F384" s="29" t="s">
        <v>46</v>
      </c>
      <c r="G384" s="30" t="s">
        <v>46</v>
      </c>
      <c r="H384" s="31"/>
      <c r="I384" s="31" t="s">
        <v>47</v>
      </c>
      <c r="J384" s="32" t="n">
        <v>1.0</v>
      </c>
      <c r="K384" s="33" t="n">
        <f>126600</f>
        <v>126600.0</v>
      </c>
      <c r="L384" s="34" t="s">
        <v>48</v>
      </c>
      <c r="M384" s="33" t="n">
        <f>128200</f>
        <v>128200.0</v>
      </c>
      <c r="N384" s="34" t="s">
        <v>69</v>
      </c>
      <c r="O384" s="33" t="n">
        <f>123900</f>
        <v>123900.0</v>
      </c>
      <c r="P384" s="34" t="s">
        <v>108</v>
      </c>
      <c r="Q384" s="33" t="n">
        <f>124900</f>
        <v>124900.0</v>
      </c>
      <c r="R384" s="34" t="s">
        <v>50</v>
      </c>
      <c r="S384" s="35" t="n">
        <f>125920</f>
        <v>125920.0</v>
      </c>
      <c r="T384" s="32" t="n">
        <f>103431</f>
        <v>103431.0</v>
      </c>
      <c r="U384" s="32" t="n">
        <f>22356</f>
        <v>22356.0</v>
      </c>
      <c r="V384" s="32" t="n">
        <f>13022305392</f>
        <v>1.3022305392E10</v>
      </c>
      <c r="W384" s="32" t="n">
        <f>2814828192</f>
        <v>2.814828192E9</v>
      </c>
      <c r="X384" s="36" t="n">
        <f>20</f>
        <v>20.0</v>
      </c>
    </row>
    <row r="385">
      <c r="A385" s="27" t="s">
        <v>42</v>
      </c>
      <c r="B385" s="27" t="s">
        <v>1207</v>
      </c>
      <c r="C385" s="27" t="s">
        <v>1208</v>
      </c>
      <c r="D385" s="27" t="s">
        <v>1209</v>
      </c>
      <c r="E385" s="28" t="s">
        <v>46</v>
      </c>
      <c r="F385" s="29" t="s">
        <v>46</v>
      </c>
      <c r="G385" s="30" t="s">
        <v>46</v>
      </c>
      <c r="H385" s="31"/>
      <c r="I385" s="31" t="s">
        <v>47</v>
      </c>
      <c r="J385" s="32" t="n">
        <v>1.0</v>
      </c>
      <c r="K385" s="33" t="n">
        <f>115000</f>
        <v>115000.0</v>
      </c>
      <c r="L385" s="34" t="s">
        <v>48</v>
      </c>
      <c r="M385" s="33" t="n">
        <f>117300</f>
        <v>117300.0</v>
      </c>
      <c r="N385" s="34" t="s">
        <v>158</v>
      </c>
      <c r="O385" s="33" t="n">
        <f>113300</f>
        <v>113300.0</v>
      </c>
      <c r="P385" s="34" t="s">
        <v>54</v>
      </c>
      <c r="Q385" s="33" t="n">
        <f>114600</f>
        <v>114600.0</v>
      </c>
      <c r="R385" s="34" t="s">
        <v>50</v>
      </c>
      <c r="S385" s="35" t="n">
        <f>114705</f>
        <v>114705.0</v>
      </c>
      <c r="T385" s="32" t="n">
        <f>166249</f>
        <v>166249.0</v>
      </c>
      <c r="U385" s="32" t="n">
        <f>30838</f>
        <v>30838.0</v>
      </c>
      <c r="V385" s="32" t="n">
        <f>19068527802</f>
        <v>1.9068527802E10</v>
      </c>
      <c r="W385" s="32" t="n">
        <f>3536914602</f>
        <v>3.536914602E9</v>
      </c>
      <c r="X385" s="36" t="n">
        <f>20</f>
        <v>20.0</v>
      </c>
    </row>
    <row r="386">
      <c r="A386" s="27" t="s">
        <v>42</v>
      </c>
      <c r="B386" s="27" t="s">
        <v>1210</v>
      </c>
      <c r="C386" s="27" t="s">
        <v>1211</v>
      </c>
      <c r="D386" s="27" t="s">
        <v>1212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306000</f>
        <v>306000.0</v>
      </c>
      <c r="L386" s="34" t="s">
        <v>48</v>
      </c>
      <c r="M386" s="33" t="n">
        <f>311000</f>
        <v>311000.0</v>
      </c>
      <c r="N386" s="34" t="s">
        <v>69</v>
      </c>
      <c r="O386" s="33" t="n">
        <f>295000</f>
        <v>295000.0</v>
      </c>
      <c r="P386" s="34" t="s">
        <v>50</v>
      </c>
      <c r="Q386" s="33" t="n">
        <f>295000</f>
        <v>295000.0</v>
      </c>
      <c r="R386" s="34" t="s">
        <v>50</v>
      </c>
      <c r="S386" s="35" t="n">
        <f>300205</f>
        <v>300205.0</v>
      </c>
      <c r="T386" s="32" t="n">
        <f>69109</f>
        <v>69109.0</v>
      </c>
      <c r="U386" s="32" t="n">
        <f>16466</f>
        <v>16466.0</v>
      </c>
      <c r="V386" s="32" t="n">
        <f>20783188961</f>
        <v>2.0783188961E10</v>
      </c>
      <c r="W386" s="32" t="n">
        <f>4948510261</f>
        <v>4.948510261E9</v>
      </c>
      <c r="X386" s="36" t="n">
        <f>20</f>
        <v>20.0</v>
      </c>
    </row>
    <row r="387">
      <c r="A387" s="27" t="s">
        <v>42</v>
      </c>
      <c r="B387" s="27" t="s">
        <v>1213</v>
      </c>
      <c r="C387" s="27" t="s">
        <v>1214</v>
      </c>
      <c r="D387" s="27" t="s">
        <v>1215</v>
      </c>
      <c r="E387" s="28" t="s">
        <v>46</v>
      </c>
      <c r="F387" s="29" t="s">
        <v>46</v>
      </c>
      <c r="G387" s="30" t="s">
        <v>46</v>
      </c>
      <c r="H387" s="31"/>
      <c r="I387" s="31" t="s">
        <v>47</v>
      </c>
      <c r="J387" s="32" t="n">
        <v>1.0</v>
      </c>
      <c r="K387" s="33" t="n">
        <f>325000</f>
        <v>325000.0</v>
      </c>
      <c r="L387" s="34" t="s">
        <v>48</v>
      </c>
      <c r="M387" s="33" t="n">
        <f>336000</f>
        <v>336000.0</v>
      </c>
      <c r="N387" s="34" t="s">
        <v>158</v>
      </c>
      <c r="O387" s="33" t="n">
        <f>319500</f>
        <v>319500.0</v>
      </c>
      <c r="P387" s="34" t="s">
        <v>61</v>
      </c>
      <c r="Q387" s="33" t="n">
        <f>321000</f>
        <v>321000.0</v>
      </c>
      <c r="R387" s="34" t="s">
        <v>50</v>
      </c>
      <c r="S387" s="35" t="n">
        <f>326400</f>
        <v>326400.0</v>
      </c>
      <c r="T387" s="32" t="n">
        <f>57081</f>
        <v>57081.0</v>
      </c>
      <c r="U387" s="32" t="n">
        <f>12846</f>
        <v>12846.0</v>
      </c>
      <c r="V387" s="32" t="n">
        <f>18677292058</f>
        <v>1.8677292058E10</v>
      </c>
      <c r="W387" s="32" t="n">
        <f>4206087558</f>
        <v>4.206087558E9</v>
      </c>
      <c r="X387" s="36" t="n">
        <f>20</f>
        <v>20.0</v>
      </c>
    </row>
    <row r="388">
      <c r="A388" s="27" t="s">
        <v>42</v>
      </c>
      <c r="B388" s="27" t="s">
        <v>1216</v>
      </c>
      <c r="C388" s="27" t="s">
        <v>1217</v>
      </c>
      <c r="D388" s="27" t="s">
        <v>1218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133500</f>
        <v>133500.0</v>
      </c>
      <c r="L388" s="34" t="s">
        <v>48</v>
      </c>
      <c r="M388" s="33" t="n">
        <f>134700</f>
        <v>134700.0</v>
      </c>
      <c r="N388" s="34" t="s">
        <v>121</v>
      </c>
      <c r="O388" s="33" t="n">
        <f>126900</f>
        <v>126900.0</v>
      </c>
      <c r="P388" s="34" t="s">
        <v>257</v>
      </c>
      <c r="Q388" s="33" t="n">
        <f>127300</f>
        <v>127300.0</v>
      </c>
      <c r="R388" s="34" t="s">
        <v>50</v>
      </c>
      <c r="S388" s="35" t="n">
        <f>129365</f>
        <v>129365.0</v>
      </c>
      <c r="T388" s="32" t="n">
        <f>427990</f>
        <v>427990.0</v>
      </c>
      <c r="U388" s="32" t="n">
        <f>150265</f>
        <v>150265.0</v>
      </c>
      <c r="V388" s="32" t="n">
        <f>55545261680</f>
        <v>5.554526168E10</v>
      </c>
      <c r="W388" s="32" t="n">
        <f>19544075580</f>
        <v>1.954407558E10</v>
      </c>
      <c r="X388" s="36" t="n">
        <f>20</f>
        <v>20.0</v>
      </c>
    </row>
    <row r="389">
      <c r="A389" s="27" t="s">
        <v>42</v>
      </c>
      <c r="B389" s="27" t="s">
        <v>1219</v>
      </c>
      <c r="C389" s="27" t="s">
        <v>1220</v>
      </c>
      <c r="D389" s="27" t="s">
        <v>1221</v>
      </c>
      <c r="E389" s="28" t="s">
        <v>46</v>
      </c>
      <c r="F389" s="29" t="s">
        <v>46</v>
      </c>
      <c r="G389" s="30" t="s">
        <v>46</v>
      </c>
      <c r="H389" s="31"/>
      <c r="I389" s="31" t="s">
        <v>47</v>
      </c>
      <c r="J389" s="32" t="n">
        <v>1.0</v>
      </c>
      <c r="K389" s="33" t="n">
        <f>298900</f>
        <v>298900.0</v>
      </c>
      <c r="L389" s="34" t="s">
        <v>48</v>
      </c>
      <c r="M389" s="33" t="n">
        <f>299800</f>
        <v>299800.0</v>
      </c>
      <c r="N389" s="34" t="s">
        <v>121</v>
      </c>
      <c r="O389" s="33" t="n">
        <f>288100</f>
        <v>288100.0</v>
      </c>
      <c r="P389" s="34" t="s">
        <v>54</v>
      </c>
      <c r="Q389" s="33" t="n">
        <f>288300</f>
        <v>288300.0</v>
      </c>
      <c r="R389" s="34" t="s">
        <v>50</v>
      </c>
      <c r="S389" s="35" t="n">
        <f>292595</f>
        <v>292595.0</v>
      </c>
      <c r="T389" s="32" t="n">
        <f>49126</f>
        <v>49126.0</v>
      </c>
      <c r="U389" s="32" t="n">
        <f>12164</f>
        <v>12164.0</v>
      </c>
      <c r="V389" s="32" t="n">
        <f>14372088761</f>
        <v>1.4372088761E10</v>
      </c>
      <c r="W389" s="32" t="n">
        <f>3560357861</f>
        <v>3.560357861E9</v>
      </c>
      <c r="X389" s="36" t="n">
        <f>20</f>
        <v>20.0</v>
      </c>
    </row>
    <row r="390">
      <c r="A390" s="27" t="s">
        <v>42</v>
      </c>
      <c r="B390" s="27" t="s">
        <v>1222</v>
      </c>
      <c r="C390" s="27" t="s">
        <v>1223</v>
      </c>
      <c r="D390" s="27" t="s">
        <v>1224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246300</f>
        <v>246300.0</v>
      </c>
      <c r="L390" s="34" t="s">
        <v>48</v>
      </c>
      <c r="M390" s="33" t="n">
        <f>258400</f>
        <v>258400.0</v>
      </c>
      <c r="N390" s="34" t="s">
        <v>519</v>
      </c>
      <c r="O390" s="33" t="n">
        <f>236100</f>
        <v>236100.0</v>
      </c>
      <c r="P390" s="34" t="s">
        <v>50</v>
      </c>
      <c r="Q390" s="33" t="n">
        <f>236100</f>
        <v>236100.0</v>
      </c>
      <c r="R390" s="34" t="s">
        <v>50</v>
      </c>
      <c r="S390" s="35" t="n">
        <f>246100</f>
        <v>246100.0</v>
      </c>
      <c r="T390" s="32" t="n">
        <f>552764</f>
        <v>552764.0</v>
      </c>
      <c r="U390" s="32" t="n">
        <f>137419</f>
        <v>137419.0</v>
      </c>
      <c r="V390" s="32" t="n">
        <f>136524723010</f>
        <v>1.3652472301E11</v>
      </c>
      <c r="W390" s="32" t="n">
        <f>33919015910</f>
        <v>3.391901591E10</v>
      </c>
      <c r="X390" s="36" t="n">
        <f>20</f>
        <v>20.0</v>
      </c>
    </row>
    <row r="391">
      <c r="A391" s="27" t="s">
        <v>42</v>
      </c>
      <c r="B391" s="27" t="s">
        <v>1225</v>
      </c>
      <c r="C391" s="27" t="s">
        <v>1226</v>
      </c>
      <c r="D391" s="27" t="s">
        <v>1227</v>
      </c>
      <c r="E391" s="28" t="s">
        <v>46</v>
      </c>
      <c r="F391" s="29" t="s">
        <v>46</v>
      </c>
      <c r="G391" s="30" t="s">
        <v>46</v>
      </c>
      <c r="H391" s="31"/>
      <c r="I391" s="31" t="s">
        <v>47</v>
      </c>
      <c r="J391" s="32" t="n">
        <v>1.0</v>
      </c>
      <c r="K391" s="33" t="n">
        <f>230400</f>
        <v>230400.0</v>
      </c>
      <c r="L391" s="34" t="s">
        <v>48</v>
      </c>
      <c r="M391" s="33" t="n">
        <f>232600</f>
        <v>232600.0</v>
      </c>
      <c r="N391" s="34" t="s">
        <v>48</v>
      </c>
      <c r="O391" s="33" t="n">
        <f>218500</f>
        <v>218500.0</v>
      </c>
      <c r="P391" s="34" t="s">
        <v>397</v>
      </c>
      <c r="Q391" s="33" t="n">
        <f>220900</f>
        <v>220900.0</v>
      </c>
      <c r="R391" s="34" t="s">
        <v>50</v>
      </c>
      <c r="S391" s="35" t="n">
        <f>225425</f>
        <v>225425.0</v>
      </c>
      <c r="T391" s="32" t="n">
        <f>49355</f>
        <v>49355.0</v>
      </c>
      <c r="U391" s="32" t="n">
        <f>10385</f>
        <v>10385.0</v>
      </c>
      <c r="V391" s="32" t="n">
        <f>11141560019</f>
        <v>1.1141560019E10</v>
      </c>
      <c r="W391" s="32" t="n">
        <f>2343952219</f>
        <v>2.343952219E9</v>
      </c>
      <c r="X391" s="36" t="n">
        <f>20</f>
        <v>20.0</v>
      </c>
    </row>
    <row r="392">
      <c r="A392" s="27" t="s">
        <v>42</v>
      </c>
      <c r="B392" s="27" t="s">
        <v>1228</v>
      </c>
      <c r="C392" s="27" t="s">
        <v>1229</v>
      </c>
      <c r="D392" s="27" t="s">
        <v>1230</v>
      </c>
      <c r="E392" s="28" t="s">
        <v>46</v>
      </c>
      <c r="F392" s="29" t="s">
        <v>46</v>
      </c>
      <c r="G392" s="30" t="s">
        <v>46</v>
      </c>
      <c r="H392" s="31"/>
      <c r="I392" s="31" t="s">
        <v>47</v>
      </c>
      <c r="J392" s="32" t="n">
        <v>1.0</v>
      </c>
      <c r="K392" s="33" t="n">
        <f>233600</f>
        <v>233600.0</v>
      </c>
      <c r="L392" s="34" t="s">
        <v>48</v>
      </c>
      <c r="M392" s="33" t="n">
        <f>237400</f>
        <v>237400.0</v>
      </c>
      <c r="N392" s="34" t="s">
        <v>69</v>
      </c>
      <c r="O392" s="33" t="n">
        <f>223000</f>
        <v>223000.0</v>
      </c>
      <c r="P392" s="34" t="s">
        <v>108</v>
      </c>
      <c r="Q392" s="33" t="n">
        <f>227600</f>
        <v>227600.0</v>
      </c>
      <c r="R392" s="34" t="s">
        <v>50</v>
      </c>
      <c r="S392" s="35" t="n">
        <f>228815</f>
        <v>228815.0</v>
      </c>
      <c r="T392" s="32" t="n">
        <f>32924</f>
        <v>32924.0</v>
      </c>
      <c r="U392" s="32" t="n">
        <f>6491</f>
        <v>6491.0</v>
      </c>
      <c r="V392" s="32" t="n">
        <f>7526124850</f>
        <v>7.52612485E9</v>
      </c>
      <c r="W392" s="32" t="n">
        <f>1483355050</f>
        <v>1.48335505E9</v>
      </c>
      <c r="X392" s="36" t="n">
        <f>20</f>
        <v>20.0</v>
      </c>
    </row>
    <row r="393">
      <c r="A393" s="27" t="s">
        <v>42</v>
      </c>
      <c r="B393" s="27" t="s">
        <v>1231</v>
      </c>
      <c r="C393" s="27" t="s">
        <v>1232</v>
      </c>
      <c r="D393" s="27" t="s">
        <v>1233</v>
      </c>
      <c r="E393" s="28" t="s">
        <v>46</v>
      </c>
      <c r="F393" s="29" t="s">
        <v>46</v>
      </c>
      <c r="G393" s="30" t="s">
        <v>46</v>
      </c>
      <c r="H393" s="31"/>
      <c r="I393" s="31" t="s">
        <v>47</v>
      </c>
      <c r="J393" s="32" t="n">
        <v>1.0</v>
      </c>
      <c r="K393" s="33" t="n">
        <f>127200</f>
        <v>127200.0</v>
      </c>
      <c r="L393" s="34" t="s">
        <v>48</v>
      </c>
      <c r="M393" s="33" t="n">
        <f>129700</f>
        <v>129700.0</v>
      </c>
      <c r="N393" s="34" t="s">
        <v>69</v>
      </c>
      <c r="O393" s="33" t="n">
        <f>124500</f>
        <v>124500.0</v>
      </c>
      <c r="P393" s="34" t="s">
        <v>108</v>
      </c>
      <c r="Q393" s="33" t="n">
        <f>126100</f>
        <v>126100.0</v>
      </c>
      <c r="R393" s="34" t="s">
        <v>50</v>
      </c>
      <c r="S393" s="35" t="n">
        <f>126765</f>
        <v>126765.0</v>
      </c>
      <c r="T393" s="32" t="n">
        <f>100234</f>
        <v>100234.0</v>
      </c>
      <c r="U393" s="32" t="n">
        <f>30183</f>
        <v>30183.0</v>
      </c>
      <c r="V393" s="32" t="n">
        <f>12707966277</f>
        <v>1.2707966277E10</v>
      </c>
      <c r="W393" s="32" t="n">
        <f>3827945477</f>
        <v>3.827945477E9</v>
      </c>
      <c r="X393" s="36" t="n">
        <f>20</f>
        <v>20.0</v>
      </c>
    </row>
    <row r="394">
      <c r="A394" s="27" t="s">
        <v>42</v>
      </c>
      <c r="B394" s="27" t="s">
        <v>1234</v>
      </c>
      <c r="C394" s="27" t="s">
        <v>1235</v>
      </c>
      <c r="D394" s="27" t="s">
        <v>1236</v>
      </c>
      <c r="E394" s="28" t="s">
        <v>46</v>
      </c>
      <c r="F394" s="29" t="s">
        <v>46</v>
      </c>
      <c r="G394" s="30" t="s">
        <v>46</v>
      </c>
      <c r="H394" s="31"/>
      <c r="I394" s="31" t="s">
        <v>47</v>
      </c>
      <c r="J394" s="32" t="n">
        <v>1.0</v>
      </c>
      <c r="K394" s="33" t="n">
        <f>132000</f>
        <v>132000.0</v>
      </c>
      <c r="L394" s="34" t="s">
        <v>48</v>
      </c>
      <c r="M394" s="33" t="n">
        <f>134400</f>
        <v>134400.0</v>
      </c>
      <c r="N394" s="34" t="s">
        <v>158</v>
      </c>
      <c r="O394" s="33" t="n">
        <f>130100</f>
        <v>130100.0</v>
      </c>
      <c r="P394" s="34" t="s">
        <v>121</v>
      </c>
      <c r="Q394" s="33" t="n">
        <f>132800</f>
        <v>132800.0</v>
      </c>
      <c r="R394" s="34" t="s">
        <v>50</v>
      </c>
      <c r="S394" s="35" t="n">
        <f>132205</f>
        <v>132205.0</v>
      </c>
      <c r="T394" s="32" t="n">
        <f>63602</f>
        <v>63602.0</v>
      </c>
      <c r="U394" s="32" t="n">
        <f>12855</f>
        <v>12855.0</v>
      </c>
      <c r="V394" s="32" t="n">
        <f>8406111826</f>
        <v>8.406111826E9</v>
      </c>
      <c r="W394" s="32" t="n">
        <f>1696840126</f>
        <v>1.696840126E9</v>
      </c>
      <c r="X394" s="36" t="n">
        <f>20</f>
        <v>20.0</v>
      </c>
    </row>
    <row r="395">
      <c r="A395" s="27" t="s">
        <v>42</v>
      </c>
      <c r="B395" s="27" t="s">
        <v>1237</v>
      </c>
      <c r="C395" s="27" t="s">
        <v>1238</v>
      </c>
      <c r="D395" s="27" t="s">
        <v>1239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315500</f>
        <v>315500.0</v>
      </c>
      <c r="L395" s="34" t="s">
        <v>48</v>
      </c>
      <c r="M395" s="33" t="n">
        <f>322000</f>
        <v>322000.0</v>
      </c>
      <c r="N395" s="34" t="s">
        <v>69</v>
      </c>
      <c r="O395" s="33" t="n">
        <f>311000</f>
        <v>311000.0</v>
      </c>
      <c r="P395" s="34" t="s">
        <v>108</v>
      </c>
      <c r="Q395" s="33" t="n">
        <f>316000</f>
        <v>316000.0</v>
      </c>
      <c r="R395" s="34" t="s">
        <v>50</v>
      </c>
      <c r="S395" s="35" t="n">
        <f>316475</f>
        <v>316475.0</v>
      </c>
      <c r="T395" s="32" t="n">
        <f>28393</f>
        <v>28393.0</v>
      </c>
      <c r="U395" s="32" t="n">
        <f>5911</f>
        <v>5911.0</v>
      </c>
      <c r="V395" s="32" t="n">
        <f>8985775528</f>
        <v>8.985775528E9</v>
      </c>
      <c r="W395" s="32" t="n">
        <f>1868165528</f>
        <v>1.868165528E9</v>
      </c>
      <c r="X395" s="36" t="n">
        <f>20</f>
        <v>20.0</v>
      </c>
    </row>
    <row r="396">
      <c r="A396" s="27" t="s">
        <v>42</v>
      </c>
      <c r="B396" s="27" t="s">
        <v>1240</v>
      </c>
      <c r="C396" s="27" t="s">
        <v>1241</v>
      </c>
      <c r="D396" s="27" t="s">
        <v>1242</v>
      </c>
      <c r="E396" s="28" t="s">
        <v>46</v>
      </c>
      <c r="F396" s="29" t="s">
        <v>46</v>
      </c>
      <c r="G396" s="30" t="s">
        <v>46</v>
      </c>
      <c r="H396" s="31"/>
      <c r="I396" s="31" t="s">
        <v>47</v>
      </c>
      <c r="J396" s="32" t="n">
        <v>1.0</v>
      </c>
      <c r="K396" s="33" t="n">
        <f>72200</f>
        <v>72200.0</v>
      </c>
      <c r="L396" s="34" t="s">
        <v>48</v>
      </c>
      <c r="M396" s="33" t="n">
        <f>74100</f>
        <v>74100.0</v>
      </c>
      <c r="N396" s="34" t="s">
        <v>158</v>
      </c>
      <c r="O396" s="33" t="n">
        <f>72000</f>
        <v>72000.0</v>
      </c>
      <c r="P396" s="34" t="s">
        <v>121</v>
      </c>
      <c r="Q396" s="33" t="n">
        <f>73100</f>
        <v>73100.0</v>
      </c>
      <c r="R396" s="34" t="s">
        <v>50</v>
      </c>
      <c r="S396" s="35" t="n">
        <f>73020</f>
        <v>73020.0</v>
      </c>
      <c r="T396" s="32" t="n">
        <f>236143</f>
        <v>236143.0</v>
      </c>
      <c r="U396" s="32" t="n">
        <f>73394</f>
        <v>73394.0</v>
      </c>
      <c r="V396" s="32" t="n">
        <f>17243904473</f>
        <v>1.7243904473E10</v>
      </c>
      <c r="W396" s="32" t="n">
        <f>5357583673</f>
        <v>5.357583673E9</v>
      </c>
      <c r="X396" s="36" t="n">
        <f>20</f>
        <v>20.0</v>
      </c>
    </row>
    <row r="397">
      <c r="A397" s="27" t="s">
        <v>42</v>
      </c>
      <c r="B397" s="27" t="s">
        <v>1243</v>
      </c>
      <c r="C397" s="27" t="s">
        <v>1244</v>
      </c>
      <c r="D397" s="27" t="s">
        <v>1245</v>
      </c>
      <c r="E397" s="28" t="s">
        <v>46</v>
      </c>
      <c r="F397" s="29" t="s">
        <v>46</v>
      </c>
      <c r="G397" s="30" t="s">
        <v>46</v>
      </c>
      <c r="H397" s="31"/>
      <c r="I397" s="31" t="s">
        <v>428</v>
      </c>
      <c r="J397" s="32" t="n">
        <v>1.0</v>
      </c>
      <c r="K397" s="33" t="n">
        <f>126100</f>
        <v>126100.0</v>
      </c>
      <c r="L397" s="34" t="s">
        <v>48</v>
      </c>
      <c r="M397" s="33" t="n">
        <f>126100</f>
        <v>126100.0</v>
      </c>
      <c r="N397" s="34" t="s">
        <v>48</v>
      </c>
      <c r="O397" s="33" t="n">
        <f>122500</f>
        <v>122500.0</v>
      </c>
      <c r="P397" s="34" t="s">
        <v>73</v>
      </c>
      <c r="Q397" s="33" t="n">
        <f>124000</f>
        <v>124000.0</v>
      </c>
      <c r="R397" s="34" t="s">
        <v>50</v>
      </c>
      <c r="S397" s="35" t="n">
        <f>124325</f>
        <v>124325.0</v>
      </c>
      <c r="T397" s="32" t="n">
        <f>22845</f>
        <v>22845.0</v>
      </c>
      <c r="U397" s="32" t="n">
        <f>3522</f>
        <v>3522.0</v>
      </c>
      <c r="V397" s="32" t="n">
        <f>2836792910</f>
        <v>2.83679291E9</v>
      </c>
      <c r="W397" s="32" t="n">
        <f>437475510</f>
        <v>4.3747551E8</v>
      </c>
      <c r="X397" s="36" t="n">
        <f>20</f>
        <v>20.0</v>
      </c>
    </row>
    <row r="398">
      <c r="A398" s="27" t="s">
        <v>42</v>
      </c>
      <c r="B398" s="27" t="s">
        <v>1246</v>
      </c>
      <c r="C398" s="27" t="s">
        <v>1247</v>
      </c>
      <c r="D398" s="27" t="s">
        <v>1248</v>
      </c>
      <c r="E398" s="28" t="s">
        <v>46</v>
      </c>
      <c r="F398" s="29" t="s">
        <v>46</v>
      </c>
      <c r="G398" s="30" t="s">
        <v>46</v>
      </c>
      <c r="H398" s="31"/>
      <c r="I398" s="31" t="s">
        <v>47</v>
      </c>
      <c r="J398" s="32" t="n">
        <v>1.0</v>
      </c>
      <c r="K398" s="33" t="n">
        <f>109000</f>
        <v>109000.0</v>
      </c>
      <c r="L398" s="34" t="s">
        <v>48</v>
      </c>
      <c r="M398" s="33" t="n">
        <f>109600</f>
        <v>109600.0</v>
      </c>
      <c r="N398" s="34" t="s">
        <v>48</v>
      </c>
      <c r="O398" s="33" t="n">
        <f>104600</f>
        <v>104600.0</v>
      </c>
      <c r="P398" s="34" t="s">
        <v>162</v>
      </c>
      <c r="Q398" s="33" t="n">
        <f>105500</f>
        <v>105500.0</v>
      </c>
      <c r="R398" s="34" t="s">
        <v>50</v>
      </c>
      <c r="S398" s="35" t="n">
        <f>106125</f>
        <v>106125.0</v>
      </c>
      <c r="T398" s="32" t="n">
        <f>28678</f>
        <v>28678.0</v>
      </c>
      <c r="U398" s="32" t="n">
        <f>4322</f>
        <v>4322.0</v>
      </c>
      <c r="V398" s="32" t="n">
        <f>3048830771</f>
        <v>3.048830771E9</v>
      </c>
      <c r="W398" s="32" t="n">
        <f>459984971</f>
        <v>4.59984971E8</v>
      </c>
      <c r="X398" s="36" t="n">
        <f>20</f>
        <v>20.0</v>
      </c>
    </row>
    <row r="399">
      <c r="A399" s="27" t="s">
        <v>42</v>
      </c>
      <c r="B399" s="27" t="s">
        <v>1249</v>
      </c>
      <c r="C399" s="27" t="s">
        <v>1250</v>
      </c>
      <c r="D399" s="27" t="s">
        <v>1251</v>
      </c>
      <c r="E399" s="28" t="s">
        <v>46</v>
      </c>
      <c r="F399" s="29" t="s">
        <v>46</v>
      </c>
      <c r="G399" s="30" t="s">
        <v>46</v>
      </c>
      <c r="H399" s="31"/>
      <c r="I399" s="31" t="s">
        <v>47</v>
      </c>
      <c r="J399" s="32" t="n">
        <v>1.0</v>
      </c>
      <c r="K399" s="33" t="n">
        <f>93800</f>
        <v>93800.0</v>
      </c>
      <c r="L399" s="34" t="s">
        <v>48</v>
      </c>
      <c r="M399" s="33" t="n">
        <f>94000</f>
        <v>94000.0</v>
      </c>
      <c r="N399" s="34" t="s">
        <v>48</v>
      </c>
      <c r="O399" s="33" t="n">
        <f>90500</f>
        <v>90500.0</v>
      </c>
      <c r="P399" s="34" t="s">
        <v>87</v>
      </c>
      <c r="Q399" s="33" t="n">
        <f>92800</f>
        <v>92800.0</v>
      </c>
      <c r="R399" s="34" t="s">
        <v>50</v>
      </c>
      <c r="S399" s="35" t="n">
        <f>91980</f>
        <v>91980.0</v>
      </c>
      <c r="T399" s="32" t="n">
        <f>30842</f>
        <v>30842.0</v>
      </c>
      <c r="U399" s="32" t="n">
        <f>5421</f>
        <v>5421.0</v>
      </c>
      <c r="V399" s="32" t="n">
        <f>2839947619</f>
        <v>2.839947619E9</v>
      </c>
      <c r="W399" s="32" t="n">
        <f>499501119</f>
        <v>4.99501119E8</v>
      </c>
      <c r="X399" s="36" t="n">
        <f>20</f>
        <v>20.0</v>
      </c>
    </row>
    <row r="400">
      <c r="A400" s="27" t="s">
        <v>42</v>
      </c>
      <c r="B400" s="27" t="s">
        <v>1252</v>
      </c>
      <c r="C400" s="27" t="s">
        <v>1253</v>
      </c>
      <c r="D400" s="27" t="s">
        <v>1254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143500</f>
        <v>143500.0</v>
      </c>
      <c r="L400" s="34" t="s">
        <v>48</v>
      </c>
      <c r="M400" s="33" t="n">
        <f>144900</f>
        <v>144900.0</v>
      </c>
      <c r="N400" s="34" t="s">
        <v>48</v>
      </c>
      <c r="O400" s="33" t="n">
        <f>138600</f>
        <v>138600.0</v>
      </c>
      <c r="P400" s="34" t="s">
        <v>104</v>
      </c>
      <c r="Q400" s="33" t="n">
        <f>141700</f>
        <v>141700.0</v>
      </c>
      <c r="R400" s="34" t="s">
        <v>50</v>
      </c>
      <c r="S400" s="35" t="n">
        <f>141780</f>
        <v>141780.0</v>
      </c>
      <c r="T400" s="32" t="n">
        <f>246752</f>
        <v>246752.0</v>
      </c>
      <c r="U400" s="32" t="n">
        <f>64174</f>
        <v>64174.0</v>
      </c>
      <c r="V400" s="32" t="n">
        <f>34992083119</f>
        <v>3.4992083119E10</v>
      </c>
      <c r="W400" s="32" t="n">
        <f>9102758119</f>
        <v>9.102758119E9</v>
      </c>
      <c r="X400" s="36" t="n">
        <f>20</f>
        <v>20.0</v>
      </c>
    </row>
    <row r="401">
      <c r="A401" s="27" t="s">
        <v>42</v>
      </c>
      <c r="B401" s="27" t="s">
        <v>1255</v>
      </c>
      <c r="C401" s="27" t="s">
        <v>1256</v>
      </c>
      <c r="D401" s="27" t="s">
        <v>1257</v>
      </c>
      <c r="E401" s="28" t="s">
        <v>46</v>
      </c>
      <c r="F401" s="29" t="s">
        <v>46</v>
      </c>
      <c r="G401" s="30" t="s">
        <v>46</v>
      </c>
      <c r="H401" s="31"/>
      <c r="I401" s="31" t="s">
        <v>428</v>
      </c>
      <c r="J401" s="32" t="n">
        <v>1.0</v>
      </c>
      <c r="K401" s="33" t="n">
        <f>131700</f>
        <v>131700.0</v>
      </c>
      <c r="L401" s="34" t="s">
        <v>48</v>
      </c>
      <c r="M401" s="33" t="n">
        <f>146400</f>
        <v>146400.0</v>
      </c>
      <c r="N401" s="34" t="s">
        <v>50</v>
      </c>
      <c r="O401" s="33" t="n">
        <f>129500</f>
        <v>129500.0</v>
      </c>
      <c r="P401" s="34" t="s">
        <v>121</v>
      </c>
      <c r="Q401" s="33" t="n">
        <f>145400</f>
        <v>145400.0</v>
      </c>
      <c r="R401" s="34" t="s">
        <v>50</v>
      </c>
      <c r="S401" s="35" t="n">
        <f>137950</f>
        <v>137950.0</v>
      </c>
      <c r="T401" s="32" t="n">
        <f>33717</f>
        <v>33717.0</v>
      </c>
      <c r="U401" s="32" t="n">
        <f>2651</f>
        <v>2651.0</v>
      </c>
      <c r="V401" s="32" t="n">
        <f>4654361660</f>
        <v>4.65436166E9</v>
      </c>
      <c r="W401" s="32" t="n">
        <f>363876860</f>
        <v>3.6387686E8</v>
      </c>
      <c r="X401" s="36" t="n">
        <f>20</f>
        <v>20.0</v>
      </c>
    </row>
    <row r="402">
      <c r="A402" s="27" t="s">
        <v>42</v>
      </c>
      <c r="B402" s="27" t="s">
        <v>1258</v>
      </c>
      <c r="C402" s="27" t="s">
        <v>1259</v>
      </c>
      <c r="D402" s="27" t="s">
        <v>1260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145000</f>
        <v>145000.0</v>
      </c>
      <c r="L402" s="34" t="s">
        <v>48</v>
      </c>
      <c r="M402" s="33" t="n">
        <f>146000</f>
        <v>146000.0</v>
      </c>
      <c r="N402" s="34" t="s">
        <v>61</v>
      </c>
      <c r="O402" s="33" t="n">
        <f>141200</f>
        <v>141200.0</v>
      </c>
      <c r="P402" s="34" t="s">
        <v>108</v>
      </c>
      <c r="Q402" s="33" t="n">
        <f>143900</f>
        <v>143900.0</v>
      </c>
      <c r="R402" s="34" t="s">
        <v>50</v>
      </c>
      <c r="S402" s="35" t="n">
        <f>144110</f>
        <v>144110.0</v>
      </c>
      <c r="T402" s="32" t="n">
        <f>106244</f>
        <v>106244.0</v>
      </c>
      <c r="U402" s="32" t="n">
        <f>28644</f>
        <v>28644.0</v>
      </c>
      <c r="V402" s="32" t="n">
        <f>15316440649</f>
        <v>1.5316440649E10</v>
      </c>
      <c r="W402" s="32" t="n">
        <f>4130696249</f>
        <v>4.130696249E9</v>
      </c>
      <c r="X402" s="36" t="n">
        <f>20</f>
        <v>20.0</v>
      </c>
    </row>
    <row r="403">
      <c r="A403" s="27" t="s">
        <v>42</v>
      </c>
      <c r="B403" s="27" t="s">
        <v>1261</v>
      </c>
      <c r="C403" s="27" t="s">
        <v>1262</v>
      </c>
      <c r="D403" s="27" t="s">
        <v>1263</v>
      </c>
      <c r="E403" s="28" t="s">
        <v>46</v>
      </c>
      <c r="F403" s="29" t="s">
        <v>46</v>
      </c>
      <c r="G403" s="30" t="s">
        <v>46</v>
      </c>
      <c r="H403" s="31"/>
      <c r="I403" s="31" t="s">
        <v>47</v>
      </c>
      <c r="J403" s="32" t="n">
        <v>1.0</v>
      </c>
      <c r="K403" s="33" t="n">
        <f>51100</f>
        <v>51100.0</v>
      </c>
      <c r="L403" s="34" t="s">
        <v>48</v>
      </c>
      <c r="M403" s="33" t="n">
        <f>51300</f>
        <v>51300.0</v>
      </c>
      <c r="N403" s="34" t="s">
        <v>48</v>
      </c>
      <c r="O403" s="33" t="n">
        <f>49150</f>
        <v>49150.0</v>
      </c>
      <c r="P403" s="34" t="s">
        <v>108</v>
      </c>
      <c r="Q403" s="33" t="n">
        <f>50500</f>
        <v>50500.0</v>
      </c>
      <c r="R403" s="34" t="s">
        <v>50</v>
      </c>
      <c r="S403" s="35" t="n">
        <f>50185</f>
        <v>50185.0</v>
      </c>
      <c r="T403" s="32" t="n">
        <f>189983</f>
        <v>189983.0</v>
      </c>
      <c r="U403" s="32" t="n">
        <f>34595</f>
        <v>34595.0</v>
      </c>
      <c r="V403" s="32" t="n">
        <f>9541437958</f>
        <v>9.541437958E9</v>
      </c>
      <c r="W403" s="32" t="n">
        <f>1738572858</f>
        <v>1.738572858E9</v>
      </c>
      <c r="X403" s="36" t="n">
        <f>20</f>
        <v>20.0</v>
      </c>
    </row>
    <row r="404">
      <c r="A404" s="27" t="s">
        <v>42</v>
      </c>
      <c r="B404" s="27" t="s">
        <v>1264</v>
      </c>
      <c r="C404" s="27" t="s">
        <v>1265</v>
      </c>
      <c r="D404" s="27" t="s">
        <v>1266</v>
      </c>
      <c r="E404" s="28" t="s">
        <v>46</v>
      </c>
      <c r="F404" s="29" t="s">
        <v>46</v>
      </c>
      <c r="G404" s="30" t="s">
        <v>46</v>
      </c>
      <c r="H404" s="31"/>
      <c r="I404" s="31" t="s">
        <v>428</v>
      </c>
      <c r="J404" s="32" t="n">
        <v>1.0</v>
      </c>
      <c r="K404" s="33" t="n">
        <f>110300</f>
        <v>110300.0</v>
      </c>
      <c r="L404" s="34" t="s">
        <v>48</v>
      </c>
      <c r="M404" s="33" t="n">
        <f>112900</f>
        <v>112900.0</v>
      </c>
      <c r="N404" s="34" t="s">
        <v>158</v>
      </c>
      <c r="O404" s="33" t="n">
        <f>107800</f>
        <v>107800.0</v>
      </c>
      <c r="P404" s="34" t="s">
        <v>121</v>
      </c>
      <c r="Q404" s="33" t="n">
        <f>111000</f>
        <v>111000.0</v>
      </c>
      <c r="R404" s="34" t="s">
        <v>50</v>
      </c>
      <c r="S404" s="35" t="n">
        <f>110205</f>
        <v>110205.0</v>
      </c>
      <c r="T404" s="32" t="n">
        <f>22497</f>
        <v>22497.0</v>
      </c>
      <c r="U404" s="32" t="n">
        <f>3175</f>
        <v>3175.0</v>
      </c>
      <c r="V404" s="32" t="n">
        <f>2474532890</f>
        <v>2.47453289E9</v>
      </c>
      <c r="W404" s="32" t="n">
        <f>348126890</f>
        <v>3.4812689E8</v>
      </c>
      <c r="X404" s="36" t="n">
        <f>20</f>
        <v>20.0</v>
      </c>
    </row>
    <row r="405">
      <c r="A405" s="27" t="s">
        <v>42</v>
      </c>
      <c r="B405" s="27" t="s">
        <v>1267</v>
      </c>
      <c r="C405" s="27" t="s">
        <v>1268</v>
      </c>
      <c r="D405" s="27" t="s">
        <v>1269</v>
      </c>
      <c r="E405" s="28" t="s">
        <v>46</v>
      </c>
      <c r="F405" s="29" t="s">
        <v>46</v>
      </c>
      <c r="G405" s="30" t="s">
        <v>46</v>
      </c>
      <c r="H405" s="31"/>
      <c r="I405" s="31" t="s">
        <v>47</v>
      </c>
      <c r="J405" s="32" t="n">
        <v>1.0</v>
      </c>
      <c r="K405" s="33" t="n">
        <f>101300</f>
        <v>101300.0</v>
      </c>
      <c r="L405" s="34" t="s">
        <v>48</v>
      </c>
      <c r="M405" s="33" t="n">
        <f>102900</f>
        <v>102900.0</v>
      </c>
      <c r="N405" s="34" t="s">
        <v>50</v>
      </c>
      <c r="O405" s="33" t="n">
        <f>98500</f>
        <v>98500.0</v>
      </c>
      <c r="P405" s="34" t="s">
        <v>54</v>
      </c>
      <c r="Q405" s="33" t="n">
        <f>101200</f>
        <v>101200.0</v>
      </c>
      <c r="R405" s="34" t="s">
        <v>50</v>
      </c>
      <c r="S405" s="35" t="n">
        <f>100360</f>
        <v>100360.0</v>
      </c>
      <c r="T405" s="32" t="n">
        <f>279094</f>
        <v>279094.0</v>
      </c>
      <c r="U405" s="32" t="n">
        <f>66706</f>
        <v>66706.0</v>
      </c>
      <c r="V405" s="32" t="n">
        <f>28003222581</f>
        <v>2.8003222581E10</v>
      </c>
      <c r="W405" s="32" t="n">
        <f>6681612581</f>
        <v>6.681612581E9</v>
      </c>
      <c r="X405" s="36" t="n">
        <f>20</f>
        <v>20.0</v>
      </c>
    </row>
    <row r="406">
      <c r="A406" s="27" t="s">
        <v>42</v>
      </c>
      <c r="B406" s="27" t="s">
        <v>1270</v>
      </c>
      <c r="C406" s="27" t="s">
        <v>1271</v>
      </c>
      <c r="D406" s="27" t="s">
        <v>1272</v>
      </c>
      <c r="E406" s="28" t="s">
        <v>46</v>
      </c>
      <c r="F406" s="29" t="s">
        <v>46</v>
      </c>
      <c r="G406" s="30" t="s">
        <v>46</v>
      </c>
      <c r="H406" s="31"/>
      <c r="I406" s="31" t="s">
        <v>428</v>
      </c>
      <c r="J406" s="32" t="n">
        <v>1.0</v>
      </c>
      <c r="K406" s="33" t="n">
        <f>71100</f>
        <v>71100.0</v>
      </c>
      <c r="L406" s="34" t="s">
        <v>48</v>
      </c>
      <c r="M406" s="33" t="n">
        <f>71500</f>
        <v>71500.0</v>
      </c>
      <c r="N406" s="34" t="s">
        <v>65</v>
      </c>
      <c r="O406" s="33" t="n">
        <f>65300</f>
        <v>65300.0</v>
      </c>
      <c r="P406" s="34" t="s">
        <v>61</v>
      </c>
      <c r="Q406" s="33" t="n">
        <f>66300</f>
        <v>66300.0</v>
      </c>
      <c r="R406" s="34" t="s">
        <v>50</v>
      </c>
      <c r="S406" s="35" t="n">
        <f>69210</f>
        <v>69210.0</v>
      </c>
      <c r="T406" s="32" t="n">
        <f>44644</f>
        <v>44644.0</v>
      </c>
      <c r="U406" s="32" t="n">
        <f>5600</f>
        <v>5600.0</v>
      </c>
      <c r="V406" s="32" t="n">
        <f>3040449038</f>
        <v>3.040449038E9</v>
      </c>
      <c r="W406" s="32" t="n">
        <f>382965338</f>
        <v>3.82965338E8</v>
      </c>
      <c r="X406" s="36" t="n">
        <f>20</f>
        <v>20.0</v>
      </c>
    </row>
    <row r="407">
      <c r="A407" s="27" t="s">
        <v>42</v>
      </c>
      <c r="B407" s="27" t="s">
        <v>1273</v>
      </c>
      <c r="C407" s="27" t="s">
        <v>1274</v>
      </c>
      <c r="D407" s="27" t="s">
        <v>1275</v>
      </c>
      <c r="E407" s="28" t="s">
        <v>46</v>
      </c>
      <c r="F407" s="29" t="s">
        <v>46</v>
      </c>
      <c r="G407" s="30" t="s">
        <v>46</v>
      </c>
      <c r="H407" s="31"/>
      <c r="I407" s="31" t="s">
        <v>47</v>
      </c>
      <c r="J407" s="32" t="n">
        <v>1.0</v>
      </c>
      <c r="K407" s="33" t="n">
        <f>39800</f>
        <v>39800.0</v>
      </c>
      <c r="L407" s="34" t="s">
        <v>48</v>
      </c>
      <c r="M407" s="33" t="n">
        <f>40800</f>
        <v>40800.0</v>
      </c>
      <c r="N407" s="34" t="s">
        <v>372</v>
      </c>
      <c r="O407" s="33" t="n">
        <f>39350</f>
        <v>39350.0</v>
      </c>
      <c r="P407" s="34" t="s">
        <v>87</v>
      </c>
      <c r="Q407" s="33" t="n">
        <f>40400</f>
        <v>40400.0</v>
      </c>
      <c r="R407" s="34" t="s">
        <v>50</v>
      </c>
      <c r="S407" s="35" t="n">
        <f>40107.5</f>
        <v>40107.5</v>
      </c>
      <c r="T407" s="32" t="n">
        <f>146589</f>
        <v>146589.0</v>
      </c>
      <c r="U407" s="32" t="n">
        <f>23418</f>
        <v>23418.0</v>
      </c>
      <c r="V407" s="32" t="n">
        <f>5867030171</f>
        <v>5.867030171E9</v>
      </c>
      <c r="W407" s="32" t="n">
        <f>937093571</f>
        <v>9.37093571E8</v>
      </c>
      <c r="X407" s="36" t="n">
        <f>20</f>
        <v>20.0</v>
      </c>
    </row>
    <row r="408">
      <c r="A408" s="27" t="s">
        <v>42</v>
      </c>
      <c r="B408" s="27" t="s">
        <v>1276</v>
      </c>
      <c r="C408" s="27" t="s">
        <v>1277</v>
      </c>
      <c r="D408" s="27" t="s">
        <v>1278</v>
      </c>
      <c r="E408" s="28" t="s">
        <v>46</v>
      </c>
      <c r="F408" s="29" t="s">
        <v>46</v>
      </c>
      <c r="G408" s="30" t="s">
        <v>46</v>
      </c>
      <c r="H408" s="31"/>
      <c r="I408" s="31" t="s">
        <v>47</v>
      </c>
      <c r="J408" s="32" t="n">
        <v>1.0</v>
      </c>
      <c r="K408" s="33" t="n">
        <f>357500</f>
        <v>357500.0</v>
      </c>
      <c r="L408" s="34" t="s">
        <v>48</v>
      </c>
      <c r="M408" s="33" t="n">
        <f>360000</f>
        <v>360000.0</v>
      </c>
      <c r="N408" s="34" t="s">
        <v>69</v>
      </c>
      <c r="O408" s="33" t="n">
        <f>345000</f>
        <v>345000.0</v>
      </c>
      <c r="P408" s="34" t="s">
        <v>94</v>
      </c>
      <c r="Q408" s="33" t="n">
        <f>348000</f>
        <v>348000.0</v>
      </c>
      <c r="R408" s="34" t="s">
        <v>50</v>
      </c>
      <c r="S408" s="35" t="n">
        <f>350975</f>
        <v>350975.0</v>
      </c>
      <c r="T408" s="32" t="n">
        <f>32976</f>
        <v>32976.0</v>
      </c>
      <c r="U408" s="32" t="n">
        <f>7809</f>
        <v>7809.0</v>
      </c>
      <c r="V408" s="32" t="n">
        <f>11580489599</f>
        <v>1.1580489599E10</v>
      </c>
      <c r="W408" s="32" t="n">
        <f>2738455099</f>
        <v>2.738455099E9</v>
      </c>
      <c r="X408" s="36" t="n">
        <f>20</f>
        <v>20.0</v>
      </c>
    </row>
    <row r="409">
      <c r="A409" s="27" t="s">
        <v>42</v>
      </c>
      <c r="B409" s="27" t="s">
        <v>1279</v>
      </c>
      <c r="C409" s="27" t="s">
        <v>1280</v>
      </c>
      <c r="D409" s="27" t="s">
        <v>1281</v>
      </c>
      <c r="E409" s="28" t="s">
        <v>46</v>
      </c>
      <c r="F409" s="29" t="s">
        <v>46</v>
      </c>
      <c r="G409" s="30" t="s">
        <v>46</v>
      </c>
      <c r="H409" s="31"/>
      <c r="I409" s="31" t="s">
        <v>47</v>
      </c>
      <c r="J409" s="32" t="n">
        <v>1.0</v>
      </c>
      <c r="K409" s="33" t="n">
        <f>139700</f>
        <v>139700.0</v>
      </c>
      <c r="L409" s="34" t="s">
        <v>48</v>
      </c>
      <c r="M409" s="33" t="n">
        <f>144700</f>
        <v>144700.0</v>
      </c>
      <c r="N409" s="34" t="s">
        <v>158</v>
      </c>
      <c r="O409" s="33" t="n">
        <f>137400</f>
        <v>137400.0</v>
      </c>
      <c r="P409" s="34" t="s">
        <v>108</v>
      </c>
      <c r="Q409" s="33" t="n">
        <f>142400</f>
        <v>142400.0</v>
      </c>
      <c r="R409" s="34" t="s">
        <v>50</v>
      </c>
      <c r="S409" s="35" t="n">
        <f>140925</f>
        <v>140925.0</v>
      </c>
      <c r="T409" s="32" t="n">
        <f>63128</f>
        <v>63128.0</v>
      </c>
      <c r="U409" s="32" t="n">
        <f>29791</f>
        <v>29791.0</v>
      </c>
      <c r="V409" s="32" t="n">
        <f>8884265411</f>
        <v>8.884265411E9</v>
      </c>
      <c r="W409" s="32" t="n">
        <f>4183020211</f>
        <v>4.183020211E9</v>
      </c>
      <c r="X409" s="36" t="n">
        <f>20</f>
        <v>20.0</v>
      </c>
    </row>
    <row r="410">
      <c r="A410" s="27" t="s">
        <v>42</v>
      </c>
      <c r="B410" s="27" t="s">
        <v>1282</v>
      </c>
      <c r="C410" s="27" t="s">
        <v>1283</v>
      </c>
      <c r="D410" s="27" t="s">
        <v>1284</v>
      </c>
      <c r="E410" s="28" t="s">
        <v>46</v>
      </c>
      <c r="F410" s="29" t="s">
        <v>46</v>
      </c>
      <c r="G410" s="30" t="s">
        <v>46</v>
      </c>
      <c r="H410" s="31"/>
      <c r="I410" s="31" t="s">
        <v>428</v>
      </c>
      <c r="J410" s="32" t="n">
        <v>1.0</v>
      </c>
      <c r="K410" s="33" t="n">
        <f>110900</f>
        <v>110900.0</v>
      </c>
      <c r="L410" s="34" t="s">
        <v>48</v>
      </c>
      <c r="M410" s="33" t="n">
        <f>113000</f>
        <v>113000.0</v>
      </c>
      <c r="N410" s="34" t="s">
        <v>61</v>
      </c>
      <c r="O410" s="33" t="n">
        <f>108500</f>
        <v>108500.0</v>
      </c>
      <c r="P410" s="34" t="s">
        <v>108</v>
      </c>
      <c r="Q410" s="33" t="n">
        <f>112000</f>
        <v>112000.0</v>
      </c>
      <c r="R410" s="34" t="s">
        <v>50</v>
      </c>
      <c r="S410" s="35" t="n">
        <f>110270</f>
        <v>110270.0</v>
      </c>
      <c r="T410" s="32" t="n">
        <f>19572</f>
        <v>19572.0</v>
      </c>
      <c r="U410" s="32" t="n">
        <f>4405</f>
        <v>4405.0</v>
      </c>
      <c r="V410" s="32" t="n">
        <f>2157765448</f>
        <v>2.157765448E9</v>
      </c>
      <c r="W410" s="32" t="n">
        <f>485322848</f>
        <v>4.85322848E8</v>
      </c>
      <c r="X410" s="36" t="n">
        <f>20</f>
        <v>20.0</v>
      </c>
    </row>
    <row r="411">
      <c r="A411" s="27" t="s">
        <v>42</v>
      </c>
      <c r="B411" s="27" t="s">
        <v>1285</v>
      </c>
      <c r="C411" s="27" t="s">
        <v>1286</v>
      </c>
      <c r="D411" s="27" t="s">
        <v>1287</v>
      </c>
      <c r="E411" s="28" t="s">
        <v>46</v>
      </c>
      <c r="F411" s="29" t="s">
        <v>46</v>
      </c>
      <c r="G411" s="30" t="s">
        <v>46</v>
      </c>
      <c r="H411" s="31"/>
      <c r="I411" s="31" t="s">
        <v>47</v>
      </c>
      <c r="J411" s="32" t="n">
        <v>1.0</v>
      </c>
      <c r="K411" s="33" t="n">
        <f>85000</f>
        <v>85000.0</v>
      </c>
      <c r="L411" s="34" t="s">
        <v>48</v>
      </c>
      <c r="M411" s="33" t="n">
        <f>86800</f>
        <v>86800.0</v>
      </c>
      <c r="N411" s="34" t="s">
        <v>158</v>
      </c>
      <c r="O411" s="33" t="n">
        <f>83900</f>
        <v>83900.0</v>
      </c>
      <c r="P411" s="34" t="s">
        <v>87</v>
      </c>
      <c r="Q411" s="33" t="n">
        <f>85300</f>
        <v>85300.0</v>
      </c>
      <c r="R411" s="34" t="s">
        <v>50</v>
      </c>
      <c r="S411" s="35" t="n">
        <f>85170</f>
        <v>85170.0</v>
      </c>
      <c r="T411" s="32" t="n">
        <f>91644</f>
        <v>91644.0</v>
      </c>
      <c r="U411" s="32" t="n">
        <f>15003</f>
        <v>15003.0</v>
      </c>
      <c r="V411" s="32" t="n">
        <f>7812065575</f>
        <v>7.812065575E9</v>
      </c>
      <c r="W411" s="32" t="n">
        <f>1279498975</f>
        <v>1.279498975E9</v>
      </c>
      <c r="X411" s="36" t="n">
        <f>20</f>
        <v>20.0</v>
      </c>
    </row>
    <row r="412">
      <c r="A412" s="27" t="s">
        <v>42</v>
      </c>
      <c r="B412" s="27" t="s">
        <v>1288</v>
      </c>
      <c r="C412" s="27" t="s">
        <v>1289</v>
      </c>
      <c r="D412" s="27" t="s">
        <v>1290</v>
      </c>
      <c r="E412" s="28" t="s">
        <v>46</v>
      </c>
      <c r="F412" s="29" t="s">
        <v>46</v>
      </c>
      <c r="G412" s="30" t="s">
        <v>46</v>
      </c>
      <c r="H412" s="31"/>
      <c r="I412" s="31" t="s">
        <v>47</v>
      </c>
      <c r="J412" s="32" t="n">
        <v>1.0</v>
      </c>
      <c r="K412" s="33" t="n">
        <f>130300</f>
        <v>130300.0</v>
      </c>
      <c r="L412" s="34" t="s">
        <v>48</v>
      </c>
      <c r="M412" s="33" t="n">
        <f>132600</f>
        <v>132600.0</v>
      </c>
      <c r="N412" s="34" t="s">
        <v>121</v>
      </c>
      <c r="O412" s="33" t="n">
        <f>123700</f>
        <v>123700.0</v>
      </c>
      <c r="P412" s="34" t="s">
        <v>257</v>
      </c>
      <c r="Q412" s="33" t="n">
        <f>125500</f>
        <v>125500.0</v>
      </c>
      <c r="R412" s="34" t="s">
        <v>50</v>
      </c>
      <c r="S412" s="35" t="n">
        <f>128645</f>
        <v>128645.0</v>
      </c>
      <c r="T412" s="32" t="n">
        <f>596829</f>
        <v>596829.0</v>
      </c>
      <c r="U412" s="32" t="n">
        <f>99688</f>
        <v>99688.0</v>
      </c>
      <c r="V412" s="32" t="n">
        <f>76267019575</f>
        <v>7.6267019575E10</v>
      </c>
      <c r="W412" s="32" t="n">
        <f>12744099575</f>
        <v>1.2744099575E10</v>
      </c>
      <c r="X412" s="36" t="n">
        <f>20</f>
        <v>20.0</v>
      </c>
    </row>
    <row r="413">
      <c r="A413" s="27" t="s">
        <v>42</v>
      </c>
      <c r="B413" s="27" t="s">
        <v>1291</v>
      </c>
      <c r="C413" s="27" t="s">
        <v>1292</v>
      </c>
      <c r="D413" s="27" t="s">
        <v>1293</v>
      </c>
      <c r="E413" s="28" t="s">
        <v>46</v>
      </c>
      <c r="F413" s="29" t="s">
        <v>46</v>
      </c>
      <c r="G413" s="30" t="s">
        <v>46</v>
      </c>
      <c r="H413" s="31"/>
      <c r="I413" s="31" t="s">
        <v>47</v>
      </c>
      <c r="J413" s="32" t="n">
        <v>1.0</v>
      </c>
      <c r="K413" s="33" t="n">
        <f>557000</f>
        <v>557000.0</v>
      </c>
      <c r="L413" s="34" t="s">
        <v>48</v>
      </c>
      <c r="M413" s="33" t="n">
        <f>575000</f>
        <v>575000.0</v>
      </c>
      <c r="N413" s="34" t="s">
        <v>69</v>
      </c>
      <c r="O413" s="33" t="n">
        <f>548000</f>
        <v>548000.0</v>
      </c>
      <c r="P413" s="34" t="s">
        <v>104</v>
      </c>
      <c r="Q413" s="33" t="n">
        <f>554000</f>
        <v>554000.0</v>
      </c>
      <c r="R413" s="34" t="s">
        <v>50</v>
      </c>
      <c r="S413" s="35" t="n">
        <f>560950</f>
        <v>560950.0</v>
      </c>
      <c r="T413" s="32" t="n">
        <f>134036</f>
        <v>134036.0</v>
      </c>
      <c r="U413" s="32" t="n">
        <f>32324</f>
        <v>32324.0</v>
      </c>
      <c r="V413" s="32" t="n">
        <f>75273808064</f>
        <v>7.5273808064E10</v>
      </c>
      <c r="W413" s="32" t="n">
        <f>18159261064</f>
        <v>1.8159261064E10</v>
      </c>
      <c r="X413" s="36" t="n">
        <f>20</f>
        <v>20.0</v>
      </c>
    </row>
    <row r="414">
      <c r="A414" s="27" t="s">
        <v>42</v>
      </c>
      <c r="B414" s="27" t="s">
        <v>1294</v>
      </c>
      <c r="C414" s="27" t="s">
        <v>1295</v>
      </c>
      <c r="D414" s="27" t="s">
        <v>1296</v>
      </c>
      <c r="E414" s="28" t="s">
        <v>46</v>
      </c>
      <c r="F414" s="29" t="s">
        <v>46</v>
      </c>
      <c r="G414" s="30" t="s">
        <v>46</v>
      </c>
      <c r="H414" s="31"/>
      <c r="I414" s="31" t="s">
        <v>47</v>
      </c>
      <c r="J414" s="32" t="n">
        <v>1.0</v>
      </c>
      <c r="K414" s="33" t="n">
        <f>93300</f>
        <v>93300.0</v>
      </c>
      <c r="L414" s="34" t="s">
        <v>48</v>
      </c>
      <c r="M414" s="33" t="n">
        <f>94200</f>
        <v>94200.0</v>
      </c>
      <c r="N414" s="34" t="s">
        <v>48</v>
      </c>
      <c r="O414" s="33" t="n">
        <f>89800</f>
        <v>89800.0</v>
      </c>
      <c r="P414" s="34" t="s">
        <v>94</v>
      </c>
      <c r="Q414" s="33" t="n">
        <f>91300</f>
        <v>91300.0</v>
      </c>
      <c r="R414" s="34" t="s">
        <v>50</v>
      </c>
      <c r="S414" s="35" t="n">
        <f>91500</f>
        <v>91500.0</v>
      </c>
      <c r="T414" s="32" t="n">
        <f>385663</f>
        <v>385663.0</v>
      </c>
      <c r="U414" s="32" t="n">
        <f>85304</f>
        <v>85304.0</v>
      </c>
      <c r="V414" s="32" t="n">
        <f>35318382930</f>
        <v>3.531838293E10</v>
      </c>
      <c r="W414" s="32" t="n">
        <f>7817258030</f>
        <v>7.81725803E9</v>
      </c>
      <c r="X414" s="36" t="n">
        <f>20</f>
        <v>20.0</v>
      </c>
    </row>
    <row r="415">
      <c r="A415" s="27" t="s">
        <v>42</v>
      </c>
      <c r="B415" s="27" t="s">
        <v>1297</v>
      </c>
      <c r="C415" s="27" t="s">
        <v>1298</v>
      </c>
      <c r="D415" s="27" t="s">
        <v>1299</v>
      </c>
      <c r="E415" s="28" t="s">
        <v>46</v>
      </c>
      <c r="F415" s="29" t="s">
        <v>46</v>
      </c>
      <c r="G415" s="30" t="s">
        <v>46</v>
      </c>
      <c r="H415" s="31"/>
      <c r="I415" s="31" t="s">
        <v>47</v>
      </c>
      <c r="J415" s="32" t="n">
        <v>1.0</v>
      </c>
      <c r="K415" s="33" t="n">
        <f>157700</f>
        <v>157700.0</v>
      </c>
      <c r="L415" s="34" t="s">
        <v>48</v>
      </c>
      <c r="M415" s="33" t="n">
        <f>169300</f>
        <v>169300.0</v>
      </c>
      <c r="N415" s="34" t="s">
        <v>158</v>
      </c>
      <c r="O415" s="33" t="n">
        <f>156800</f>
        <v>156800.0</v>
      </c>
      <c r="P415" s="34" t="s">
        <v>48</v>
      </c>
      <c r="Q415" s="33" t="n">
        <f>166700</f>
        <v>166700.0</v>
      </c>
      <c r="R415" s="34" t="s">
        <v>50</v>
      </c>
      <c r="S415" s="35" t="n">
        <f>162555</f>
        <v>162555.0</v>
      </c>
      <c r="T415" s="32" t="n">
        <f>252441</f>
        <v>252441.0</v>
      </c>
      <c r="U415" s="32" t="n">
        <f>74214</f>
        <v>74214.0</v>
      </c>
      <c r="V415" s="32" t="n">
        <f>41070163024</f>
        <v>4.1070163024E10</v>
      </c>
      <c r="W415" s="32" t="n">
        <f>12009043624</f>
        <v>1.2009043624E10</v>
      </c>
      <c r="X415" s="36" t="n">
        <f>20</f>
        <v>20.0</v>
      </c>
    </row>
    <row r="416">
      <c r="A416" s="27" t="s">
        <v>42</v>
      </c>
      <c r="B416" s="27" t="s">
        <v>1300</v>
      </c>
      <c r="C416" s="27" t="s">
        <v>1301</v>
      </c>
      <c r="D416" s="27" t="s">
        <v>1302</v>
      </c>
      <c r="E416" s="28" t="s">
        <v>46</v>
      </c>
      <c r="F416" s="29" t="s">
        <v>46</v>
      </c>
      <c r="G416" s="30" t="s">
        <v>46</v>
      </c>
      <c r="H416" s="31"/>
      <c r="I416" s="31" t="s">
        <v>47</v>
      </c>
      <c r="J416" s="32" t="n">
        <v>1.0</v>
      </c>
      <c r="K416" s="33" t="n">
        <f>333500</f>
        <v>333500.0</v>
      </c>
      <c r="L416" s="34" t="s">
        <v>48</v>
      </c>
      <c r="M416" s="33" t="n">
        <f>340000</f>
        <v>340000.0</v>
      </c>
      <c r="N416" s="34" t="s">
        <v>69</v>
      </c>
      <c r="O416" s="33" t="n">
        <f>326500</f>
        <v>326500.0</v>
      </c>
      <c r="P416" s="34" t="s">
        <v>65</v>
      </c>
      <c r="Q416" s="33" t="n">
        <f>330500</f>
        <v>330500.0</v>
      </c>
      <c r="R416" s="34" t="s">
        <v>50</v>
      </c>
      <c r="S416" s="35" t="n">
        <f>332925</f>
        <v>332925.0</v>
      </c>
      <c r="T416" s="32" t="n">
        <f>42525</f>
        <v>42525.0</v>
      </c>
      <c r="U416" s="32" t="n">
        <f>12751</f>
        <v>12751.0</v>
      </c>
      <c r="V416" s="32" t="n">
        <f>14178183123</f>
        <v>1.4178183123E10</v>
      </c>
      <c r="W416" s="32" t="n">
        <f>4248601623</f>
        <v>4.248601623E9</v>
      </c>
      <c r="X416" s="36" t="n">
        <f>20</f>
        <v>20.0</v>
      </c>
    </row>
    <row r="417">
      <c r="A417" s="27" t="s">
        <v>42</v>
      </c>
      <c r="B417" s="27" t="s">
        <v>1303</v>
      </c>
      <c r="C417" s="27" t="s">
        <v>1304</v>
      </c>
      <c r="D417" s="27" t="s">
        <v>1305</v>
      </c>
      <c r="E417" s="28" t="s">
        <v>46</v>
      </c>
      <c r="F417" s="29" t="s">
        <v>46</v>
      </c>
      <c r="G417" s="30" t="s">
        <v>46</v>
      </c>
      <c r="H417" s="31"/>
      <c r="I417" s="31" t="s">
        <v>47</v>
      </c>
      <c r="J417" s="32" t="n">
        <v>1.0</v>
      </c>
      <c r="K417" s="33" t="n">
        <f>109000</f>
        <v>109000.0</v>
      </c>
      <c r="L417" s="34" t="s">
        <v>48</v>
      </c>
      <c r="M417" s="33" t="n">
        <f>115100</f>
        <v>115100.0</v>
      </c>
      <c r="N417" s="34" t="s">
        <v>162</v>
      </c>
      <c r="O417" s="33" t="n">
        <f>106800</f>
        <v>106800.0</v>
      </c>
      <c r="P417" s="34" t="s">
        <v>121</v>
      </c>
      <c r="Q417" s="33" t="n">
        <f>113600</f>
        <v>113600.0</v>
      </c>
      <c r="R417" s="34" t="s">
        <v>50</v>
      </c>
      <c r="S417" s="35" t="n">
        <f>111070</f>
        <v>111070.0</v>
      </c>
      <c r="T417" s="32" t="n">
        <f>124649</f>
        <v>124649.0</v>
      </c>
      <c r="U417" s="32" t="n">
        <f>50373</f>
        <v>50373.0</v>
      </c>
      <c r="V417" s="32" t="n">
        <f>13882231595</f>
        <v>1.3882231595E10</v>
      </c>
      <c r="W417" s="32" t="n">
        <f>5623440495</f>
        <v>5.623440495E9</v>
      </c>
      <c r="X417" s="36" t="n">
        <f>20</f>
        <v>20.0</v>
      </c>
    </row>
    <row r="418">
      <c r="A418" s="27" t="s">
        <v>42</v>
      </c>
      <c r="B418" s="27" t="s">
        <v>1306</v>
      </c>
      <c r="C418" s="27" t="s">
        <v>1307</v>
      </c>
      <c r="D418" s="27" t="s">
        <v>1308</v>
      </c>
      <c r="E418" s="28" t="s">
        <v>46</v>
      </c>
      <c r="F418" s="29" t="s">
        <v>46</v>
      </c>
      <c r="G418" s="30" t="s">
        <v>46</v>
      </c>
      <c r="H418" s="31"/>
      <c r="I418" s="31" t="s">
        <v>47</v>
      </c>
      <c r="J418" s="32" t="n">
        <v>1.0</v>
      </c>
      <c r="K418" s="33" t="n">
        <f>154600</f>
        <v>154600.0</v>
      </c>
      <c r="L418" s="34" t="s">
        <v>48</v>
      </c>
      <c r="M418" s="33" t="n">
        <f>160100</f>
        <v>160100.0</v>
      </c>
      <c r="N418" s="34" t="s">
        <v>158</v>
      </c>
      <c r="O418" s="33" t="n">
        <f>152400</f>
        <v>152400.0</v>
      </c>
      <c r="P418" s="34" t="s">
        <v>121</v>
      </c>
      <c r="Q418" s="33" t="n">
        <f>157200</f>
        <v>157200.0</v>
      </c>
      <c r="R418" s="34" t="s">
        <v>50</v>
      </c>
      <c r="S418" s="35" t="n">
        <f>156525</f>
        <v>156525.0</v>
      </c>
      <c r="T418" s="32" t="n">
        <f>58626</f>
        <v>58626.0</v>
      </c>
      <c r="U418" s="32" t="n">
        <f>12378</f>
        <v>12378.0</v>
      </c>
      <c r="V418" s="32" t="n">
        <f>9172863610</f>
        <v>9.17286361E9</v>
      </c>
      <c r="W418" s="32" t="n">
        <f>1936948410</f>
        <v>1.93694841E9</v>
      </c>
      <c r="X418" s="36" t="n">
        <f>20</f>
        <v>20.0</v>
      </c>
    </row>
    <row r="419">
      <c r="A419" s="27" t="s">
        <v>42</v>
      </c>
      <c r="B419" s="27" t="s">
        <v>1309</v>
      </c>
      <c r="C419" s="27" t="s">
        <v>1310</v>
      </c>
      <c r="D419" s="27" t="s">
        <v>1311</v>
      </c>
      <c r="E419" s="28" t="s">
        <v>46</v>
      </c>
      <c r="F419" s="29" t="s">
        <v>46</v>
      </c>
      <c r="G419" s="30" t="s">
        <v>46</v>
      </c>
      <c r="H419" s="31"/>
      <c r="I419" s="31" t="s">
        <v>47</v>
      </c>
      <c r="J419" s="32" t="n">
        <v>1.0</v>
      </c>
      <c r="K419" s="33" t="n">
        <f>98200</f>
        <v>98200.0</v>
      </c>
      <c r="L419" s="34" t="s">
        <v>48</v>
      </c>
      <c r="M419" s="33" t="n">
        <f>101900</f>
        <v>101900.0</v>
      </c>
      <c r="N419" s="34" t="s">
        <v>519</v>
      </c>
      <c r="O419" s="33" t="n">
        <f>97900</f>
        <v>97900.0</v>
      </c>
      <c r="P419" s="34" t="s">
        <v>48</v>
      </c>
      <c r="Q419" s="33" t="n">
        <f>98700</f>
        <v>98700.0</v>
      </c>
      <c r="R419" s="34" t="s">
        <v>50</v>
      </c>
      <c r="S419" s="35" t="n">
        <f>99855</f>
        <v>99855.0</v>
      </c>
      <c r="T419" s="32" t="n">
        <f>71830</f>
        <v>71830.0</v>
      </c>
      <c r="U419" s="32" t="n">
        <f>13810</f>
        <v>13810.0</v>
      </c>
      <c r="V419" s="32" t="n">
        <f>7176897357</f>
        <v>7.176897357E9</v>
      </c>
      <c r="W419" s="32" t="n">
        <f>1378560057</f>
        <v>1.378560057E9</v>
      </c>
      <c r="X419" s="36" t="n">
        <f>20</f>
        <v>20.0</v>
      </c>
    </row>
    <row r="420">
      <c r="A420" s="27" t="s">
        <v>42</v>
      </c>
      <c r="B420" s="27" t="s">
        <v>1312</v>
      </c>
      <c r="C420" s="27" t="s">
        <v>1313</v>
      </c>
      <c r="D420" s="27" t="s">
        <v>1314</v>
      </c>
      <c r="E420" s="28" t="s">
        <v>46</v>
      </c>
      <c r="F420" s="29" t="s">
        <v>46</v>
      </c>
      <c r="G420" s="30" t="s">
        <v>46</v>
      </c>
      <c r="H420" s="31"/>
      <c r="I420" s="31" t="s">
        <v>47</v>
      </c>
      <c r="J420" s="32" t="n">
        <v>1.0</v>
      </c>
      <c r="K420" s="33" t="n">
        <f>136100</f>
        <v>136100.0</v>
      </c>
      <c r="L420" s="34" t="s">
        <v>48</v>
      </c>
      <c r="M420" s="33" t="n">
        <f>143300</f>
        <v>143300.0</v>
      </c>
      <c r="N420" s="34" t="s">
        <v>158</v>
      </c>
      <c r="O420" s="33" t="n">
        <f>135500</f>
        <v>135500.0</v>
      </c>
      <c r="P420" s="34" t="s">
        <v>48</v>
      </c>
      <c r="Q420" s="33" t="n">
        <f>136500</f>
        <v>136500.0</v>
      </c>
      <c r="R420" s="34" t="s">
        <v>50</v>
      </c>
      <c r="S420" s="35" t="n">
        <f>138890</f>
        <v>138890.0</v>
      </c>
      <c r="T420" s="32" t="n">
        <f>240155</f>
        <v>240155.0</v>
      </c>
      <c r="U420" s="32" t="n">
        <f>51070</f>
        <v>51070.0</v>
      </c>
      <c r="V420" s="32" t="n">
        <f>33435926158</f>
        <v>3.3435926158E10</v>
      </c>
      <c r="W420" s="32" t="n">
        <f>7105710058</f>
        <v>7.105710058E9</v>
      </c>
      <c r="X420" s="36" t="n">
        <f>20</f>
        <v>20.0</v>
      </c>
    </row>
    <row r="421">
      <c r="A421" s="27" t="s">
        <v>42</v>
      </c>
      <c r="B421" s="27" t="s">
        <v>1315</v>
      </c>
      <c r="C421" s="27" t="s">
        <v>1316</v>
      </c>
      <c r="D421" s="27" t="s">
        <v>1317</v>
      </c>
      <c r="E421" s="28" t="s">
        <v>46</v>
      </c>
      <c r="F421" s="29" t="s">
        <v>46</v>
      </c>
      <c r="G421" s="30" t="s">
        <v>46</v>
      </c>
      <c r="H421" s="31"/>
      <c r="I421" s="31" t="s">
        <v>47</v>
      </c>
      <c r="J421" s="32" t="n">
        <v>1.0</v>
      </c>
      <c r="K421" s="33" t="n">
        <f>61500</f>
        <v>61500.0</v>
      </c>
      <c r="L421" s="34" t="s">
        <v>48</v>
      </c>
      <c r="M421" s="33" t="n">
        <f>62000</f>
        <v>62000.0</v>
      </c>
      <c r="N421" s="34" t="s">
        <v>158</v>
      </c>
      <c r="O421" s="33" t="n">
        <f>60300</f>
        <v>60300.0</v>
      </c>
      <c r="P421" s="34" t="s">
        <v>108</v>
      </c>
      <c r="Q421" s="33" t="n">
        <f>60900</f>
        <v>60900.0</v>
      </c>
      <c r="R421" s="34" t="s">
        <v>50</v>
      </c>
      <c r="S421" s="35" t="n">
        <f>61250</f>
        <v>61250.0</v>
      </c>
      <c r="T421" s="32" t="n">
        <f>135471</f>
        <v>135471.0</v>
      </c>
      <c r="U421" s="32" t="n">
        <f>32409</f>
        <v>32409.0</v>
      </c>
      <c r="V421" s="32" t="n">
        <f>8298098294</f>
        <v>8.298098294E9</v>
      </c>
      <c r="W421" s="32" t="n">
        <f>1983937294</f>
        <v>1.983937294E9</v>
      </c>
      <c r="X421" s="36" t="n">
        <f>20</f>
        <v>20.0</v>
      </c>
    </row>
    <row r="422">
      <c r="A422" s="27" t="s">
        <v>42</v>
      </c>
      <c r="B422" s="27" t="s">
        <v>1318</v>
      </c>
      <c r="C422" s="27" t="s">
        <v>1319</v>
      </c>
      <c r="D422" s="27" t="s">
        <v>1320</v>
      </c>
      <c r="E422" s="28" t="s">
        <v>46</v>
      </c>
      <c r="F422" s="29" t="s">
        <v>46</v>
      </c>
      <c r="G422" s="30" t="s">
        <v>46</v>
      </c>
      <c r="H422" s="31"/>
      <c r="I422" s="31" t="s">
        <v>47</v>
      </c>
      <c r="J422" s="32" t="n">
        <v>1.0</v>
      </c>
      <c r="K422" s="33" t="n">
        <f>62000</f>
        <v>62000.0</v>
      </c>
      <c r="L422" s="34" t="s">
        <v>48</v>
      </c>
      <c r="M422" s="33" t="n">
        <f>64500</f>
        <v>64500.0</v>
      </c>
      <c r="N422" s="34" t="s">
        <v>519</v>
      </c>
      <c r="O422" s="33" t="n">
        <f>61900</f>
        <v>61900.0</v>
      </c>
      <c r="P422" s="34" t="s">
        <v>48</v>
      </c>
      <c r="Q422" s="33" t="n">
        <f>63600</f>
        <v>63600.0</v>
      </c>
      <c r="R422" s="34" t="s">
        <v>50</v>
      </c>
      <c r="S422" s="35" t="n">
        <f>63510</f>
        <v>63510.0</v>
      </c>
      <c r="T422" s="32" t="n">
        <f>529766</f>
        <v>529766.0</v>
      </c>
      <c r="U422" s="32" t="n">
        <f>166781</f>
        <v>166781.0</v>
      </c>
      <c r="V422" s="32" t="n">
        <f>33643704844</f>
        <v>3.3643704844E10</v>
      </c>
      <c r="W422" s="32" t="n">
        <f>10584116644</f>
        <v>1.0584116644E10</v>
      </c>
      <c r="X422" s="36" t="n">
        <f>20</f>
        <v>20.0</v>
      </c>
    </row>
    <row r="423">
      <c r="A423" s="27" t="s">
        <v>42</v>
      </c>
      <c r="B423" s="27" t="s">
        <v>1321</v>
      </c>
      <c r="C423" s="27" t="s">
        <v>1322</v>
      </c>
      <c r="D423" s="27" t="s">
        <v>1323</v>
      </c>
      <c r="E423" s="28" t="s">
        <v>46</v>
      </c>
      <c r="F423" s="29" t="s">
        <v>46</v>
      </c>
      <c r="G423" s="30" t="s">
        <v>46</v>
      </c>
      <c r="H423" s="31"/>
      <c r="I423" s="31" t="s">
        <v>47</v>
      </c>
      <c r="J423" s="32" t="n">
        <v>1.0</v>
      </c>
      <c r="K423" s="33" t="n">
        <f>404000</f>
        <v>404000.0</v>
      </c>
      <c r="L423" s="34" t="s">
        <v>48</v>
      </c>
      <c r="M423" s="33" t="n">
        <f>412500</f>
        <v>412500.0</v>
      </c>
      <c r="N423" s="34" t="s">
        <v>69</v>
      </c>
      <c r="O423" s="33" t="n">
        <f>395000</f>
        <v>395000.0</v>
      </c>
      <c r="P423" s="34" t="s">
        <v>50</v>
      </c>
      <c r="Q423" s="33" t="n">
        <f>395000</f>
        <v>395000.0</v>
      </c>
      <c r="R423" s="34" t="s">
        <v>50</v>
      </c>
      <c r="S423" s="35" t="n">
        <f>400300</f>
        <v>400300.0</v>
      </c>
      <c r="T423" s="32" t="n">
        <f>25194</f>
        <v>25194.0</v>
      </c>
      <c r="U423" s="32" t="n">
        <f>5481</f>
        <v>5481.0</v>
      </c>
      <c r="V423" s="32" t="n">
        <f>10102444861</f>
        <v>1.0102444861E10</v>
      </c>
      <c r="W423" s="32" t="n">
        <f>2196127861</f>
        <v>2.196127861E9</v>
      </c>
      <c r="X423" s="36" t="n">
        <f>20</f>
        <v>20.0</v>
      </c>
    </row>
    <row r="424">
      <c r="A424" s="27" t="s">
        <v>42</v>
      </c>
      <c r="B424" s="27" t="s">
        <v>1324</v>
      </c>
      <c r="C424" s="27" t="s">
        <v>1325</v>
      </c>
      <c r="D424" s="27" t="s">
        <v>1326</v>
      </c>
      <c r="E424" s="28" t="s">
        <v>46</v>
      </c>
      <c r="F424" s="29" t="s">
        <v>46</v>
      </c>
      <c r="G424" s="30" t="s">
        <v>46</v>
      </c>
      <c r="H424" s="31"/>
      <c r="I424" s="31" t="s">
        <v>47</v>
      </c>
      <c r="J424" s="32" t="n">
        <v>1.0</v>
      </c>
      <c r="K424" s="33" t="n">
        <f>121500</f>
        <v>121500.0</v>
      </c>
      <c r="L424" s="34" t="s">
        <v>48</v>
      </c>
      <c r="M424" s="33" t="n">
        <f>122100</f>
        <v>122100.0</v>
      </c>
      <c r="N424" s="34" t="s">
        <v>73</v>
      </c>
      <c r="O424" s="33" t="n">
        <f>116700</f>
        <v>116700.0</v>
      </c>
      <c r="P424" s="34" t="s">
        <v>61</v>
      </c>
      <c r="Q424" s="33" t="n">
        <f>117200</f>
        <v>117200.0</v>
      </c>
      <c r="R424" s="34" t="s">
        <v>50</v>
      </c>
      <c r="S424" s="35" t="n">
        <f>119880</f>
        <v>119880.0</v>
      </c>
      <c r="T424" s="32" t="n">
        <f>109340</f>
        <v>109340.0</v>
      </c>
      <c r="U424" s="32" t="n">
        <f>13402</f>
        <v>13402.0</v>
      </c>
      <c r="V424" s="32" t="n">
        <f>13097971872</f>
        <v>1.3097971872E10</v>
      </c>
      <c r="W424" s="32" t="n">
        <f>1605962872</f>
        <v>1.605962872E9</v>
      </c>
      <c r="X424" s="36" t="n">
        <f>20</f>
        <v>20.0</v>
      </c>
    </row>
    <row r="425">
      <c r="A425" s="27" t="s">
        <v>42</v>
      </c>
      <c r="B425" s="27" t="s">
        <v>1327</v>
      </c>
      <c r="C425" s="27" t="s">
        <v>1328</v>
      </c>
      <c r="D425" s="27" t="s">
        <v>1329</v>
      </c>
      <c r="E425" s="28" t="s">
        <v>46</v>
      </c>
      <c r="F425" s="29" t="s">
        <v>46</v>
      </c>
      <c r="G425" s="30" t="s">
        <v>46</v>
      </c>
      <c r="H425" s="31"/>
      <c r="I425" s="31" t="s">
        <v>47</v>
      </c>
      <c r="J425" s="32" t="n">
        <v>1.0</v>
      </c>
      <c r="K425" s="33" t="n">
        <f>272600</f>
        <v>272600.0</v>
      </c>
      <c r="L425" s="34" t="s">
        <v>48</v>
      </c>
      <c r="M425" s="33" t="n">
        <f>282700</f>
        <v>282700.0</v>
      </c>
      <c r="N425" s="34" t="s">
        <v>69</v>
      </c>
      <c r="O425" s="33" t="n">
        <f>263800</f>
        <v>263800.0</v>
      </c>
      <c r="P425" s="34" t="s">
        <v>50</v>
      </c>
      <c r="Q425" s="33" t="n">
        <f>263800</f>
        <v>263800.0</v>
      </c>
      <c r="R425" s="34" t="s">
        <v>50</v>
      </c>
      <c r="S425" s="35" t="n">
        <f>269955</f>
        <v>269955.0</v>
      </c>
      <c r="T425" s="32" t="n">
        <f>39480</f>
        <v>39480.0</v>
      </c>
      <c r="U425" s="32" t="n">
        <f>7712</f>
        <v>7712.0</v>
      </c>
      <c r="V425" s="32" t="n">
        <f>10701591313</f>
        <v>1.0701591313E10</v>
      </c>
      <c r="W425" s="32" t="n">
        <f>2088513213</f>
        <v>2.088513213E9</v>
      </c>
      <c r="X425" s="36" t="n">
        <f>20</f>
        <v>20.0</v>
      </c>
    </row>
    <row r="426">
      <c r="A426" s="27" t="s">
        <v>42</v>
      </c>
      <c r="B426" s="27" t="s">
        <v>1330</v>
      </c>
      <c r="C426" s="27" t="s">
        <v>1331</v>
      </c>
      <c r="D426" s="27" t="s">
        <v>1332</v>
      </c>
      <c r="E426" s="28" t="s">
        <v>46</v>
      </c>
      <c r="F426" s="29" t="s">
        <v>46</v>
      </c>
      <c r="G426" s="30" t="s">
        <v>46</v>
      </c>
      <c r="H426" s="31"/>
      <c r="I426" s="31" t="s">
        <v>47</v>
      </c>
      <c r="J426" s="32" t="n">
        <v>1.0</v>
      </c>
      <c r="K426" s="33" t="n">
        <f>142000</f>
        <v>142000.0</v>
      </c>
      <c r="L426" s="34" t="s">
        <v>48</v>
      </c>
      <c r="M426" s="33" t="n">
        <f>145600</f>
        <v>145600.0</v>
      </c>
      <c r="N426" s="34" t="s">
        <v>158</v>
      </c>
      <c r="O426" s="33" t="n">
        <f>140300</f>
        <v>140300.0</v>
      </c>
      <c r="P426" s="34" t="s">
        <v>108</v>
      </c>
      <c r="Q426" s="33" t="n">
        <f>142500</f>
        <v>142500.0</v>
      </c>
      <c r="R426" s="34" t="s">
        <v>50</v>
      </c>
      <c r="S426" s="35" t="n">
        <f>142845</f>
        <v>142845.0</v>
      </c>
      <c r="T426" s="32" t="n">
        <f>49870</f>
        <v>49870.0</v>
      </c>
      <c r="U426" s="32" t="n">
        <f>12262</f>
        <v>12262.0</v>
      </c>
      <c r="V426" s="32" t="n">
        <f>7125899241</f>
        <v>7.125899241E9</v>
      </c>
      <c r="W426" s="32" t="n">
        <f>1751412941</f>
        <v>1.751412941E9</v>
      </c>
      <c r="X426" s="36" t="n">
        <f>20</f>
        <v>20.0</v>
      </c>
    </row>
    <row r="427">
      <c r="A427" s="27" t="s">
        <v>42</v>
      </c>
      <c r="B427" s="27" t="s">
        <v>1333</v>
      </c>
      <c r="C427" s="27" t="s">
        <v>1334</v>
      </c>
      <c r="D427" s="27" t="s">
        <v>1335</v>
      </c>
      <c r="E427" s="28" t="s">
        <v>46</v>
      </c>
      <c r="F427" s="29" t="s">
        <v>46</v>
      </c>
      <c r="G427" s="30" t="s">
        <v>46</v>
      </c>
      <c r="H427" s="31"/>
      <c r="I427" s="31" t="s">
        <v>47</v>
      </c>
      <c r="J427" s="32" t="n">
        <v>1.0</v>
      </c>
      <c r="K427" s="33" t="n">
        <f>144600</f>
        <v>144600.0</v>
      </c>
      <c r="L427" s="34" t="s">
        <v>48</v>
      </c>
      <c r="M427" s="33" t="n">
        <f>151500</f>
        <v>151500.0</v>
      </c>
      <c r="N427" s="34" t="s">
        <v>158</v>
      </c>
      <c r="O427" s="33" t="n">
        <f>144200</f>
        <v>144200.0</v>
      </c>
      <c r="P427" s="34" t="s">
        <v>108</v>
      </c>
      <c r="Q427" s="33" t="n">
        <f>147300</f>
        <v>147300.0</v>
      </c>
      <c r="R427" s="34" t="s">
        <v>50</v>
      </c>
      <c r="S427" s="35" t="n">
        <f>147310</f>
        <v>147310.0</v>
      </c>
      <c r="T427" s="32" t="n">
        <f>215724</f>
        <v>215724.0</v>
      </c>
      <c r="U427" s="32" t="n">
        <f>51522</f>
        <v>51522.0</v>
      </c>
      <c r="V427" s="32" t="n">
        <f>31823724933</f>
        <v>3.1823724933E10</v>
      </c>
      <c r="W427" s="32" t="n">
        <f>7601417933</f>
        <v>7.601417933E9</v>
      </c>
      <c r="X427" s="36" t="n">
        <f>20</f>
        <v>20.0</v>
      </c>
    </row>
    <row r="428">
      <c r="A428" s="27" t="s">
        <v>42</v>
      </c>
      <c r="B428" s="27" t="s">
        <v>1336</v>
      </c>
      <c r="C428" s="27" t="s">
        <v>1337</v>
      </c>
      <c r="D428" s="27" t="s">
        <v>1338</v>
      </c>
      <c r="E428" s="28" t="s">
        <v>46</v>
      </c>
      <c r="F428" s="29" t="s">
        <v>46</v>
      </c>
      <c r="G428" s="30" t="s">
        <v>46</v>
      </c>
      <c r="H428" s="31"/>
      <c r="I428" s="31" t="s">
        <v>47</v>
      </c>
      <c r="J428" s="32" t="n">
        <v>1.0</v>
      </c>
      <c r="K428" s="33" t="n">
        <f>78000</f>
        <v>78000.0</v>
      </c>
      <c r="L428" s="34" t="s">
        <v>48</v>
      </c>
      <c r="M428" s="33" t="n">
        <f>80100</f>
        <v>80100.0</v>
      </c>
      <c r="N428" s="34" t="s">
        <v>158</v>
      </c>
      <c r="O428" s="33" t="n">
        <f>77100</f>
        <v>77100.0</v>
      </c>
      <c r="P428" s="34" t="s">
        <v>121</v>
      </c>
      <c r="Q428" s="33" t="n">
        <f>79100</f>
        <v>79100.0</v>
      </c>
      <c r="R428" s="34" t="s">
        <v>50</v>
      </c>
      <c r="S428" s="35" t="n">
        <f>78925</f>
        <v>78925.0</v>
      </c>
      <c r="T428" s="32" t="n">
        <f>89117</f>
        <v>89117.0</v>
      </c>
      <c r="U428" s="32" t="n">
        <f>16305</f>
        <v>16305.0</v>
      </c>
      <c r="V428" s="32" t="n">
        <f>7016010440</f>
        <v>7.01601044E9</v>
      </c>
      <c r="W428" s="32" t="n">
        <f>1283345240</f>
        <v>1.28334524E9</v>
      </c>
      <c r="X428" s="36" t="n">
        <f>20</f>
        <v>20.0</v>
      </c>
    </row>
    <row r="429">
      <c r="A429" s="27" t="s">
        <v>42</v>
      </c>
      <c r="B429" s="27" t="s">
        <v>1339</v>
      </c>
      <c r="C429" s="27" t="s">
        <v>1340</v>
      </c>
      <c r="D429" s="27" t="s">
        <v>1341</v>
      </c>
      <c r="E429" s="28" t="s">
        <v>46</v>
      </c>
      <c r="F429" s="29" t="s">
        <v>46</v>
      </c>
      <c r="G429" s="30" t="s">
        <v>46</v>
      </c>
      <c r="H429" s="31"/>
      <c r="I429" s="31" t="s">
        <v>47</v>
      </c>
      <c r="J429" s="32" t="n">
        <v>1.0</v>
      </c>
      <c r="K429" s="33" t="n">
        <f>300500</f>
        <v>300500.0</v>
      </c>
      <c r="L429" s="34" t="s">
        <v>48</v>
      </c>
      <c r="M429" s="33" t="n">
        <f>309500</f>
        <v>309500.0</v>
      </c>
      <c r="N429" s="34" t="s">
        <v>158</v>
      </c>
      <c r="O429" s="33" t="n">
        <f>296400</f>
        <v>296400.0</v>
      </c>
      <c r="P429" s="34" t="s">
        <v>61</v>
      </c>
      <c r="Q429" s="33" t="n">
        <f>300000</f>
        <v>300000.0</v>
      </c>
      <c r="R429" s="34" t="s">
        <v>50</v>
      </c>
      <c r="S429" s="35" t="n">
        <f>304300</f>
        <v>304300.0</v>
      </c>
      <c r="T429" s="32" t="n">
        <f>44042</f>
        <v>44042.0</v>
      </c>
      <c r="U429" s="32" t="n">
        <f>12613</f>
        <v>12613.0</v>
      </c>
      <c r="V429" s="32" t="n">
        <f>13399412486</f>
        <v>1.3399412486E10</v>
      </c>
      <c r="W429" s="32" t="n">
        <f>3837746986</f>
        <v>3.837746986E9</v>
      </c>
      <c r="X429" s="36" t="n">
        <f>20</f>
        <v>20.0</v>
      </c>
    </row>
    <row r="430">
      <c r="A430" s="27" t="s">
        <v>42</v>
      </c>
      <c r="B430" s="27" t="s">
        <v>1342</v>
      </c>
      <c r="C430" s="27" t="s">
        <v>1343</v>
      </c>
      <c r="D430" s="27" t="s">
        <v>1344</v>
      </c>
      <c r="E430" s="28" t="s">
        <v>46</v>
      </c>
      <c r="F430" s="29" t="s">
        <v>46</v>
      </c>
      <c r="G430" s="30" t="s">
        <v>46</v>
      </c>
      <c r="H430" s="31"/>
      <c r="I430" s="31" t="s">
        <v>47</v>
      </c>
      <c r="J430" s="32" t="n">
        <v>1.0</v>
      </c>
      <c r="K430" s="33" t="n">
        <f>120300</f>
        <v>120300.0</v>
      </c>
      <c r="L430" s="34" t="s">
        <v>48</v>
      </c>
      <c r="M430" s="33" t="n">
        <f>122400</f>
        <v>122400.0</v>
      </c>
      <c r="N430" s="34" t="s">
        <v>158</v>
      </c>
      <c r="O430" s="33" t="n">
        <f>117300</f>
        <v>117300.0</v>
      </c>
      <c r="P430" s="34" t="s">
        <v>61</v>
      </c>
      <c r="Q430" s="33" t="n">
        <f>118000</f>
        <v>118000.0</v>
      </c>
      <c r="R430" s="34" t="s">
        <v>50</v>
      </c>
      <c r="S430" s="35" t="n">
        <f>120230</f>
        <v>120230.0</v>
      </c>
      <c r="T430" s="32" t="n">
        <f>48049</f>
        <v>48049.0</v>
      </c>
      <c r="U430" s="32" t="n">
        <f>5667</f>
        <v>5667.0</v>
      </c>
      <c r="V430" s="32" t="n">
        <f>5775733466</f>
        <v>5.775733466E9</v>
      </c>
      <c r="W430" s="32" t="n">
        <f>679078966</f>
        <v>6.79078966E8</v>
      </c>
      <c r="X430" s="36" t="n">
        <f>20</f>
        <v>20.0</v>
      </c>
    </row>
    <row r="431">
      <c r="A431" s="27" t="s">
        <v>42</v>
      </c>
      <c r="B431" s="27" t="s">
        <v>1345</v>
      </c>
      <c r="C431" s="27" t="s">
        <v>1346</v>
      </c>
      <c r="D431" s="27" t="s">
        <v>1347</v>
      </c>
      <c r="E431" s="28" t="s">
        <v>46</v>
      </c>
      <c r="F431" s="29" t="s">
        <v>46</v>
      </c>
      <c r="G431" s="30" t="s">
        <v>46</v>
      </c>
      <c r="H431" s="31"/>
      <c r="I431" s="31" t="s">
        <v>428</v>
      </c>
      <c r="J431" s="32" t="n">
        <v>1.0</v>
      </c>
      <c r="K431" s="33" t="n">
        <f>174400</f>
        <v>174400.0</v>
      </c>
      <c r="L431" s="34" t="s">
        <v>48</v>
      </c>
      <c r="M431" s="33" t="n">
        <f>175100</f>
        <v>175100.0</v>
      </c>
      <c r="N431" s="34" t="s">
        <v>158</v>
      </c>
      <c r="O431" s="33" t="n">
        <f>170000</f>
        <v>170000.0</v>
      </c>
      <c r="P431" s="34" t="s">
        <v>73</v>
      </c>
      <c r="Q431" s="33" t="n">
        <f>171400</f>
        <v>171400.0</v>
      </c>
      <c r="R431" s="34" t="s">
        <v>50</v>
      </c>
      <c r="S431" s="35" t="n">
        <f>172455</f>
        <v>172455.0</v>
      </c>
      <c r="T431" s="32" t="n">
        <f>18916</f>
        <v>18916.0</v>
      </c>
      <c r="U431" s="32" t="n">
        <f>3711</f>
        <v>3711.0</v>
      </c>
      <c r="V431" s="32" t="n">
        <f>3258724978</f>
        <v>3.258724978E9</v>
      </c>
      <c r="W431" s="32" t="n">
        <f>639135978</f>
        <v>6.39135978E8</v>
      </c>
      <c r="X431" s="36" t="n">
        <f>20</f>
        <v>20.0</v>
      </c>
    </row>
    <row r="432">
      <c r="A432" s="27" t="s">
        <v>42</v>
      </c>
      <c r="B432" s="27" t="s">
        <v>1348</v>
      </c>
      <c r="C432" s="27" t="s">
        <v>1349</v>
      </c>
      <c r="D432" s="27" t="s">
        <v>1350</v>
      </c>
      <c r="E432" s="28" t="s">
        <v>46</v>
      </c>
      <c r="F432" s="29" t="s">
        <v>46</v>
      </c>
      <c r="G432" s="30" t="s">
        <v>46</v>
      </c>
      <c r="H432" s="31"/>
      <c r="I432" s="31" t="s">
        <v>47</v>
      </c>
      <c r="J432" s="32" t="n">
        <v>1.0</v>
      </c>
      <c r="K432" s="33" t="n">
        <f>233600</f>
        <v>233600.0</v>
      </c>
      <c r="L432" s="34" t="s">
        <v>48</v>
      </c>
      <c r="M432" s="33" t="n">
        <f>238200</f>
        <v>238200.0</v>
      </c>
      <c r="N432" s="34" t="s">
        <v>158</v>
      </c>
      <c r="O432" s="33" t="n">
        <f>228400</f>
        <v>228400.0</v>
      </c>
      <c r="P432" s="34" t="s">
        <v>108</v>
      </c>
      <c r="Q432" s="33" t="n">
        <f>233000</f>
        <v>233000.0</v>
      </c>
      <c r="R432" s="34" t="s">
        <v>50</v>
      </c>
      <c r="S432" s="35" t="n">
        <f>232310</f>
        <v>232310.0</v>
      </c>
      <c r="T432" s="32" t="n">
        <f>157729</f>
        <v>157729.0</v>
      </c>
      <c r="U432" s="32" t="n">
        <f>50895</f>
        <v>50895.0</v>
      </c>
      <c r="V432" s="32" t="n">
        <f>36673116896</f>
        <v>3.6673116896E10</v>
      </c>
      <c r="W432" s="32" t="n">
        <f>11834889496</f>
        <v>1.1834889496E10</v>
      </c>
      <c r="X432" s="36" t="n">
        <f>20</f>
        <v>20.0</v>
      </c>
    </row>
    <row r="433">
      <c r="A433" s="27" t="s">
        <v>42</v>
      </c>
      <c r="B433" s="27" t="s">
        <v>1351</v>
      </c>
      <c r="C433" s="27" t="s">
        <v>1352</v>
      </c>
      <c r="D433" s="27" t="s">
        <v>1353</v>
      </c>
      <c r="E433" s="28" t="s">
        <v>46</v>
      </c>
      <c r="F433" s="29" t="s">
        <v>46</v>
      </c>
      <c r="G433" s="30" t="s">
        <v>46</v>
      </c>
      <c r="H433" s="31"/>
      <c r="I433" s="31" t="s">
        <v>47</v>
      </c>
      <c r="J433" s="32" t="n">
        <v>1.0</v>
      </c>
      <c r="K433" s="33" t="n">
        <f>70500</f>
        <v>70500.0</v>
      </c>
      <c r="L433" s="34" t="s">
        <v>48</v>
      </c>
      <c r="M433" s="33" t="n">
        <f>70900</f>
        <v>70900.0</v>
      </c>
      <c r="N433" s="34" t="s">
        <v>48</v>
      </c>
      <c r="O433" s="33" t="n">
        <f>66700</f>
        <v>66700.0</v>
      </c>
      <c r="P433" s="34" t="s">
        <v>397</v>
      </c>
      <c r="Q433" s="33" t="n">
        <f>68200</f>
        <v>68200.0</v>
      </c>
      <c r="R433" s="34" t="s">
        <v>50</v>
      </c>
      <c r="S433" s="35" t="n">
        <f>68075</f>
        <v>68075.0</v>
      </c>
      <c r="T433" s="32" t="n">
        <f>605718</f>
        <v>605718.0</v>
      </c>
      <c r="U433" s="32" t="n">
        <f>163458</f>
        <v>163458.0</v>
      </c>
      <c r="V433" s="32" t="n">
        <f>41262997869</f>
        <v>4.1262997869E10</v>
      </c>
      <c r="W433" s="32" t="n">
        <f>11147111969</f>
        <v>1.1147111969E10</v>
      </c>
      <c r="X433" s="36" t="n">
        <f>20</f>
        <v>20.0</v>
      </c>
    </row>
    <row r="434">
      <c r="A434" s="27" t="s">
        <v>42</v>
      </c>
      <c r="B434" s="27" t="s">
        <v>1354</v>
      </c>
      <c r="C434" s="27" t="s">
        <v>1355</v>
      </c>
      <c r="D434" s="27" t="s">
        <v>1356</v>
      </c>
      <c r="E434" s="28" t="s">
        <v>46</v>
      </c>
      <c r="F434" s="29" t="s">
        <v>46</v>
      </c>
      <c r="G434" s="30" t="s">
        <v>46</v>
      </c>
      <c r="H434" s="31"/>
      <c r="I434" s="31" t="s">
        <v>47</v>
      </c>
      <c r="J434" s="32" t="n">
        <v>1.0</v>
      </c>
      <c r="K434" s="33" t="n">
        <f>91400</f>
        <v>91400.0</v>
      </c>
      <c r="L434" s="34" t="s">
        <v>48</v>
      </c>
      <c r="M434" s="33" t="n">
        <f>92600</f>
        <v>92600.0</v>
      </c>
      <c r="N434" s="34" t="s">
        <v>397</v>
      </c>
      <c r="O434" s="33" t="n">
        <f>90000</f>
        <v>90000.0</v>
      </c>
      <c r="P434" s="34" t="s">
        <v>108</v>
      </c>
      <c r="Q434" s="33" t="n">
        <f>90900</f>
        <v>90900.0</v>
      </c>
      <c r="R434" s="34" t="s">
        <v>50</v>
      </c>
      <c r="S434" s="35" t="n">
        <f>91340</f>
        <v>91340.0</v>
      </c>
      <c r="T434" s="32" t="n">
        <f>120040</f>
        <v>120040.0</v>
      </c>
      <c r="U434" s="32" t="n">
        <f>26767</f>
        <v>26767.0</v>
      </c>
      <c r="V434" s="32" t="n">
        <f>10964925676</f>
        <v>1.0964925676E10</v>
      </c>
      <c r="W434" s="32" t="n">
        <f>2446340076</f>
        <v>2.446340076E9</v>
      </c>
      <c r="X434" s="36" t="n">
        <f>20</f>
        <v>20.0</v>
      </c>
    </row>
    <row r="435">
      <c r="A435" s="27" t="s">
        <v>42</v>
      </c>
      <c r="B435" s="27" t="s">
        <v>1357</v>
      </c>
      <c r="C435" s="27" t="s">
        <v>1358</v>
      </c>
      <c r="D435" s="27" t="s">
        <v>1359</v>
      </c>
      <c r="E435" s="28" t="s">
        <v>46</v>
      </c>
      <c r="F435" s="29" t="s">
        <v>46</v>
      </c>
      <c r="G435" s="30" t="s">
        <v>46</v>
      </c>
      <c r="H435" s="31"/>
      <c r="I435" s="31" t="s">
        <v>47</v>
      </c>
      <c r="J435" s="32" t="n">
        <v>1.0</v>
      </c>
      <c r="K435" s="33" t="n">
        <f>118200</f>
        <v>118200.0</v>
      </c>
      <c r="L435" s="34" t="s">
        <v>48</v>
      </c>
      <c r="M435" s="33" t="n">
        <f>122500</f>
        <v>122500.0</v>
      </c>
      <c r="N435" s="34" t="s">
        <v>69</v>
      </c>
      <c r="O435" s="33" t="n">
        <f>116400</f>
        <v>116400.0</v>
      </c>
      <c r="P435" s="34" t="s">
        <v>108</v>
      </c>
      <c r="Q435" s="33" t="n">
        <f>117300</f>
        <v>117300.0</v>
      </c>
      <c r="R435" s="34" t="s">
        <v>50</v>
      </c>
      <c r="S435" s="35" t="n">
        <f>118645</f>
        <v>118645.0</v>
      </c>
      <c r="T435" s="32" t="n">
        <f>56838</f>
        <v>56838.0</v>
      </c>
      <c r="U435" s="32" t="n">
        <f>13253</f>
        <v>13253.0</v>
      </c>
      <c r="V435" s="32" t="n">
        <f>6754768585</f>
        <v>6.754768585E9</v>
      </c>
      <c r="W435" s="32" t="n">
        <f>1574043885</f>
        <v>1.574043885E9</v>
      </c>
      <c r="X435" s="36" t="n">
        <f>20</f>
        <v>20.0</v>
      </c>
    </row>
    <row r="436">
      <c r="A436" s="27" t="s">
        <v>42</v>
      </c>
      <c r="B436" s="27" t="s">
        <v>1360</v>
      </c>
      <c r="C436" s="27" t="s">
        <v>1361</v>
      </c>
      <c r="D436" s="27" t="s">
        <v>1362</v>
      </c>
      <c r="E436" s="28" t="s">
        <v>46</v>
      </c>
      <c r="F436" s="29" t="s">
        <v>46</v>
      </c>
      <c r="G436" s="30" t="s">
        <v>46</v>
      </c>
      <c r="H436" s="31"/>
      <c r="I436" s="31" t="s">
        <v>428</v>
      </c>
      <c r="J436" s="32" t="n">
        <v>1.0</v>
      </c>
      <c r="K436" s="33" t="n">
        <f>49900</f>
        <v>49900.0</v>
      </c>
      <c r="L436" s="34" t="s">
        <v>48</v>
      </c>
      <c r="M436" s="33" t="n">
        <f>49900</f>
        <v>49900.0</v>
      </c>
      <c r="N436" s="34" t="s">
        <v>48</v>
      </c>
      <c r="O436" s="33" t="n">
        <f>41900</f>
        <v>41900.0</v>
      </c>
      <c r="P436" s="34" t="s">
        <v>50</v>
      </c>
      <c r="Q436" s="33" t="n">
        <f>42200</f>
        <v>42200.0</v>
      </c>
      <c r="R436" s="34" t="s">
        <v>50</v>
      </c>
      <c r="S436" s="35" t="n">
        <f>44992.5</f>
        <v>44992.5</v>
      </c>
      <c r="T436" s="32" t="n">
        <f>6073</f>
        <v>6073.0</v>
      </c>
      <c r="U436" s="32" t="n">
        <f>5</f>
        <v>5.0</v>
      </c>
      <c r="V436" s="32" t="n">
        <f>269631450</f>
        <v>2.6963145E8</v>
      </c>
      <c r="W436" s="32" t="n">
        <f>236700</f>
        <v>236700.0</v>
      </c>
      <c r="X436" s="36" t="n">
        <f>20</f>
        <v>20.0</v>
      </c>
    </row>
    <row r="437">
      <c r="A437" s="27" t="s">
        <v>42</v>
      </c>
      <c r="B437" s="27" t="s">
        <v>1363</v>
      </c>
      <c r="C437" s="27" t="s">
        <v>1364</v>
      </c>
      <c r="D437" s="27" t="s">
        <v>1365</v>
      </c>
      <c r="E437" s="28" t="s">
        <v>46</v>
      </c>
      <c r="F437" s="29" t="s">
        <v>46</v>
      </c>
      <c r="G437" s="30" t="s">
        <v>46</v>
      </c>
      <c r="H437" s="31"/>
      <c r="I437" s="31" t="s">
        <v>428</v>
      </c>
      <c r="J437" s="32" t="n">
        <v>1.0</v>
      </c>
      <c r="K437" s="33" t="n">
        <f>80900</f>
        <v>80900.0</v>
      </c>
      <c r="L437" s="34" t="s">
        <v>48</v>
      </c>
      <c r="M437" s="33" t="n">
        <f>80900</f>
        <v>80900.0</v>
      </c>
      <c r="N437" s="34" t="s">
        <v>48</v>
      </c>
      <c r="O437" s="33" t="n">
        <f>70700</f>
        <v>70700.0</v>
      </c>
      <c r="P437" s="34" t="s">
        <v>94</v>
      </c>
      <c r="Q437" s="33" t="n">
        <f>73100</f>
        <v>73100.0</v>
      </c>
      <c r="R437" s="34" t="s">
        <v>50</v>
      </c>
      <c r="S437" s="35" t="n">
        <f>75065</f>
        <v>75065.0</v>
      </c>
      <c r="T437" s="32" t="n">
        <f>87331</f>
        <v>87331.0</v>
      </c>
      <c r="U437" s="32" t="n">
        <f>10407</f>
        <v>10407.0</v>
      </c>
      <c r="V437" s="32" t="n">
        <f>6508966636</f>
        <v>6.508966636E9</v>
      </c>
      <c r="W437" s="32" t="n">
        <f>765040936</f>
        <v>7.65040936E8</v>
      </c>
      <c r="X437" s="36" t="n">
        <f>20</f>
        <v>20.0</v>
      </c>
    </row>
    <row r="438">
      <c r="A438" s="27" t="s">
        <v>42</v>
      </c>
      <c r="B438" s="27" t="s">
        <v>1366</v>
      </c>
      <c r="C438" s="27" t="s">
        <v>1367</v>
      </c>
      <c r="D438" s="27" t="s">
        <v>1368</v>
      </c>
      <c r="E438" s="28" t="s">
        <v>46</v>
      </c>
      <c r="F438" s="29" t="s">
        <v>46</v>
      </c>
      <c r="G438" s="30" t="s">
        <v>46</v>
      </c>
      <c r="H438" s="31"/>
      <c r="I438" s="31" t="s">
        <v>428</v>
      </c>
      <c r="J438" s="32" t="n">
        <v>1.0</v>
      </c>
      <c r="K438" s="33" t="n">
        <f>62000</f>
        <v>62000.0</v>
      </c>
      <c r="L438" s="34" t="s">
        <v>48</v>
      </c>
      <c r="M438" s="33" t="n">
        <f>62200</f>
        <v>62200.0</v>
      </c>
      <c r="N438" s="34" t="s">
        <v>48</v>
      </c>
      <c r="O438" s="33" t="n">
        <f>57400</f>
        <v>57400.0</v>
      </c>
      <c r="P438" s="34" t="s">
        <v>50</v>
      </c>
      <c r="Q438" s="33" t="n">
        <f>58000</f>
        <v>58000.0</v>
      </c>
      <c r="R438" s="34" t="s">
        <v>50</v>
      </c>
      <c r="S438" s="35" t="n">
        <f>58955</f>
        <v>58955.0</v>
      </c>
      <c r="T438" s="32" t="n">
        <f>13648</f>
        <v>13648.0</v>
      </c>
      <c r="U438" s="32" t="str">
        <f>"－"</f>
        <v>－</v>
      </c>
      <c r="V438" s="32" t="n">
        <f>803616200</f>
        <v>8.036162E8</v>
      </c>
      <c r="W438" s="32" t="str">
        <f>"－"</f>
        <v>－</v>
      </c>
      <c r="X438" s="36" t="n">
        <f>20</f>
        <v>20.0</v>
      </c>
    </row>
    <row r="439">
      <c r="A439" s="27" t="s">
        <v>42</v>
      </c>
      <c r="B439" s="27" t="s">
        <v>1369</v>
      </c>
      <c r="C439" s="27" t="s">
        <v>1370</v>
      </c>
      <c r="D439" s="27" t="s">
        <v>1371</v>
      </c>
      <c r="E439" s="28" t="s">
        <v>46</v>
      </c>
      <c r="F439" s="29" t="s">
        <v>46</v>
      </c>
      <c r="G439" s="30" t="s">
        <v>46</v>
      </c>
      <c r="H439" s="31"/>
      <c r="I439" s="31" t="s">
        <v>47</v>
      </c>
      <c r="J439" s="32" t="n">
        <v>1.0</v>
      </c>
      <c r="K439" s="33" t="n">
        <f>64300</f>
        <v>64300.0</v>
      </c>
      <c r="L439" s="34" t="s">
        <v>48</v>
      </c>
      <c r="M439" s="33" t="n">
        <f>64700</f>
        <v>64700.0</v>
      </c>
      <c r="N439" s="34" t="s">
        <v>48</v>
      </c>
      <c r="O439" s="33" t="n">
        <f>57300</f>
        <v>57300.0</v>
      </c>
      <c r="P439" s="34" t="s">
        <v>50</v>
      </c>
      <c r="Q439" s="33" t="n">
        <f>57300</f>
        <v>57300.0</v>
      </c>
      <c r="R439" s="34" t="s">
        <v>50</v>
      </c>
      <c r="S439" s="35" t="n">
        <f>61865</f>
        <v>61865.0</v>
      </c>
      <c r="T439" s="32" t="n">
        <f>64201</f>
        <v>64201.0</v>
      </c>
      <c r="U439" s="32" t="n">
        <f>2528</f>
        <v>2528.0</v>
      </c>
      <c r="V439" s="32" t="n">
        <f>3908071479</f>
        <v>3.908071479E9</v>
      </c>
      <c r="W439" s="32" t="n">
        <f>153614979</f>
        <v>1.53614979E8</v>
      </c>
      <c r="X439" s="36" t="n">
        <f>20</f>
        <v>20.0</v>
      </c>
    </row>
    <row r="440">
      <c r="A440" s="27" t="s">
        <v>42</v>
      </c>
      <c r="B440" s="27" t="s">
        <v>1372</v>
      </c>
      <c r="C440" s="27" t="s">
        <v>1373</v>
      </c>
      <c r="D440" s="27" t="s">
        <v>1374</v>
      </c>
      <c r="E440" s="28" t="s">
        <v>46</v>
      </c>
      <c r="F440" s="29" t="s">
        <v>46</v>
      </c>
      <c r="G440" s="30" t="s">
        <v>46</v>
      </c>
      <c r="H440" s="31"/>
      <c r="I440" s="31" t="s">
        <v>428</v>
      </c>
      <c r="J440" s="32" t="n">
        <v>1.0</v>
      </c>
      <c r="K440" s="33" t="n">
        <f>63100</f>
        <v>63100.0</v>
      </c>
      <c r="L440" s="34" t="s">
        <v>48</v>
      </c>
      <c r="M440" s="33" t="n">
        <f>63700</f>
        <v>63700.0</v>
      </c>
      <c r="N440" s="34" t="s">
        <v>48</v>
      </c>
      <c r="O440" s="33" t="n">
        <f>55800</f>
        <v>55800.0</v>
      </c>
      <c r="P440" s="34" t="s">
        <v>50</v>
      </c>
      <c r="Q440" s="33" t="n">
        <f>55800</f>
        <v>55800.0</v>
      </c>
      <c r="R440" s="34" t="s">
        <v>50</v>
      </c>
      <c r="S440" s="35" t="n">
        <f>60495</f>
        <v>60495.0</v>
      </c>
      <c r="T440" s="32" t="n">
        <f>51278</f>
        <v>51278.0</v>
      </c>
      <c r="U440" s="32" t="n">
        <f>6358</f>
        <v>6358.0</v>
      </c>
      <c r="V440" s="32" t="n">
        <f>3045042707</f>
        <v>3.045042707E9</v>
      </c>
      <c r="W440" s="32" t="n">
        <f>380764307</f>
        <v>3.80764307E8</v>
      </c>
      <c r="X440" s="36" t="n">
        <f>20</f>
        <v>20.0</v>
      </c>
    </row>
  </sheetData>
  <mergeCells count="3">
    <mergeCell ref="N1:X3"/>
    <mergeCell ref="A2:M2"/>
    <mergeCell ref="A3:M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2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