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<sst xmlns="http://schemas.openxmlformats.org/spreadsheetml/2006/main" count="4547" uniqueCount="1195">
  <si>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</si>
  <si>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</si>
  <si>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</si>
  <si>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</si>
  <si>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</si>
  <si>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</si>
  <si>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</si>
  <si>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</si>
  <si>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</si>
  <si>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</si>
  <si>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</si>
  <si>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</si>
  <si>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</si>
  <si>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</si>
  <si>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</si>
  <si>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</si>
  <si>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</si>
  <si>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</si>
  <si>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</si>
  <si>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</si>
  <si>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</si>
  <si>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</si>
  <si>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</si>
  <si>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</si>
  <si>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</si>
  <si>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</si>
  <si>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</si>
  <si>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</si>
  <si>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</si>
  <si>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</si>
  <si>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</si>
  <si>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</si>
  <si>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</si>
  <si>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</si>
  <si>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</si>
  <si>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</si>
  <si>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</si>
  <si>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</si>
  <si>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</si>
  <si>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</si>
  <si>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</si>
  <si>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</si>
  <si>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2023/01</t>
  </si>
  <si>
    <t>1305</t>
  </si>
  <si>
    <t>ダイワ上場投信－トピックス　受益証券</t>
  </si>
  <si>
    <t>Daiwa ETF-TOPIX</t>
  </si>
  <si>
    <t/>
  </si>
  <si>
    <t>貸借</t>
  </si>
  <si>
    <t>4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</si>
  <si>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</si>
  <si>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</si>
  <si>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</si>
  <si>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</si>
  <si>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</si>
  <si>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</si>
  <si>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</si>
  <si>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6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</si>
  <si>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</si>
  <si>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</si>
  <si>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</si>
  <si>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26</t>
  </si>
  <si>
    <t>1311</t>
  </si>
  <si>
    <t>ＮＥＸＴ　ＦＵＮＤＳ　ＴＯＰＩＸ　Ｃｏｒｅ　３０連動型上場投信　受益証券</t>
  </si>
  <si>
    <t>NEXT FUNDS TOPIX Core 30 Exchange Traded Fund</t>
  </si>
  <si>
    <t>24</t>
  </si>
  <si>
    <t>12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</si>
  <si>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</si>
  <si>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</si>
  <si>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</si>
  <si>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確</t>
  </si>
  <si>
    <t>10</t>
  </si>
  <si>
    <t>23</t>
  </si>
  <si>
    <t>1313</t>
  </si>
  <si>
    <t>サムスンＫＯＤＥＸ２００証券上場指数投資信託[株式]　受益証券</t>
  </si>
  <si>
    <t>SAMSUNG KODEX200 SECURITIES EXCHANGE TRADED FUND [STOCK]</t>
  </si>
  <si>
    <t>整</t>
  </si>
  <si>
    <t>30</t>
  </si>
  <si>
    <t>1319</t>
  </si>
  <si>
    <t>ＮＥＸＴ　ＦＵＮＤＳ　日経３００株価指数連動型上場投信　受益証券</t>
  </si>
  <si>
    <t>NEXT FUNDS Nikkei 300 Index Exchange Traded Fund</t>
  </si>
  <si>
    <t>16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</si>
  <si>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</si>
  <si>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</si>
  <si>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</si>
  <si>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</si>
  <si>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</si>
  <si>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</si>
  <si>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</si>
  <si>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</si>
  <si>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</si>
  <si>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</si>
  <si>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</si>
  <si>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</si>
  <si>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</si>
  <si>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</si>
  <si>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</si>
  <si>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27</t>
  </si>
  <si>
    <t>1326</t>
  </si>
  <si>
    <t>ＳＰＤＲゴールド・シェア　受益証券</t>
  </si>
  <si>
    <t>SPDR Gold Shares</t>
  </si>
  <si>
    <t>25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</si>
  <si>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</si>
  <si>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</si>
  <si>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</si>
  <si>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</si>
  <si>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</si>
  <si>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</si>
  <si>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</si>
  <si>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</si>
  <si>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</si>
  <si>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</si>
  <si>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</si>
  <si>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</si>
  <si>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20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</si>
  <si>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</si>
  <si>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</si>
  <si>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</si>
  <si>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</si>
  <si>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</si>
  <si>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</si>
  <si>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</si>
  <si>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</si>
  <si>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</si>
  <si>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</si>
  <si>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</si>
  <si>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</si>
  <si>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5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</si>
  <si>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</si>
  <si>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</si>
  <si>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</si>
  <si>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</si>
  <si>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</si>
  <si>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</si>
  <si>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</si>
  <si>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</si>
  <si>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</si>
  <si>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</si>
  <si>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</si>
  <si>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</si>
  <si>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</si>
  <si>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</si>
  <si>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</si>
  <si>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</si>
  <si>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</si>
  <si>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</si>
  <si>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</si>
  <si>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</si>
  <si>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</si>
  <si>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</si>
  <si>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</si>
  <si>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</si>
  <si>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</si>
  <si>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</si>
  <si>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</si>
  <si>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</si>
  <si>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</si>
  <si>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</si>
  <si>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</si>
  <si>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</si>
  <si>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</si>
  <si>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18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</si>
  <si>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</si>
  <si>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</si>
  <si>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</si>
  <si>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</si>
  <si>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</si>
  <si>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</si>
  <si>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</si>
  <si>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</si>
  <si>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</si>
  <si>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</si>
  <si>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</si>
  <si>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</si>
  <si>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</si>
  <si>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</si>
  <si>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</si>
  <si>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</si>
  <si>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</si>
  <si>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</si>
  <si>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</si>
  <si>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</si>
  <si>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</si>
  <si>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</si>
  <si>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</si>
  <si>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</si>
  <si>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</si>
  <si>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</si>
  <si>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</si>
  <si>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</si>
  <si>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</si>
  <si>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</si>
  <si>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</si>
  <si>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</si>
  <si>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</si>
  <si>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</si>
  <si>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</si>
  <si>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</si>
  <si>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</si>
  <si>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</si>
  <si>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</si>
  <si>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</si>
  <si>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</si>
  <si>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</si>
  <si>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</si>
  <si>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</si>
  <si>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</si>
  <si>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</si>
  <si>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</si>
  <si>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</si>
  <si>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</si>
  <si>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</si>
  <si>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</si>
  <si>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</si>
  <si>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</si>
  <si>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</si>
  <si>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</si>
  <si>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</si>
  <si>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</si>
  <si>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</si>
  <si>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</si>
  <si>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</si>
  <si>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</si>
  <si>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</si>
  <si>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</si>
  <si>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19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</si>
  <si>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</si>
  <si>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</si>
  <si>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</si>
  <si>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</si>
  <si>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</si>
  <si>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</si>
  <si>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</si>
  <si>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</si>
  <si>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</si>
  <si>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</si>
  <si>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</si>
  <si>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</si>
  <si>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</si>
  <si>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</si>
  <si>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</si>
  <si>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</si>
  <si>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</si>
  <si>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</si>
  <si>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</si>
  <si>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</si>
  <si>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</si>
  <si>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</si>
  <si>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</si>
  <si>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</si>
  <si>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</si>
  <si>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</si>
  <si>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</si>
  <si>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</si>
  <si>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</si>
  <si>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</si>
  <si>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</si>
  <si>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</si>
  <si>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</si>
  <si>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</si>
  <si>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</si>
  <si>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</si>
  <si>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</si>
  <si>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</si>
  <si>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</si>
  <si>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</si>
  <si>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</si>
  <si>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</si>
  <si>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</si>
  <si>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</si>
  <si>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</si>
  <si>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</si>
  <si>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</si>
  <si>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</si>
  <si>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</si>
  <si>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</si>
  <si>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</si>
  <si>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</si>
  <si>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</si>
  <si>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</si>
  <si>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</si>
  <si>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</si>
  <si>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</si>
  <si>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</si>
  <si>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</si>
  <si>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</si>
  <si>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</si>
  <si>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</si>
  <si>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</si>
  <si>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</si>
  <si>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</si>
  <si>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</si>
  <si>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</si>
  <si>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</si>
  <si>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</si>
  <si>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</si>
  <si>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</si>
  <si>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</si>
  <si>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</si>
  <si>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</si>
  <si>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</si>
  <si>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</si>
  <si>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</si>
  <si>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</si>
  <si>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</si>
  <si>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</si>
  <si>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</si>
  <si>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</si>
  <si>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</si>
  <si>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</si>
  <si>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</si>
  <si>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</si>
  <si>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</si>
  <si>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</si>
  <si>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</si>
  <si>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</si>
  <si>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</si>
  <si>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</si>
  <si>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</si>
  <si>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</si>
  <si>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</si>
  <si>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</si>
  <si>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</si>
  <si>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</si>
  <si>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</si>
  <si>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</si>
  <si>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</si>
  <si>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</si>
  <si>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</si>
  <si>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</si>
  <si>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</si>
  <si>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</si>
  <si>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</si>
  <si>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</si>
  <si>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</si>
  <si>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</si>
  <si>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</si>
  <si>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</si>
  <si>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</si>
  <si>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</si>
  <si>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</si>
  <si>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</si>
  <si>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</si>
  <si>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</si>
  <si>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</si>
  <si>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</si>
  <si>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</si>
  <si>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</si>
  <si>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</si>
  <si>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</si>
  <si>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</si>
  <si>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</si>
  <si>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</si>
  <si>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</si>
  <si>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</si>
  <si>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</si>
  <si>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</si>
  <si>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</si>
  <si>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</si>
  <si>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</si>
  <si>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</si>
  <si>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</si>
  <si>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</si>
  <si>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</si>
  <si>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</si>
  <si>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</si>
  <si>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</si>
  <si>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</si>
  <si>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</si>
  <si>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</si>
  <si>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</si>
  <si>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</si>
  <si>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</si>
  <si>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</si>
  <si>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</si>
  <si>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</si>
  <si>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</si>
  <si>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</si>
  <si>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</si>
  <si>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</si>
  <si>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</si>
  <si>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</si>
  <si>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</si>
  <si>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</si>
  <si>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</si>
  <si>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</si>
  <si>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</si>
  <si>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</si>
  <si>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</si>
  <si>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</si>
  <si>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</si>
  <si>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</si>
  <si>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</si>
  <si>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</si>
  <si>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</si>
  <si>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</si>
  <si>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</si>
  <si>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</si>
  <si>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</si>
  <si>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</si>
  <si>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17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</si>
  <si>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</si>
  <si>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</si>
  <si>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</si>
  <si>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</si>
  <si>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</si>
  <si>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</si>
  <si>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</si>
  <si>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</si>
  <si>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</si>
  <si>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</si>
  <si>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</si>
  <si>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</si>
  <si>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</si>
  <si>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</si>
  <si>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</si>
  <si>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11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</si>
  <si>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</si>
  <si>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</si>
  <si>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</si>
  <si>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</si>
  <si>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</si>
  <si>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</si>
  <si>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</si>
  <si>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</si>
  <si>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</si>
  <si>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</si>
  <si>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</si>
  <si>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</si>
  <si>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</si>
  <si>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</si>
  <si>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</si>
  <si>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</si>
  <si>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</si>
  <si>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</si>
  <si>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</si>
  <si>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</si>
  <si>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</si>
  <si>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</si>
  <si>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</si>
  <si>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</si>
  <si>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13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</si>
  <si>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</si>
  <si>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</si>
  <si>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</si>
  <si>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</si>
  <si>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</si>
  <si>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</si>
  <si>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</si>
  <si>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</si>
  <si>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</si>
  <si>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</si>
  <si>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</si>
  <si>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</si>
  <si>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</si>
  <si>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</si>
  <si>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</si>
  <si>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</si>
  <si>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</si>
  <si>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</si>
  <si>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</si>
  <si>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</si>
  <si>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</si>
  <si>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</si>
  <si>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</si>
  <si>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</si>
  <si>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</si>
  <si>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</si>
  <si>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</si>
  <si>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</si>
  <si>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</si>
  <si>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</si>
  <si>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</si>
  <si>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</si>
  <si>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</si>
  <si>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</si>
  <si>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</si>
  <si>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</si>
  <si>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</si>
  <si>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</si>
  <si>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</si>
  <si>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</si>
  <si>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</si>
  <si>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</si>
  <si>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</si>
  <si>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</si>
  <si>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</si>
  <si>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</si>
  <si>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</si>
  <si>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</si>
  <si>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</si>
  <si>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</si>
  <si>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</si>
  <si>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</si>
  <si>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</si>
  <si>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</si>
  <si>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</si>
  <si>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</si>
  <si>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</si>
  <si>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</si>
  <si>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</si>
  <si>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</si>
  <si>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</si>
  <si>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</si>
  <si>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</si>
  <si>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</si>
  <si>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</si>
  <si>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</si>
  <si>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</si>
  <si>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</si>
  <si>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</si>
  <si>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</si>
  <si>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</si>
  <si>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</si>
  <si>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</si>
  <si>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</si>
  <si>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</si>
  <si>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</si>
  <si>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</si>
  <si>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</si>
  <si>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</si>
  <si>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</si>
  <si>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</si>
  <si>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</si>
  <si>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</si>
  <si>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</si>
  <si>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</si>
  <si>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</si>
  <si>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</si>
  <si>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</si>
  <si>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</si>
  <si>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</si>
  <si>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</si>
  <si>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</si>
  <si>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</si>
  <si>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</si>
  <si>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</si>
  <si>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</si>
  <si>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</si>
  <si>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</si>
  <si>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</si>
  <si>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</si>
  <si>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</si>
  <si>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</si>
  <si>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</si>
  <si>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</si>
  <si>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</si>
  <si>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</si>
  <si>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</si>
  <si>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</si>
  <si>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</si>
  <si>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</si>
  <si>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</si>
  <si>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</si>
  <si>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</si>
  <si>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</si>
  <si>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</si>
  <si>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</si>
  <si>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</si>
  <si>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</si>
  <si>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</si>
  <si>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</si>
  <si>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</si>
  <si>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</si>
  <si>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</si>
  <si>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</si>
  <si>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</si>
  <si>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</si>
  <si>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</si>
  <si>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</si>
  <si>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</si>
  <si>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</si>
  <si>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</si>
  <si>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</si>
  <si>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</si>
  <si>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</si>
  <si>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</si>
  <si>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</si>
  <si>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</si>
  <si>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</si>
  <si>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</si>
  <si>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</si>
  <si>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</si>
  <si>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</si>
  <si>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</si>
  <si>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</si>
  <si>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</si>
  <si>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</si>
  <si>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</si>
  <si>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</si>
  <si>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</si>
  <si>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</si>
  <si>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</si>
  <si>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</si>
  <si>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</si>
  <si>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</si>
  <si>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</si>
  <si>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</si>
  <si>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</si>
  <si>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</si>
  <si>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</si>
  <si>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</si>
  <si>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</si>
  <si>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</si>
  <si>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</si>
  <si>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</si>
  <si>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</si>
  <si>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</si>
  <si>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</si>
  <si>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</si>
  <si>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</si>
  <si>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</si>
  <si>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</si>
  <si>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</si>
  <si>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</si>
  <si>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</si>
  <si>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</si>
  <si>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</si>
  <si>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</si>
  <si>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</si>
  <si>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</si>
  <si>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</si>
  <si>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</si>
  <si>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</si>
  <si>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</si>
  <si>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</si>
  <si>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</si>
  <si>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</si>
  <si>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</si>
  <si>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</si>
  <si>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</si>
  <si>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</si>
  <si>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</si>
  <si>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</si>
  <si>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</si>
  <si>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</si>
  <si>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</si>
  <si>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</si>
  <si>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</si>
  <si>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</si>
  <si>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</si>
  <si>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</si>
  <si>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</si>
  <si>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</si>
  <si>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</si>
  <si>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</si>
  <si>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</si>
  <si>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</si>
  <si>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</si>
  <si>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</si>
  <si>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</si>
  <si>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</si>
  <si>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</si>
  <si>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</si>
  <si>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</si>
  <si>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</si>
  <si>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</si>
  <si>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</si>
  <si>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</si>
  <si>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</si>
  <si>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</si>
  <si>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</si>
  <si>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</si>
  <si>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</si>
  <si>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</si>
  <si>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</si>
  <si>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</si>
  <si>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</si>
  <si>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</si>
  <si>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</si>
  <si>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</si>
  <si>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</si>
  <si>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</si>
  <si>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</si>
  <si>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</si>
  <si>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</si>
  <si>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</si>
  <si>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</si>
  <si>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</si>
  <si>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</si>
  <si>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 xml:space="preserve">新規上場  </t>
  </si>
  <si>
    <t xml:space="preserve">New Listing  </t>
  </si>
  <si>
    <t xml:space="preserve">2023/01/13  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</si>
  <si>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</si>
  <si>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</si>
  <si>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</si>
  <si>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</si>
  <si>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</si>
  <si>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</si>
  <si>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</si>
  <si>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</si>
  <si>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</si>
  <si>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</si>
  <si>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</si>
  <si>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</si>
  <si>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</si>
  <si>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</si>
  <si>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</si>
  <si>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</si>
  <si>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</si>
  <si>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</si>
  <si>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</si>
  <si>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</si>
  <si>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</si>
  <si>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</si>
  <si>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</si>
  <si>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</si>
  <si>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</si>
  <si>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</si>
  <si>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</si>
  <si>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</si>
  <si>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</si>
  <si>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</si>
  <si>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</si>
  <si>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</si>
  <si>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</si>
  <si>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</si>
  <si>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</si>
  <si>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</si>
  <si>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</si>
  <si>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</si>
  <si>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</si>
  <si>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</si>
  <si>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</si>
  <si>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</si>
  <si>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</si>
  <si>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</si>
  <si>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</si>
  <si>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</si>
  <si>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</si>
  <si>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</si>
  <si>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</si>
  <si>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</si>
  <si>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</si>
  <si>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</si>
  <si>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</si>
  <si>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</si>
  <si>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</si>
  <si>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</si>
  <si>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</si>
  <si>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</si>
  <si>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</si>
  <si>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</si>
  <si>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</si>
  <si>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</si>
  <si>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</si>
  <si>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</si>
  <si>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</si>
  <si>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</si>
  <si>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</si>
  <si>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</si>
  <si>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</si>
  <si>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</si>
  <si>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</si>
  <si>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</si>
  <si>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</si>
  <si>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</si>
  <si>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</si>
  <si>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</si>
  <si>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</si>
  <si>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</si>
  <si>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</si>
  <si>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</si>
  <si>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</si>
  <si>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</si>
  <si>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</si>
  <si>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</si>
  <si>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</si>
  <si>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</si>
  <si>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</si>
  <si>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</si>
  <si>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</si>
  <si>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</si>
  <si>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</si>
  <si>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</si>
  <si>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</si>
  <si>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</si>
  <si>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</si>
  <si>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</si>
  <si>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</si>
  <si>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</si>
  <si>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</si>
  <si>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</si>
  <si>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</si>
  <si>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</si>
  <si>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</si>
  <si>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</si>
  <si>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</si>
  <si>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</si>
  <si>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</si>
  <si>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</si>
  <si>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</si>
  <si>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</si>
  <si>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</si>
  <si>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</si>
  <si>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</si>
  <si>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</si>
  <si>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</si>
  <si>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</si>
  <si>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</si>
  <si>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</si>
  <si>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</si>
  <si>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</si>
  <si>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</si>
  <si>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</si>
  <si>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</si>
  <si>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</si>
  <si>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</si>
  <si>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</si>
  <si>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</si>
  <si>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</si>
  <si>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</si>
  <si>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</si>
  <si>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</si>
  <si>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</si>
  <si>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</si>
  <si>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</si>
  <si>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</si>
  <si>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</si>
  <si>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</si>
  <si>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</si>
  <si>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</si>
  <si>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</si>
  <si>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</si>
  <si>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</si>
  <si>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</si>
  <si>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</si>
  <si>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</si>
  <si>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</si>
  <si>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</si>
  <si>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</si>
  <si>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</si>
  <si>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</si>
  <si>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</si>
  <si>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</si>
  <si>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</si>
  <si>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</si>
  <si>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</si>
  <si>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</si>
  <si>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</si>
  <si>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</si>
  <si>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</si>
  <si>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</si>
  <si>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</si>
  <si>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</si>
  <si>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</si>
  <si>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</si>
  <si>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</si>
  <si>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</si>
  <si>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</si>
  <si>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</si>
  <si>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</si>
  <si>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</si>
  <si>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</si>
  <si>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</si>
  <si>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</si>
  <si>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</si>
  <si>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</si>
  <si>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</si>
  <si>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</si>
  <si>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</si>
  <si>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</si>
  <si>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</si>
  <si>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</si>
  <si>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</si>
  <si>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</si>
  <si>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</si>
  <si>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</si>
  <si>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</si>
  <si>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</si>
  <si>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</si>
  <si>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</si>
  <si>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</si>
  <si>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</si>
  <si>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</si>
  <si>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</si>
  <si>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</si>
  <si>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</si>
  <si>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</si>
  <si>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</si>
  <si>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</si>
  <si>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</si>
  <si>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</si>
  <si>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</si>
  <si>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</si>
  <si>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</si>
  <si>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</si>
  <si>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</si>
  <si>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</si>
  <si>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</si>
  <si>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</si>
  <si>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</si>
  <si>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</si>
  <si>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</si>
  <si>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</si>
  <si>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</si>
  <si>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</si>
  <si>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</si>
  <si>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</si>
  <si>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</si>
  <si>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</si>
  <si>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</si>
  <si>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</si>
  <si>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</si>
  <si>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</si>
  <si>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</si>
  <si>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</si>
  <si>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</si>
  <si>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</si>
  <si>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</si>
  <si>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</si>
  <si>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</si>
  <si>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</si>
  <si>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</si>
  <si>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</si>
  <si>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</si>
  <si>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</si>
  <si>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</si>
  <si>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</si>
  <si>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</si>
  <si>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</si>
  <si>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</si>
  <si>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</si>
  <si>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</si>
  <si>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</si>
  <si>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</si>
  <si>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</si>
  <si>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</si>
  <si>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</si>
  <si>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</si>
  <si>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</si>
  <si>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</si>
  <si>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</si>
  <si>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</si>
  <si>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</si>
  <si>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</si>
  <si>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</si>
  <si>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</si>
  <si>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</si>
  <si>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</si>
  <si>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</si>
  <si>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</si>
  <si>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</si>
  <si>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</si>
  <si>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</si>
  <si>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</si>
  <si>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</si>
  <si>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</si>
  <si>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</si>
  <si>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</si>
  <si>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</si>
  <si>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</si>
  <si>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</si>
  <si>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</si>
  <si>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</si>
  <si>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</si>
  <si>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</si>
  <si>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</si>
  <si>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</si>
  <si>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</si>
  <si>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</si>
  <si>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</si>
  <si>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</si>
  <si>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</si>
  <si>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</si>
  <si>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</si>
  <si>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</si>
  <si>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</si>
  <si>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</si>
  <si>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</si>
  <si>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</si>
  <si>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</si>
  <si>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</si>
  <si>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</si>
  <si>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</si>
  <si>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</si>
  <si>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</si>
  <si>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</si>
  <si>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</si>
  <si>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</si>
  <si>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</si>
  <si>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</si>
  <si>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</si>
  <si>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</si>
  <si>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</si>
  <si>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</si>
  <si>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</si>
  <si>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</si>
  <si>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</si>
  <si>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</si>
  <si>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</si>
  <si>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Leveraged(2x)</t>
  </si>
  <si>
    <t>2870</t>
  </si>
  <si>
    <t>ｉＦｒｅｅＥＴＦ　ＮＡＳＤＡＱ１００ダブルインバース　受益証券</t>
  </si>
  <si>
    <t>iFreeETF NASDAQ100 Double Inverse(-2x)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</si>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</sst>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8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1982.5</f>
        <v>1982.5</v>
      </c>
      <c r="L7" s="34" t="s">
        <v>48</v>
      </c>
      <c r="M7" s="33" t="n">
        <f>2102</f>
        <v>2102.0</v>
      </c>
      <c r="N7" s="34" t="s">
        <v>49</v>
      </c>
      <c r="O7" s="33" t="n">
        <f>1965</f>
        <v>1965.0</v>
      </c>
      <c r="P7" s="34" t="s">
        <v>48</v>
      </c>
      <c r="Q7" s="33" t="n">
        <f>2083.5</f>
        <v>2083.5</v>
      </c>
      <c r="R7" s="34" t="s">
        <v>49</v>
      </c>
      <c r="S7" s="35" t="n">
        <f>2033.13</f>
        <v>2033.13</v>
      </c>
      <c r="T7" s="32" t="n">
        <f>5042720</f>
        <v>5042720.0</v>
      </c>
      <c r="U7" s="32" t="n">
        <f>2497420</f>
        <v>2497420.0</v>
      </c>
      <c r="V7" s="32" t="n">
        <f>10244636692</f>
        <v>1.0244636692E10</v>
      </c>
      <c r="W7" s="32" t="n">
        <f>5040364802</f>
        <v>5.040364802E9</v>
      </c>
      <c r="X7" s="36" t="n">
        <f>19</f>
        <v>19.0</v>
      </c>
    </row>
    <row r="8">
      <c r="A8" s="27" t="s">
        <v>42</v>
      </c>
      <c r="B8" s="27" t="s">
        <v>50</v>
      </c>
      <c r="C8" s="27" t="s">
        <v>51</v>
      </c>
      <c r="D8" s="27" t="s">
        <v>52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1961</f>
        <v>1961.0</v>
      </c>
      <c r="L8" s="34" t="s">
        <v>48</v>
      </c>
      <c r="M8" s="33" t="n">
        <f>2078.5</f>
        <v>2078.5</v>
      </c>
      <c r="N8" s="34" t="s">
        <v>49</v>
      </c>
      <c r="O8" s="33" t="n">
        <f>1943</f>
        <v>1943.0</v>
      </c>
      <c r="P8" s="34" t="s">
        <v>48</v>
      </c>
      <c r="Q8" s="33" t="n">
        <f>2062</f>
        <v>2062.0</v>
      </c>
      <c r="R8" s="34" t="s">
        <v>49</v>
      </c>
      <c r="S8" s="35" t="n">
        <f>2009.95</f>
        <v>2009.95</v>
      </c>
      <c r="T8" s="32" t="n">
        <f>36440590</f>
        <v>3.644059E7</v>
      </c>
      <c r="U8" s="32" t="n">
        <f>5106640</f>
        <v>5106640.0</v>
      </c>
      <c r="V8" s="32" t="n">
        <f>73152190112</f>
        <v>7.3152190112E10</v>
      </c>
      <c r="W8" s="32" t="n">
        <f>10222191052</f>
        <v>1.0222191052E10</v>
      </c>
      <c r="X8" s="36" t="n">
        <f>19</f>
        <v>19.0</v>
      </c>
    </row>
    <row r="9">
      <c r="A9" s="27" t="s">
        <v>42</v>
      </c>
      <c r="B9" s="27" t="s">
        <v>53</v>
      </c>
      <c r="C9" s="27" t="s">
        <v>54</v>
      </c>
      <c r="D9" s="27" t="s">
        <v>55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1939</f>
        <v>1939.0</v>
      </c>
      <c r="L9" s="34" t="s">
        <v>48</v>
      </c>
      <c r="M9" s="33" t="n">
        <f>2054.5</f>
        <v>2054.5</v>
      </c>
      <c r="N9" s="34" t="s">
        <v>49</v>
      </c>
      <c r="O9" s="33" t="n">
        <f>1922</f>
        <v>1922.0</v>
      </c>
      <c r="P9" s="34" t="s">
        <v>56</v>
      </c>
      <c r="Q9" s="33" t="n">
        <f>2036.5</f>
        <v>2036.5</v>
      </c>
      <c r="R9" s="34" t="s">
        <v>49</v>
      </c>
      <c r="S9" s="35" t="n">
        <f>1986.42</f>
        <v>1986.42</v>
      </c>
      <c r="T9" s="32" t="n">
        <f>7264200</f>
        <v>7264200.0</v>
      </c>
      <c r="U9" s="32" t="n">
        <f>3237900</f>
        <v>3237900.0</v>
      </c>
      <c r="V9" s="32" t="n">
        <f>14585135280</f>
        <v>1.458513528E10</v>
      </c>
      <c r="W9" s="32" t="n">
        <f>6581757380</f>
        <v>6.58175738E9</v>
      </c>
      <c r="X9" s="36" t="n">
        <f>19</f>
        <v>19.0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37850</f>
        <v>37850.0</v>
      </c>
      <c r="L10" s="34" t="s">
        <v>48</v>
      </c>
      <c r="M10" s="33" t="n">
        <f>42910</f>
        <v>42910.0</v>
      </c>
      <c r="N10" s="34" t="s">
        <v>60</v>
      </c>
      <c r="O10" s="33" t="n">
        <f>37850</f>
        <v>37850.0</v>
      </c>
      <c r="P10" s="34" t="s">
        <v>48</v>
      </c>
      <c r="Q10" s="33" t="n">
        <f>41550</f>
        <v>41550.0</v>
      </c>
      <c r="R10" s="34" t="s">
        <v>49</v>
      </c>
      <c r="S10" s="35" t="n">
        <f>41255.79</f>
        <v>41255.79</v>
      </c>
      <c r="T10" s="32" t="n">
        <f>4351</f>
        <v>4351.0</v>
      </c>
      <c r="U10" s="32" t="n">
        <f>5</f>
        <v>5.0</v>
      </c>
      <c r="V10" s="32" t="n">
        <f>179067920</f>
        <v>1.7906792E8</v>
      </c>
      <c r="W10" s="32" t="n">
        <f>210100</f>
        <v>210100.0</v>
      </c>
      <c r="X10" s="36" t="n">
        <f>19</f>
        <v>19.0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911</f>
        <v>911.0</v>
      </c>
      <c r="L11" s="34" t="s">
        <v>48</v>
      </c>
      <c r="M11" s="33" t="n">
        <f>1000</f>
        <v>1000.0</v>
      </c>
      <c r="N11" s="34" t="s">
        <v>64</v>
      </c>
      <c r="O11" s="33" t="n">
        <f>905.1</f>
        <v>905.1</v>
      </c>
      <c r="P11" s="34" t="s">
        <v>65</v>
      </c>
      <c r="Q11" s="33" t="n">
        <f>985.7</f>
        <v>985.7</v>
      </c>
      <c r="R11" s="34" t="s">
        <v>49</v>
      </c>
      <c r="S11" s="35" t="n">
        <f>951.58</f>
        <v>951.58</v>
      </c>
      <c r="T11" s="32" t="n">
        <f>102300</f>
        <v>102300.0</v>
      </c>
      <c r="U11" s="32" t="n">
        <f>60</f>
        <v>60.0</v>
      </c>
      <c r="V11" s="32" t="n">
        <f>97543544</f>
        <v>9.7543544E7</v>
      </c>
      <c r="W11" s="32" t="n">
        <f>58692</f>
        <v>58692.0</v>
      </c>
      <c r="X11" s="36" t="n">
        <f>19</f>
        <v>19.0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 t="s">
        <v>69</v>
      </c>
      <c r="I12" s="31" t="s">
        <v>47</v>
      </c>
      <c r="J12" s="32" t="n">
        <v>1.0</v>
      </c>
      <c r="K12" s="33" t="n">
        <f>19900</f>
        <v>19900.0</v>
      </c>
      <c r="L12" s="34" t="s">
        <v>48</v>
      </c>
      <c r="M12" s="33" t="n">
        <f>20545</f>
        <v>20545.0</v>
      </c>
      <c r="N12" s="34" t="s">
        <v>70</v>
      </c>
      <c r="O12" s="33" t="n">
        <f>19765</f>
        <v>19765.0</v>
      </c>
      <c r="P12" s="34" t="s">
        <v>71</v>
      </c>
      <c r="Q12" s="33" t="n">
        <f>20205</f>
        <v>20205.0</v>
      </c>
      <c r="R12" s="34" t="s">
        <v>49</v>
      </c>
      <c r="S12" s="35" t="n">
        <f>20052.63</f>
        <v>20052.63</v>
      </c>
      <c r="T12" s="32" t="n">
        <f>1994</f>
        <v>1994.0</v>
      </c>
      <c r="U12" s="32" t="n">
        <f>4</f>
        <v>4.0</v>
      </c>
      <c r="V12" s="32" t="n">
        <f>39977280</f>
        <v>3.997728E7</v>
      </c>
      <c r="W12" s="32" t="n">
        <f>80200</f>
        <v>80200.0</v>
      </c>
      <c r="X12" s="36" t="n">
        <f>19</f>
        <v>19.0</v>
      </c>
    </row>
    <row r="13">
      <c r="A13" s="27" t="s">
        <v>42</v>
      </c>
      <c r="B13" s="27" t="s">
        <v>72</v>
      </c>
      <c r="C13" s="27" t="s">
        <v>73</v>
      </c>
      <c r="D13" s="27" t="s">
        <v>74</v>
      </c>
      <c r="E13" s="28" t="s">
        <v>46</v>
      </c>
      <c r="F13" s="29" t="s">
        <v>46</v>
      </c>
      <c r="G13" s="30" t="s">
        <v>46</v>
      </c>
      <c r="H13" s="31" t="s">
        <v>75</v>
      </c>
      <c r="I13" s="31"/>
      <c r="J13" s="32" t="n">
        <v>10.0</v>
      </c>
      <c r="K13" s="33" t="n">
        <f>2680</f>
        <v>2680.0</v>
      </c>
      <c r="L13" s="34" t="s">
        <v>48</v>
      </c>
      <c r="M13" s="33" t="n">
        <f>3490</f>
        <v>3490.0</v>
      </c>
      <c r="N13" s="34" t="s">
        <v>76</v>
      </c>
      <c r="O13" s="33" t="n">
        <f>2633.5</f>
        <v>2633.5</v>
      </c>
      <c r="P13" s="34" t="s">
        <v>48</v>
      </c>
      <c r="Q13" s="33" t="n">
        <f>3350</f>
        <v>3350.0</v>
      </c>
      <c r="R13" s="34" t="s">
        <v>49</v>
      </c>
      <c r="S13" s="35" t="n">
        <f>3261.82</f>
        <v>3261.82</v>
      </c>
      <c r="T13" s="32" t="n">
        <f>38080</f>
        <v>38080.0</v>
      </c>
      <c r="U13" s="32" t="str">
        <f>"－"</f>
        <v>－</v>
      </c>
      <c r="V13" s="32" t="n">
        <f>119349550</f>
        <v>1.1934955E8</v>
      </c>
      <c r="W13" s="32" t="str">
        <f>"－"</f>
        <v>－</v>
      </c>
      <c r="X13" s="36" t="n">
        <f>19</f>
        <v>19.0</v>
      </c>
    </row>
    <row r="14">
      <c r="A14" s="27" t="s">
        <v>42</v>
      </c>
      <c r="B14" s="27" t="s">
        <v>77</v>
      </c>
      <c r="C14" s="27" t="s">
        <v>78</v>
      </c>
      <c r="D14" s="27" t="s">
        <v>79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338.9</f>
        <v>338.9</v>
      </c>
      <c r="L14" s="34" t="s">
        <v>48</v>
      </c>
      <c r="M14" s="33" t="n">
        <f>344.5</f>
        <v>344.5</v>
      </c>
      <c r="N14" s="34" t="s">
        <v>64</v>
      </c>
      <c r="O14" s="33" t="n">
        <f>327.4</f>
        <v>327.4</v>
      </c>
      <c r="P14" s="34" t="s">
        <v>80</v>
      </c>
      <c r="Q14" s="33" t="n">
        <f>338.2</f>
        <v>338.2</v>
      </c>
      <c r="R14" s="34" t="s">
        <v>49</v>
      </c>
      <c r="S14" s="35" t="n">
        <f>335.93</f>
        <v>335.93</v>
      </c>
      <c r="T14" s="32" t="n">
        <f>52000</f>
        <v>52000.0</v>
      </c>
      <c r="U14" s="32" t="str">
        <f>"－"</f>
        <v>－</v>
      </c>
      <c r="V14" s="32" t="n">
        <f>17520800</f>
        <v>1.75208E7</v>
      </c>
      <c r="W14" s="32" t="str">
        <f>"－"</f>
        <v>－</v>
      </c>
      <c r="X14" s="36" t="n">
        <f>12</f>
        <v>12.0</v>
      </c>
    </row>
    <row r="15">
      <c r="A15" s="27" t="s">
        <v>42</v>
      </c>
      <c r="B15" s="27" t="s">
        <v>81</v>
      </c>
      <c r="C15" s="27" t="s">
        <v>82</v>
      </c>
      <c r="D15" s="27" t="s">
        <v>83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26680</f>
        <v>26680.0</v>
      </c>
      <c r="L15" s="34" t="s">
        <v>48</v>
      </c>
      <c r="M15" s="33" t="n">
        <f>28375</f>
        <v>28375.0</v>
      </c>
      <c r="N15" s="34" t="s">
        <v>60</v>
      </c>
      <c r="O15" s="33" t="n">
        <f>26490</f>
        <v>26490.0</v>
      </c>
      <c r="P15" s="34" t="s">
        <v>48</v>
      </c>
      <c r="Q15" s="33" t="n">
        <f>28175</f>
        <v>28175.0</v>
      </c>
      <c r="R15" s="34" t="s">
        <v>49</v>
      </c>
      <c r="S15" s="35" t="n">
        <f>27444.21</f>
        <v>27444.21</v>
      </c>
      <c r="T15" s="32" t="n">
        <f>1910594</f>
        <v>1910594.0</v>
      </c>
      <c r="U15" s="32" t="n">
        <f>1134110</f>
        <v>1134110.0</v>
      </c>
      <c r="V15" s="32" t="n">
        <f>53092611257</f>
        <v>5.3092611257E10</v>
      </c>
      <c r="W15" s="32" t="n">
        <f>31772985702</f>
        <v>3.1772985702E10</v>
      </c>
      <c r="X15" s="36" t="n">
        <f>19</f>
        <v>19.0</v>
      </c>
    </row>
    <row r="16">
      <c r="A16" s="27" t="s">
        <v>42</v>
      </c>
      <c r="B16" s="27" t="s">
        <v>84</v>
      </c>
      <c r="C16" s="27" t="s">
        <v>85</v>
      </c>
      <c r="D16" s="27" t="s">
        <v>86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26760</f>
        <v>26760.0</v>
      </c>
      <c r="L16" s="34" t="s">
        <v>48</v>
      </c>
      <c r="M16" s="33" t="n">
        <f>28455</f>
        <v>28455.0</v>
      </c>
      <c r="N16" s="34" t="s">
        <v>60</v>
      </c>
      <c r="O16" s="33" t="n">
        <f>26565</f>
        <v>26565.0</v>
      </c>
      <c r="P16" s="34" t="s">
        <v>48</v>
      </c>
      <c r="Q16" s="33" t="n">
        <f>28260</f>
        <v>28260.0</v>
      </c>
      <c r="R16" s="34" t="s">
        <v>49</v>
      </c>
      <c r="S16" s="35" t="n">
        <f>27523.42</f>
        <v>27523.42</v>
      </c>
      <c r="T16" s="32" t="n">
        <f>5181559</f>
        <v>5181559.0</v>
      </c>
      <c r="U16" s="32" t="n">
        <f>180210</f>
        <v>180210.0</v>
      </c>
      <c r="V16" s="32" t="n">
        <f>142361034573</f>
        <v>1.42361034573E11</v>
      </c>
      <c r="W16" s="32" t="n">
        <f>4917667343</f>
        <v>4.917667343E9</v>
      </c>
      <c r="X16" s="36" t="n">
        <f>19</f>
        <v>19.0</v>
      </c>
    </row>
    <row r="17">
      <c r="A17" s="27" t="s">
        <v>42</v>
      </c>
      <c r="B17" s="27" t="s">
        <v>87</v>
      </c>
      <c r="C17" s="27" t="s">
        <v>88</v>
      </c>
      <c r="D17" s="27" t="s">
        <v>89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7364</f>
        <v>7364.0</v>
      </c>
      <c r="L17" s="34" t="s">
        <v>48</v>
      </c>
      <c r="M17" s="33" t="n">
        <f>8300</f>
        <v>8300.0</v>
      </c>
      <c r="N17" s="34" t="s">
        <v>76</v>
      </c>
      <c r="O17" s="33" t="n">
        <f>7200</f>
        <v>7200.0</v>
      </c>
      <c r="P17" s="34" t="s">
        <v>48</v>
      </c>
      <c r="Q17" s="33" t="n">
        <f>8090</f>
        <v>8090.0</v>
      </c>
      <c r="R17" s="34" t="s">
        <v>49</v>
      </c>
      <c r="S17" s="35" t="n">
        <f>7932.11</f>
        <v>7932.11</v>
      </c>
      <c r="T17" s="32" t="n">
        <f>8970</f>
        <v>8970.0</v>
      </c>
      <c r="U17" s="32" t="str">
        <f>"－"</f>
        <v>－</v>
      </c>
      <c r="V17" s="32" t="n">
        <f>71088630</f>
        <v>7.108863E7</v>
      </c>
      <c r="W17" s="32" t="str">
        <f>"－"</f>
        <v>－</v>
      </c>
      <c r="X17" s="36" t="n">
        <f>19</f>
        <v>19.0</v>
      </c>
    </row>
    <row r="18">
      <c r="A18" s="27" t="s">
        <v>42</v>
      </c>
      <c r="B18" s="27" t="s">
        <v>90</v>
      </c>
      <c r="C18" s="27" t="s">
        <v>91</v>
      </c>
      <c r="D18" s="27" t="s">
        <v>92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str">
        <f>"－"</f>
        <v>－</v>
      </c>
      <c r="L18" s="34"/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5" t="str">
        <f>"－"</f>
        <v>－</v>
      </c>
      <c r="T18" s="32" t="str">
        <f>"－"</f>
        <v>－</v>
      </c>
      <c r="U18" s="32" t="str">
        <f>"－"</f>
        <v>－</v>
      </c>
      <c r="V18" s="32" t="str">
        <f>"－"</f>
        <v>－</v>
      </c>
      <c r="W18" s="32" t="str">
        <f>"－"</f>
        <v>－</v>
      </c>
      <c r="X18" s="36" t="str">
        <f>"－"</f>
        <v>－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192</f>
        <v>192.0</v>
      </c>
      <c r="L19" s="34" t="s">
        <v>48</v>
      </c>
      <c r="M19" s="33" t="n">
        <f>206</f>
        <v>206.0</v>
      </c>
      <c r="N19" s="34" t="s">
        <v>96</v>
      </c>
      <c r="O19" s="33" t="n">
        <f>191.1</f>
        <v>191.1</v>
      </c>
      <c r="P19" s="34" t="s">
        <v>48</v>
      </c>
      <c r="Q19" s="33" t="n">
        <f>200.7</f>
        <v>200.7</v>
      </c>
      <c r="R19" s="34" t="s">
        <v>49</v>
      </c>
      <c r="S19" s="35" t="n">
        <f>199.29</f>
        <v>199.29</v>
      </c>
      <c r="T19" s="32" t="n">
        <f>421600</f>
        <v>421600.0</v>
      </c>
      <c r="U19" s="32" t="n">
        <f>100</f>
        <v>100.0</v>
      </c>
      <c r="V19" s="32" t="n">
        <f>83982780</f>
        <v>8.398278E7</v>
      </c>
      <c r="W19" s="32" t="n">
        <f>20100</f>
        <v>20100.0</v>
      </c>
      <c r="X19" s="36" t="n">
        <f>19</f>
        <v>19.0</v>
      </c>
    </row>
    <row r="20">
      <c r="A20" s="27" t="s">
        <v>42</v>
      </c>
      <c r="B20" s="27" t="s">
        <v>97</v>
      </c>
      <c r="C20" s="27" t="s">
        <v>98</v>
      </c>
      <c r="D20" s="27" t="s">
        <v>99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22445</f>
        <v>22445.0</v>
      </c>
      <c r="L20" s="34" t="s">
        <v>48</v>
      </c>
      <c r="M20" s="33" t="n">
        <f>23495</f>
        <v>23495.0</v>
      </c>
      <c r="N20" s="34" t="s">
        <v>100</v>
      </c>
      <c r="O20" s="33" t="n">
        <f>22380</f>
        <v>22380.0</v>
      </c>
      <c r="P20" s="34" t="s">
        <v>48</v>
      </c>
      <c r="Q20" s="33" t="n">
        <f>23210</f>
        <v>23210.0</v>
      </c>
      <c r="R20" s="34" t="s">
        <v>49</v>
      </c>
      <c r="S20" s="35" t="n">
        <f>23057.37</f>
        <v>23057.37</v>
      </c>
      <c r="T20" s="32" t="n">
        <f>138611</f>
        <v>138611.0</v>
      </c>
      <c r="U20" s="32" t="str">
        <f>"－"</f>
        <v>－</v>
      </c>
      <c r="V20" s="32" t="n">
        <f>3198382890</f>
        <v>3.19838289E9</v>
      </c>
      <c r="W20" s="32" t="str">
        <f>"－"</f>
        <v>－</v>
      </c>
      <c r="X20" s="36" t="n">
        <f>19</f>
        <v>19.0</v>
      </c>
    </row>
    <row r="21">
      <c r="A21" s="27" t="s">
        <v>42</v>
      </c>
      <c r="B21" s="27" t="s">
        <v>101</v>
      </c>
      <c r="C21" s="27" t="s">
        <v>102</v>
      </c>
      <c r="D21" s="27" t="s">
        <v>103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6014</f>
        <v>6014.0</v>
      </c>
      <c r="L21" s="34" t="s">
        <v>48</v>
      </c>
      <c r="M21" s="33" t="n">
        <f>6290</f>
        <v>6290.0</v>
      </c>
      <c r="N21" s="34" t="s">
        <v>100</v>
      </c>
      <c r="O21" s="33" t="n">
        <f>5993</f>
        <v>5993.0</v>
      </c>
      <c r="P21" s="34" t="s">
        <v>48</v>
      </c>
      <c r="Q21" s="33" t="n">
        <f>6212</f>
        <v>6212.0</v>
      </c>
      <c r="R21" s="34" t="s">
        <v>49</v>
      </c>
      <c r="S21" s="35" t="n">
        <f>6176.42</f>
        <v>6176.42</v>
      </c>
      <c r="T21" s="32" t="n">
        <f>146390</f>
        <v>146390.0</v>
      </c>
      <c r="U21" s="32" t="n">
        <f>150</f>
        <v>150.0</v>
      </c>
      <c r="V21" s="32" t="n">
        <f>904311960</f>
        <v>9.0431196E8</v>
      </c>
      <c r="W21" s="32" t="n">
        <f>934530</f>
        <v>934530.0</v>
      </c>
      <c r="X21" s="36" t="n">
        <f>19</f>
        <v>19.0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26940</f>
        <v>26940.0</v>
      </c>
      <c r="L22" s="34" t="s">
        <v>48</v>
      </c>
      <c r="M22" s="33" t="n">
        <f>28620</f>
        <v>28620.0</v>
      </c>
      <c r="N22" s="34" t="s">
        <v>60</v>
      </c>
      <c r="O22" s="33" t="n">
        <f>26730</f>
        <v>26730.0</v>
      </c>
      <c r="P22" s="34" t="s">
        <v>48</v>
      </c>
      <c r="Q22" s="33" t="n">
        <f>28420</f>
        <v>28420.0</v>
      </c>
      <c r="R22" s="34" t="s">
        <v>49</v>
      </c>
      <c r="S22" s="35" t="n">
        <f>27680.26</f>
        <v>27680.26</v>
      </c>
      <c r="T22" s="32" t="n">
        <f>654706</f>
        <v>654706.0</v>
      </c>
      <c r="U22" s="32" t="n">
        <f>111086</f>
        <v>111086.0</v>
      </c>
      <c r="V22" s="32" t="n">
        <f>18080642223</f>
        <v>1.8080642223E10</v>
      </c>
      <c r="W22" s="32" t="n">
        <f>3105678563</f>
        <v>3.105678563E9</v>
      </c>
      <c r="X22" s="36" t="n">
        <f>19</f>
        <v>19.0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26800</f>
        <v>26800.0</v>
      </c>
      <c r="L23" s="34" t="s">
        <v>48</v>
      </c>
      <c r="M23" s="33" t="n">
        <f>28480</f>
        <v>28480.0</v>
      </c>
      <c r="N23" s="34" t="s">
        <v>60</v>
      </c>
      <c r="O23" s="33" t="n">
        <f>26585</f>
        <v>26585.0</v>
      </c>
      <c r="P23" s="34" t="s">
        <v>48</v>
      </c>
      <c r="Q23" s="33" t="n">
        <f>28280</f>
        <v>28280.0</v>
      </c>
      <c r="R23" s="34" t="s">
        <v>49</v>
      </c>
      <c r="S23" s="35" t="n">
        <f>27569.74</f>
        <v>27569.74</v>
      </c>
      <c r="T23" s="32" t="n">
        <f>829940</f>
        <v>829940.0</v>
      </c>
      <c r="U23" s="32" t="n">
        <f>281970</f>
        <v>281970.0</v>
      </c>
      <c r="V23" s="32" t="n">
        <f>22969794433</f>
        <v>2.2969794433E10</v>
      </c>
      <c r="W23" s="32" t="n">
        <f>7834811383</f>
        <v>7.834811383E9</v>
      </c>
      <c r="X23" s="36" t="n">
        <f>19</f>
        <v>19.0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2030</f>
        <v>2030.0</v>
      </c>
      <c r="L24" s="34" t="s">
        <v>48</v>
      </c>
      <c r="M24" s="33" t="n">
        <f>2038</f>
        <v>2038.0</v>
      </c>
      <c r="N24" s="34" t="s">
        <v>48</v>
      </c>
      <c r="O24" s="33" t="n">
        <f>1921.5</f>
        <v>1921.5</v>
      </c>
      <c r="P24" s="34" t="s">
        <v>113</v>
      </c>
      <c r="Q24" s="33" t="n">
        <f>1972</f>
        <v>1972.0</v>
      </c>
      <c r="R24" s="34" t="s">
        <v>49</v>
      </c>
      <c r="S24" s="35" t="n">
        <f>1979.95</f>
        <v>1979.95</v>
      </c>
      <c r="T24" s="32" t="n">
        <f>11176640</f>
        <v>1.117664E7</v>
      </c>
      <c r="U24" s="32" t="n">
        <f>2855810</f>
        <v>2855810.0</v>
      </c>
      <c r="V24" s="32" t="n">
        <f>22084042476</f>
        <v>2.2084042476E10</v>
      </c>
      <c r="W24" s="32" t="n">
        <f>5661348616</f>
        <v>5.661348616E9</v>
      </c>
      <c r="X24" s="36" t="n">
        <f>19</f>
        <v>19.0</v>
      </c>
    </row>
    <row r="25">
      <c r="A25" s="27" t="s">
        <v>42</v>
      </c>
      <c r="B25" s="27" t="s">
        <v>114</v>
      </c>
      <c r="C25" s="27" t="s">
        <v>115</v>
      </c>
      <c r="D25" s="27" t="s">
        <v>116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100.0</v>
      </c>
      <c r="K25" s="33" t="n">
        <f>1916.5</f>
        <v>1916.5</v>
      </c>
      <c r="L25" s="34" t="s">
        <v>48</v>
      </c>
      <c r="M25" s="33" t="n">
        <f>1917</f>
        <v>1917.0</v>
      </c>
      <c r="N25" s="34" t="s">
        <v>48</v>
      </c>
      <c r="O25" s="33" t="n">
        <f>1804</f>
        <v>1804.0</v>
      </c>
      <c r="P25" s="34" t="s">
        <v>113</v>
      </c>
      <c r="Q25" s="33" t="n">
        <f>1854</f>
        <v>1854.0</v>
      </c>
      <c r="R25" s="34" t="s">
        <v>49</v>
      </c>
      <c r="S25" s="35" t="n">
        <f>1859.55</f>
        <v>1859.55</v>
      </c>
      <c r="T25" s="32" t="n">
        <f>1443100</f>
        <v>1443100.0</v>
      </c>
      <c r="U25" s="32" t="n">
        <f>227000</f>
        <v>227000.0</v>
      </c>
      <c r="V25" s="32" t="n">
        <f>2677397693</f>
        <v>2.677397693E9</v>
      </c>
      <c r="W25" s="32" t="n">
        <f>423654043</f>
        <v>4.23654043E8</v>
      </c>
      <c r="X25" s="36" t="n">
        <f>19</f>
        <v>19.0</v>
      </c>
    </row>
    <row r="26">
      <c r="A26" s="27" t="s">
        <v>42</v>
      </c>
      <c r="B26" s="27" t="s">
        <v>117</v>
      </c>
      <c r="C26" s="27" t="s">
        <v>118</v>
      </c>
      <c r="D26" s="27" t="s">
        <v>119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26890</f>
        <v>26890.0</v>
      </c>
      <c r="L26" s="34" t="s">
        <v>48</v>
      </c>
      <c r="M26" s="33" t="n">
        <f>28300</f>
        <v>28300.0</v>
      </c>
      <c r="N26" s="34" t="s">
        <v>60</v>
      </c>
      <c r="O26" s="33" t="n">
        <f>26495</f>
        <v>26495.0</v>
      </c>
      <c r="P26" s="34" t="s">
        <v>80</v>
      </c>
      <c r="Q26" s="33" t="n">
        <f>28100</f>
        <v>28100.0</v>
      </c>
      <c r="R26" s="34" t="s">
        <v>49</v>
      </c>
      <c r="S26" s="35" t="n">
        <f>27458.16</f>
        <v>27458.16</v>
      </c>
      <c r="T26" s="32" t="n">
        <f>442436</f>
        <v>442436.0</v>
      </c>
      <c r="U26" s="32" t="n">
        <f>107112</f>
        <v>107112.0</v>
      </c>
      <c r="V26" s="32" t="n">
        <f>12238871850</f>
        <v>1.223887185E10</v>
      </c>
      <c r="W26" s="32" t="n">
        <f>2993969525</f>
        <v>2.993969525E9</v>
      </c>
      <c r="X26" s="36" t="n">
        <f>19</f>
        <v>19.0</v>
      </c>
    </row>
    <row r="27">
      <c r="A27" s="27" t="s">
        <v>42</v>
      </c>
      <c r="B27" s="27" t="s">
        <v>120</v>
      </c>
      <c r="C27" s="27" t="s">
        <v>121</v>
      </c>
      <c r="D27" s="27" t="s">
        <v>122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1961.5</f>
        <v>1961.5</v>
      </c>
      <c r="L27" s="34" t="s">
        <v>48</v>
      </c>
      <c r="M27" s="33" t="n">
        <f>2055.5</f>
        <v>2055.5</v>
      </c>
      <c r="N27" s="34" t="s">
        <v>49</v>
      </c>
      <c r="O27" s="33" t="n">
        <f>1945</f>
        <v>1945.0</v>
      </c>
      <c r="P27" s="34" t="s">
        <v>48</v>
      </c>
      <c r="Q27" s="33" t="n">
        <f>2037.5</f>
        <v>2037.5</v>
      </c>
      <c r="R27" s="34" t="s">
        <v>49</v>
      </c>
      <c r="S27" s="35" t="n">
        <f>1995.42</f>
        <v>1995.42</v>
      </c>
      <c r="T27" s="32" t="n">
        <f>5246710</f>
        <v>5246710.0</v>
      </c>
      <c r="U27" s="32" t="n">
        <f>2505480</f>
        <v>2505480.0</v>
      </c>
      <c r="V27" s="32" t="n">
        <f>10526971291</f>
        <v>1.0526971291E10</v>
      </c>
      <c r="W27" s="32" t="n">
        <f>5043121546</f>
        <v>5.043121546E9</v>
      </c>
      <c r="X27" s="36" t="n">
        <f>19</f>
        <v>19.0</v>
      </c>
    </row>
    <row r="28">
      <c r="A28" s="27" t="s">
        <v>42</v>
      </c>
      <c r="B28" s="27" t="s">
        <v>123</v>
      </c>
      <c r="C28" s="27" t="s">
        <v>124</v>
      </c>
      <c r="D28" s="27" t="s">
        <v>125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14315</f>
        <v>14315.0</v>
      </c>
      <c r="L28" s="34" t="s">
        <v>48</v>
      </c>
      <c r="M28" s="33" t="n">
        <f>14800</f>
        <v>14800.0</v>
      </c>
      <c r="N28" s="34" t="s">
        <v>100</v>
      </c>
      <c r="O28" s="33" t="n">
        <f>14200</f>
        <v>14200.0</v>
      </c>
      <c r="P28" s="34" t="s">
        <v>126</v>
      </c>
      <c r="Q28" s="33" t="n">
        <f>14545</f>
        <v>14545.0</v>
      </c>
      <c r="R28" s="34" t="s">
        <v>49</v>
      </c>
      <c r="S28" s="35" t="n">
        <f>14511.47</f>
        <v>14511.47</v>
      </c>
      <c r="T28" s="32" t="n">
        <f>641</f>
        <v>641.0</v>
      </c>
      <c r="U28" s="32" t="str">
        <f>"－"</f>
        <v>－</v>
      </c>
      <c r="V28" s="32" t="n">
        <f>9334125</f>
        <v>9334125.0</v>
      </c>
      <c r="W28" s="32" t="str">
        <f>"－"</f>
        <v>－</v>
      </c>
      <c r="X28" s="36" t="n">
        <f>17</f>
        <v>17.0</v>
      </c>
    </row>
    <row r="29">
      <c r="A29" s="27" t="s">
        <v>42</v>
      </c>
      <c r="B29" s="27" t="s">
        <v>127</v>
      </c>
      <c r="C29" s="27" t="s">
        <v>128</v>
      </c>
      <c r="D29" s="27" t="s">
        <v>129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10.0</v>
      </c>
      <c r="K29" s="33" t="n">
        <f>972.2</f>
        <v>972.2</v>
      </c>
      <c r="L29" s="34" t="s">
        <v>48</v>
      </c>
      <c r="M29" s="33" t="n">
        <f>989.9</f>
        <v>989.9</v>
      </c>
      <c r="N29" s="34" t="s">
        <v>48</v>
      </c>
      <c r="O29" s="33" t="n">
        <f>859.5</f>
        <v>859.5</v>
      </c>
      <c r="P29" s="34" t="s">
        <v>49</v>
      </c>
      <c r="Q29" s="33" t="n">
        <f>876.1</f>
        <v>876.1</v>
      </c>
      <c r="R29" s="34" t="s">
        <v>49</v>
      </c>
      <c r="S29" s="35" t="n">
        <f>923.8</f>
        <v>923.8</v>
      </c>
      <c r="T29" s="32" t="n">
        <f>7481330</f>
        <v>7481330.0</v>
      </c>
      <c r="U29" s="32" t="n">
        <f>360</f>
        <v>360.0</v>
      </c>
      <c r="V29" s="32" t="n">
        <f>6945264929</f>
        <v>6.945264929E9</v>
      </c>
      <c r="W29" s="32" t="n">
        <f>347244</f>
        <v>347244.0</v>
      </c>
      <c r="X29" s="36" t="n">
        <f>19</f>
        <v>19.0</v>
      </c>
    </row>
    <row r="30">
      <c r="A30" s="27" t="s">
        <v>42</v>
      </c>
      <c r="B30" s="27" t="s">
        <v>130</v>
      </c>
      <c r="C30" s="27" t="s">
        <v>131</v>
      </c>
      <c r="D30" s="27" t="s">
        <v>132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398</f>
        <v>398.0</v>
      </c>
      <c r="L30" s="34" t="s">
        <v>48</v>
      </c>
      <c r="M30" s="33" t="n">
        <f>404</f>
        <v>404.0</v>
      </c>
      <c r="N30" s="34" t="s">
        <v>48</v>
      </c>
      <c r="O30" s="33" t="n">
        <f>348</f>
        <v>348.0</v>
      </c>
      <c r="P30" s="34" t="s">
        <v>60</v>
      </c>
      <c r="Q30" s="33" t="n">
        <f>353</f>
        <v>353.0</v>
      </c>
      <c r="R30" s="34" t="s">
        <v>49</v>
      </c>
      <c r="S30" s="35" t="n">
        <f>374.68</f>
        <v>374.68</v>
      </c>
      <c r="T30" s="32" t="n">
        <f>1029072347</f>
        <v>1.029072347E9</v>
      </c>
      <c r="U30" s="32" t="n">
        <f>517231</f>
        <v>517231.0</v>
      </c>
      <c r="V30" s="32" t="n">
        <f>386471672060</f>
        <v>3.8647167206E11</v>
      </c>
      <c r="W30" s="32" t="n">
        <f>195370430</f>
        <v>1.9537043E8</v>
      </c>
      <c r="X30" s="36" t="n">
        <f>19</f>
        <v>19.0</v>
      </c>
    </row>
    <row r="31">
      <c r="A31" s="27" t="s">
        <v>42</v>
      </c>
      <c r="B31" s="27" t="s">
        <v>133</v>
      </c>
      <c r="C31" s="27" t="s">
        <v>134</v>
      </c>
      <c r="D31" s="27" t="s">
        <v>135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23280</f>
        <v>23280.0</v>
      </c>
      <c r="L31" s="34" t="s">
        <v>48</v>
      </c>
      <c r="M31" s="33" t="n">
        <f>26255</f>
        <v>26255.0</v>
      </c>
      <c r="N31" s="34" t="s">
        <v>60</v>
      </c>
      <c r="O31" s="33" t="n">
        <f>22915</f>
        <v>22915.0</v>
      </c>
      <c r="P31" s="34" t="s">
        <v>48</v>
      </c>
      <c r="Q31" s="33" t="n">
        <f>25915</f>
        <v>25915.0</v>
      </c>
      <c r="R31" s="34" t="s">
        <v>49</v>
      </c>
      <c r="S31" s="35" t="n">
        <f>24583.42</f>
        <v>24583.42</v>
      </c>
      <c r="T31" s="32" t="n">
        <f>355227</f>
        <v>355227.0</v>
      </c>
      <c r="U31" s="32" t="str">
        <f>"－"</f>
        <v>－</v>
      </c>
      <c r="V31" s="32" t="n">
        <f>8777390465</f>
        <v>8.777390465E9</v>
      </c>
      <c r="W31" s="32" t="str">
        <f>"－"</f>
        <v>－</v>
      </c>
      <c r="X31" s="36" t="n">
        <f>19</f>
        <v>19.0</v>
      </c>
    </row>
    <row r="32">
      <c r="A32" s="27" t="s">
        <v>42</v>
      </c>
      <c r="B32" s="27" t="s">
        <v>136</v>
      </c>
      <c r="C32" s="27" t="s">
        <v>137</v>
      </c>
      <c r="D32" s="27" t="s">
        <v>138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980.2</f>
        <v>980.2</v>
      </c>
      <c r="L32" s="34" t="s">
        <v>48</v>
      </c>
      <c r="M32" s="33" t="n">
        <f>987.1</f>
        <v>987.1</v>
      </c>
      <c r="N32" s="34" t="s">
        <v>48</v>
      </c>
      <c r="O32" s="33" t="n">
        <f>852.9</f>
        <v>852.9</v>
      </c>
      <c r="P32" s="34" t="s">
        <v>60</v>
      </c>
      <c r="Q32" s="33" t="n">
        <f>864.8</f>
        <v>864.8</v>
      </c>
      <c r="R32" s="34" t="s">
        <v>49</v>
      </c>
      <c r="S32" s="35" t="n">
        <f>916.41</f>
        <v>916.41</v>
      </c>
      <c r="T32" s="32" t="n">
        <f>174422430</f>
        <v>1.7442243E8</v>
      </c>
      <c r="U32" s="32" t="n">
        <f>1804560</f>
        <v>1804560.0</v>
      </c>
      <c r="V32" s="32" t="n">
        <f>160839799720</f>
        <v>1.6083979972E11</v>
      </c>
      <c r="W32" s="32" t="n">
        <f>1682690186</f>
        <v>1.682690186E9</v>
      </c>
      <c r="X32" s="36" t="n">
        <f>19</f>
        <v>19.0</v>
      </c>
    </row>
    <row r="33">
      <c r="A33" s="27" t="s">
        <v>42</v>
      </c>
      <c r="B33" s="27" t="s">
        <v>139</v>
      </c>
      <c r="C33" s="27" t="s">
        <v>140</v>
      </c>
      <c r="D33" s="27" t="s">
        <v>141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17425</f>
        <v>17425.0</v>
      </c>
      <c r="L33" s="34" t="s">
        <v>48</v>
      </c>
      <c r="M33" s="33" t="n">
        <f>18510</f>
        <v>18510.0</v>
      </c>
      <c r="N33" s="34" t="s">
        <v>49</v>
      </c>
      <c r="O33" s="33" t="n">
        <f>17285</f>
        <v>17285.0</v>
      </c>
      <c r="P33" s="34" t="s">
        <v>56</v>
      </c>
      <c r="Q33" s="33" t="n">
        <f>18310</f>
        <v>18310.0</v>
      </c>
      <c r="R33" s="34" t="s">
        <v>49</v>
      </c>
      <c r="S33" s="35" t="n">
        <f>17884.47</f>
        <v>17884.47</v>
      </c>
      <c r="T33" s="32" t="n">
        <f>2433</f>
        <v>2433.0</v>
      </c>
      <c r="U33" s="32" t="n">
        <f>4</f>
        <v>4.0</v>
      </c>
      <c r="V33" s="32" t="n">
        <f>43626590</f>
        <v>4.362659E7</v>
      </c>
      <c r="W33" s="32" t="n">
        <f>69735</f>
        <v>69735.0</v>
      </c>
      <c r="X33" s="36" t="n">
        <f>19</f>
        <v>19.0</v>
      </c>
    </row>
    <row r="34">
      <c r="A34" s="27" t="s">
        <v>42</v>
      </c>
      <c r="B34" s="27" t="s">
        <v>142</v>
      </c>
      <c r="C34" s="27" t="s">
        <v>143</v>
      </c>
      <c r="D34" s="27" t="s">
        <v>144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19375</f>
        <v>19375.0</v>
      </c>
      <c r="L34" s="34" t="s">
        <v>48</v>
      </c>
      <c r="M34" s="33" t="n">
        <f>21855</f>
        <v>21855.0</v>
      </c>
      <c r="N34" s="34" t="s">
        <v>60</v>
      </c>
      <c r="O34" s="33" t="n">
        <f>19060</f>
        <v>19060.0</v>
      </c>
      <c r="P34" s="34" t="s">
        <v>48</v>
      </c>
      <c r="Q34" s="33" t="n">
        <f>21555</f>
        <v>21555.0</v>
      </c>
      <c r="R34" s="34" t="s">
        <v>49</v>
      </c>
      <c r="S34" s="35" t="n">
        <f>20461.84</f>
        <v>20461.84</v>
      </c>
      <c r="T34" s="32" t="n">
        <f>836862</f>
        <v>836862.0</v>
      </c>
      <c r="U34" s="32" t="n">
        <f>12</f>
        <v>12.0</v>
      </c>
      <c r="V34" s="32" t="n">
        <f>17167453590</f>
        <v>1.716745359E10</v>
      </c>
      <c r="W34" s="32" t="n">
        <f>223260</f>
        <v>223260.0</v>
      </c>
      <c r="X34" s="36" t="n">
        <f>19</f>
        <v>19.0</v>
      </c>
    </row>
    <row r="35">
      <c r="A35" s="27" t="s">
        <v>42</v>
      </c>
      <c r="B35" s="27" t="s">
        <v>145</v>
      </c>
      <c r="C35" s="27" t="s">
        <v>146</v>
      </c>
      <c r="D35" s="27" t="s">
        <v>147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1037</f>
        <v>1037.0</v>
      </c>
      <c r="L35" s="34" t="s">
        <v>48</v>
      </c>
      <c r="M35" s="33" t="n">
        <f>1052</f>
        <v>1052.0</v>
      </c>
      <c r="N35" s="34" t="s">
        <v>48</v>
      </c>
      <c r="O35" s="33" t="n">
        <f>908</f>
        <v>908.0</v>
      </c>
      <c r="P35" s="34" t="s">
        <v>60</v>
      </c>
      <c r="Q35" s="33" t="n">
        <f>920</f>
        <v>920.0</v>
      </c>
      <c r="R35" s="34" t="s">
        <v>49</v>
      </c>
      <c r="S35" s="35" t="n">
        <f>976.26</f>
        <v>976.26</v>
      </c>
      <c r="T35" s="32" t="n">
        <f>13593783</f>
        <v>1.3593783E7</v>
      </c>
      <c r="U35" s="32" t="n">
        <f>612</f>
        <v>612.0</v>
      </c>
      <c r="V35" s="32" t="n">
        <f>13232603334</f>
        <v>1.3232603334E10</v>
      </c>
      <c r="W35" s="32" t="n">
        <f>582682</f>
        <v>582682.0</v>
      </c>
      <c r="X35" s="36" t="n">
        <f>19</f>
        <v>19.0</v>
      </c>
    </row>
    <row r="36">
      <c r="A36" s="27" t="s">
        <v>42</v>
      </c>
      <c r="B36" s="27" t="s">
        <v>148</v>
      </c>
      <c r="C36" s="27" t="s">
        <v>149</v>
      </c>
      <c r="D36" s="27" t="s">
        <v>150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17555</f>
        <v>17555.0</v>
      </c>
      <c r="L36" s="34" t="s">
        <v>48</v>
      </c>
      <c r="M36" s="33" t="n">
        <f>19690</f>
        <v>19690.0</v>
      </c>
      <c r="N36" s="34" t="s">
        <v>49</v>
      </c>
      <c r="O36" s="33" t="n">
        <f>17225</f>
        <v>17225.0</v>
      </c>
      <c r="P36" s="34" t="s">
        <v>48</v>
      </c>
      <c r="Q36" s="33" t="n">
        <f>19335</f>
        <v>19335.0</v>
      </c>
      <c r="R36" s="34" t="s">
        <v>49</v>
      </c>
      <c r="S36" s="35" t="n">
        <f>18422.11</f>
        <v>18422.11</v>
      </c>
      <c r="T36" s="32" t="n">
        <f>97498</f>
        <v>97498.0</v>
      </c>
      <c r="U36" s="32" t="str">
        <f>"－"</f>
        <v>－</v>
      </c>
      <c r="V36" s="32" t="n">
        <f>1813188260</f>
        <v>1.81318826E9</v>
      </c>
      <c r="W36" s="32" t="str">
        <f>"－"</f>
        <v>－</v>
      </c>
      <c r="X36" s="36" t="n">
        <f>19</f>
        <v>19.0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1411</f>
        <v>1411.0</v>
      </c>
      <c r="L37" s="34" t="s">
        <v>48</v>
      </c>
      <c r="M37" s="33" t="n">
        <f>1433</f>
        <v>1433.0</v>
      </c>
      <c r="N37" s="34" t="s">
        <v>48</v>
      </c>
      <c r="O37" s="33" t="n">
        <f>1246</f>
        <v>1246.0</v>
      </c>
      <c r="P37" s="34" t="s">
        <v>49</v>
      </c>
      <c r="Q37" s="33" t="n">
        <f>1266</f>
        <v>1266.0</v>
      </c>
      <c r="R37" s="34" t="s">
        <v>49</v>
      </c>
      <c r="S37" s="35" t="n">
        <f>1338</f>
        <v>1338.0</v>
      </c>
      <c r="T37" s="32" t="n">
        <f>934507</f>
        <v>934507.0</v>
      </c>
      <c r="U37" s="32" t="n">
        <f>200000</f>
        <v>200000.0</v>
      </c>
      <c r="V37" s="32" t="n">
        <f>1244800157</f>
        <v>1.244800157E9</v>
      </c>
      <c r="W37" s="32" t="n">
        <f>257800000</f>
        <v>2.578E8</v>
      </c>
      <c r="X37" s="36" t="n">
        <f>19</f>
        <v>19.0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26125</f>
        <v>26125.0</v>
      </c>
      <c r="L38" s="34" t="s">
        <v>48</v>
      </c>
      <c r="M38" s="33" t="n">
        <f>27510</f>
        <v>27510.0</v>
      </c>
      <c r="N38" s="34" t="s">
        <v>60</v>
      </c>
      <c r="O38" s="33" t="n">
        <f>25750</f>
        <v>25750.0</v>
      </c>
      <c r="P38" s="34" t="s">
        <v>56</v>
      </c>
      <c r="Q38" s="33" t="n">
        <f>27320</f>
        <v>27320.0</v>
      </c>
      <c r="R38" s="34" t="s">
        <v>49</v>
      </c>
      <c r="S38" s="35" t="n">
        <f>26610.79</f>
        <v>26610.79</v>
      </c>
      <c r="T38" s="32" t="n">
        <f>218712</f>
        <v>218712.0</v>
      </c>
      <c r="U38" s="32" t="n">
        <f>29630</f>
        <v>29630.0</v>
      </c>
      <c r="V38" s="32" t="n">
        <f>5887517742</f>
        <v>5.887517742E9</v>
      </c>
      <c r="W38" s="32" t="n">
        <f>802925882</f>
        <v>8.02925882E8</v>
      </c>
      <c r="X38" s="36" t="n">
        <f>19</f>
        <v>19.0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5510</f>
        <v>5510.0</v>
      </c>
      <c r="L39" s="34" t="s">
        <v>48</v>
      </c>
      <c r="M39" s="33" t="n">
        <f>6030</f>
        <v>6030.0</v>
      </c>
      <c r="N39" s="34" t="s">
        <v>160</v>
      </c>
      <c r="O39" s="33" t="n">
        <f>5470</f>
        <v>5470.0</v>
      </c>
      <c r="P39" s="34" t="s">
        <v>48</v>
      </c>
      <c r="Q39" s="33" t="n">
        <f>5930</f>
        <v>5930.0</v>
      </c>
      <c r="R39" s="34" t="s">
        <v>49</v>
      </c>
      <c r="S39" s="35" t="n">
        <f>5857.89</f>
        <v>5857.89</v>
      </c>
      <c r="T39" s="32" t="n">
        <f>5537</f>
        <v>5537.0</v>
      </c>
      <c r="U39" s="32" t="str">
        <f>"－"</f>
        <v>－</v>
      </c>
      <c r="V39" s="32" t="n">
        <f>32338020</f>
        <v>3.233802E7</v>
      </c>
      <c r="W39" s="32" t="str">
        <f>"－"</f>
        <v>－</v>
      </c>
      <c r="X39" s="36" t="n">
        <f>19</f>
        <v>19.0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9803</f>
        <v>9803.0</v>
      </c>
      <c r="L40" s="34" t="s">
        <v>48</v>
      </c>
      <c r="M40" s="33" t="n">
        <f>10880</f>
        <v>10880.0</v>
      </c>
      <c r="N40" s="34" t="s">
        <v>60</v>
      </c>
      <c r="O40" s="33" t="n">
        <f>9803</f>
        <v>9803.0</v>
      </c>
      <c r="P40" s="34" t="s">
        <v>48</v>
      </c>
      <c r="Q40" s="33" t="n">
        <f>10580</f>
        <v>10580.0</v>
      </c>
      <c r="R40" s="34" t="s">
        <v>49</v>
      </c>
      <c r="S40" s="35" t="n">
        <f>10410.21</f>
        <v>10410.21</v>
      </c>
      <c r="T40" s="32" t="n">
        <f>789</f>
        <v>789.0</v>
      </c>
      <c r="U40" s="32" t="str">
        <f>"－"</f>
        <v>－</v>
      </c>
      <c r="V40" s="32" t="n">
        <f>8279241</f>
        <v>8279241.0</v>
      </c>
      <c r="W40" s="32" t="str">
        <f>"－"</f>
        <v>－</v>
      </c>
      <c r="X40" s="36" t="n">
        <f>19</f>
        <v>19.0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18655</f>
        <v>18655.0</v>
      </c>
      <c r="L41" s="34" t="s">
        <v>48</v>
      </c>
      <c r="M41" s="33" t="n">
        <f>20595</f>
        <v>20595.0</v>
      </c>
      <c r="N41" s="34" t="s">
        <v>76</v>
      </c>
      <c r="O41" s="33" t="n">
        <f>18655</f>
        <v>18655.0</v>
      </c>
      <c r="P41" s="34" t="s">
        <v>48</v>
      </c>
      <c r="Q41" s="33" t="n">
        <f>20025</f>
        <v>20025.0</v>
      </c>
      <c r="R41" s="34" t="s">
        <v>76</v>
      </c>
      <c r="S41" s="35" t="n">
        <f>19717.19</f>
        <v>19717.19</v>
      </c>
      <c r="T41" s="32" t="n">
        <f>151</f>
        <v>151.0</v>
      </c>
      <c r="U41" s="32" t="str">
        <f>"－"</f>
        <v>－</v>
      </c>
      <c r="V41" s="32" t="n">
        <f>3003450</f>
        <v>3003450.0</v>
      </c>
      <c r="W41" s="32" t="str">
        <f>"－"</f>
        <v>－</v>
      </c>
      <c r="X41" s="36" t="n">
        <f>16</f>
        <v>16.0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15600</f>
        <v>15600.0</v>
      </c>
      <c r="L42" s="34" t="s">
        <v>48</v>
      </c>
      <c r="M42" s="33" t="n">
        <f>16525</f>
        <v>16525.0</v>
      </c>
      <c r="N42" s="34" t="s">
        <v>100</v>
      </c>
      <c r="O42" s="33" t="n">
        <f>15600</f>
        <v>15600.0</v>
      </c>
      <c r="P42" s="34" t="s">
        <v>48</v>
      </c>
      <c r="Q42" s="33" t="n">
        <f>16280</f>
        <v>16280.0</v>
      </c>
      <c r="R42" s="34" t="s">
        <v>60</v>
      </c>
      <c r="S42" s="35" t="n">
        <f>16081.43</f>
        <v>16081.43</v>
      </c>
      <c r="T42" s="32" t="n">
        <f>39</f>
        <v>39.0</v>
      </c>
      <c r="U42" s="32" t="str">
        <f>"－"</f>
        <v>－</v>
      </c>
      <c r="V42" s="32" t="n">
        <f>622150</f>
        <v>622150.0</v>
      </c>
      <c r="W42" s="32" t="str">
        <f>"－"</f>
        <v>－</v>
      </c>
      <c r="X42" s="36" t="n">
        <f>7</f>
        <v>7.0</v>
      </c>
    </row>
    <row r="43">
      <c r="A43" s="27" t="s">
        <v>42</v>
      </c>
      <c r="B43" s="27" t="s">
        <v>170</v>
      </c>
      <c r="C43" s="27" t="s">
        <v>171</v>
      </c>
      <c r="D43" s="27" t="s">
        <v>172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11185</f>
        <v>11185.0</v>
      </c>
      <c r="L43" s="34" t="s">
        <v>48</v>
      </c>
      <c r="M43" s="33" t="n">
        <f>11840</f>
        <v>11840.0</v>
      </c>
      <c r="N43" s="34" t="s">
        <v>96</v>
      </c>
      <c r="O43" s="33" t="n">
        <f>11100</f>
        <v>11100.0</v>
      </c>
      <c r="P43" s="34" t="s">
        <v>48</v>
      </c>
      <c r="Q43" s="33" t="n">
        <f>11550</f>
        <v>11550.0</v>
      </c>
      <c r="R43" s="34" t="s">
        <v>49</v>
      </c>
      <c r="S43" s="35" t="n">
        <f>11504.72</f>
        <v>11504.72</v>
      </c>
      <c r="T43" s="32" t="n">
        <f>1000</f>
        <v>1000.0</v>
      </c>
      <c r="U43" s="32" t="str">
        <f>"－"</f>
        <v>－</v>
      </c>
      <c r="V43" s="32" t="n">
        <f>11504620</f>
        <v>1.150462E7</v>
      </c>
      <c r="W43" s="32" t="str">
        <f>"－"</f>
        <v>－</v>
      </c>
      <c r="X43" s="36" t="n">
        <f>18</f>
        <v>18.0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5630</f>
        <v>5630.0</v>
      </c>
      <c r="L44" s="34" t="s">
        <v>48</v>
      </c>
      <c r="M44" s="33" t="n">
        <f>6160</f>
        <v>6160.0</v>
      </c>
      <c r="N44" s="34" t="s">
        <v>60</v>
      </c>
      <c r="O44" s="33" t="n">
        <f>5590</f>
        <v>5590.0</v>
      </c>
      <c r="P44" s="34" t="s">
        <v>48</v>
      </c>
      <c r="Q44" s="33" t="n">
        <f>6040</f>
        <v>6040.0</v>
      </c>
      <c r="R44" s="34" t="s">
        <v>49</v>
      </c>
      <c r="S44" s="35" t="n">
        <f>5893.16</f>
        <v>5893.16</v>
      </c>
      <c r="T44" s="32" t="n">
        <f>2221</f>
        <v>2221.0</v>
      </c>
      <c r="U44" s="32" t="str">
        <f>"－"</f>
        <v>－</v>
      </c>
      <c r="V44" s="32" t="n">
        <f>13211900</f>
        <v>1.32119E7</v>
      </c>
      <c r="W44" s="32" t="str">
        <f>"－"</f>
        <v>－</v>
      </c>
      <c r="X44" s="36" t="n">
        <f>19</f>
        <v>19.0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2955</f>
        <v>2955.0</v>
      </c>
      <c r="L45" s="34" t="s">
        <v>48</v>
      </c>
      <c r="M45" s="33" t="n">
        <f>3085</f>
        <v>3085.0</v>
      </c>
      <c r="N45" s="34" t="s">
        <v>96</v>
      </c>
      <c r="O45" s="33" t="n">
        <f>2929</f>
        <v>2929.0</v>
      </c>
      <c r="P45" s="34" t="s">
        <v>48</v>
      </c>
      <c r="Q45" s="33" t="n">
        <f>3055</f>
        <v>3055.0</v>
      </c>
      <c r="R45" s="34" t="s">
        <v>49</v>
      </c>
      <c r="S45" s="35" t="n">
        <f>3022.95</f>
        <v>3022.95</v>
      </c>
      <c r="T45" s="32" t="n">
        <f>3059</f>
        <v>3059.0</v>
      </c>
      <c r="U45" s="32" t="str">
        <f>"－"</f>
        <v>－</v>
      </c>
      <c r="V45" s="32" t="n">
        <f>9222279</f>
        <v>9222279.0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3065</f>
        <v>3065.0</v>
      </c>
      <c r="L46" s="34" t="s">
        <v>48</v>
      </c>
      <c r="M46" s="33" t="n">
        <f>3210</f>
        <v>3210.0</v>
      </c>
      <c r="N46" s="34" t="s">
        <v>64</v>
      </c>
      <c r="O46" s="33" t="n">
        <f>3030</f>
        <v>3030.0</v>
      </c>
      <c r="P46" s="34" t="s">
        <v>48</v>
      </c>
      <c r="Q46" s="33" t="n">
        <f>3180</f>
        <v>3180.0</v>
      </c>
      <c r="R46" s="34" t="s">
        <v>49</v>
      </c>
      <c r="S46" s="35" t="n">
        <f>3154.74</f>
        <v>3154.74</v>
      </c>
      <c r="T46" s="32" t="n">
        <f>1364</f>
        <v>1364.0</v>
      </c>
      <c r="U46" s="32" t="str">
        <f>"－"</f>
        <v>－</v>
      </c>
      <c r="V46" s="32" t="n">
        <f>4289180</f>
        <v>4289180.0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49340</f>
        <v>49340.0</v>
      </c>
      <c r="L47" s="34" t="s">
        <v>48</v>
      </c>
      <c r="M47" s="33" t="n">
        <f>50870</f>
        <v>50870.0</v>
      </c>
      <c r="N47" s="34" t="s">
        <v>100</v>
      </c>
      <c r="O47" s="33" t="n">
        <f>48700</f>
        <v>48700.0</v>
      </c>
      <c r="P47" s="34" t="s">
        <v>70</v>
      </c>
      <c r="Q47" s="33" t="n">
        <f>50810</f>
        <v>50810.0</v>
      </c>
      <c r="R47" s="34" t="s">
        <v>76</v>
      </c>
      <c r="S47" s="35" t="n">
        <f>49851.18</f>
        <v>49851.18</v>
      </c>
      <c r="T47" s="32" t="n">
        <f>556</f>
        <v>556.0</v>
      </c>
      <c r="U47" s="32" t="str">
        <f>"－"</f>
        <v>－</v>
      </c>
      <c r="V47" s="32" t="n">
        <f>27669470</f>
        <v>2.766947E7</v>
      </c>
      <c r="W47" s="32" t="str">
        <f>"－"</f>
        <v>－</v>
      </c>
      <c r="X47" s="36" t="n">
        <f>17</f>
        <v>17.0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34410</f>
        <v>34410.0</v>
      </c>
      <c r="L48" s="34" t="s">
        <v>48</v>
      </c>
      <c r="M48" s="33" t="n">
        <f>37200</f>
        <v>37200.0</v>
      </c>
      <c r="N48" s="34" t="s">
        <v>100</v>
      </c>
      <c r="O48" s="33" t="n">
        <f>34410</f>
        <v>34410.0</v>
      </c>
      <c r="P48" s="34" t="s">
        <v>48</v>
      </c>
      <c r="Q48" s="33" t="n">
        <f>36040</f>
        <v>36040.0</v>
      </c>
      <c r="R48" s="34" t="s">
        <v>49</v>
      </c>
      <c r="S48" s="35" t="n">
        <f>36099.09</f>
        <v>36099.09</v>
      </c>
      <c r="T48" s="32" t="n">
        <f>152</f>
        <v>152.0</v>
      </c>
      <c r="U48" s="32" t="n">
        <f>1</f>
        <v>1.0</v>
      </c>
      <c r="V48" s="32" t="n">
        <f>5518520</f>
        <v>5518520.0</v>
      </c>
      <c r="W48" s="32" t="n">
        <f>36120</f>
        <v>36120.0</v>
      </c>
      <c r="X48" s="36" t="n">
        <f>11</f>
        <v>11.0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26130</f>
        <v>26130.0</v>
      </c>
      <c r="L49" s="34" t="s">
        <v>48</v>
      </c>
      <c r="M49" s="33" t="n">
        <f>27745</f>
        <v>27745.0</v>
      </c>
      <c r="N49" s="34" t="s">
        <v>100</v>
      </c>
      <c r="O49" s="33" t="n">
        <f>25985</f>
        <v>25985.0</v>
      </c>
      <c r="P49" s="34" t="s">
        <v>48</v>
      </c>
      <c r="Q49" s="33" t="n">
        <f>27600</f>
        <v>27600.0</v>
      </c>
      <c r="R49" s="34" t="s">
        <v>49</v>
      </c>
      <c r="S49" s="35" t="n">
        <f>26876.76</f>
        <v>26876.76</v>
      </c>
      <c r="T49" s="32" t="n">
        <f>42843</f>
        <v>42843.0</v>
      </c>
      <c r="U49" s="32" t="n">
        <f>23601</f>
        <v>23601.0</v>
      </c>
      <c r="V49" s="32" t="n">
        <f>1171777746</f>
        <v>1.171777746E9</v>
      </c>
      <c r="W49" s="32" t="n">
        <f>651473196</f>
        <v>6.51473196E8</v>
      </c>
      <c r="X49" s="36" t="n">
        <f>17</f>
        <v>17.0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1938.5</f>
        <v>1938.5</v>
      </c>
      <c r="L50" s="34" t="s">
        <v>48</v>
      </c>
      <c r="M50" s="33" t="n">
        <f>1939</f>
        <v>1939.0</v>
      </c>
      <c r="N50" s="34" t="s">
        <v>48</v>
      </c>
      <c r="O50" s="33" t="n">
        <f>1830</f>
        <v>1830.0</v>
      </c>
      <c r="P50" s="34" t="s">
        <v>113</v>
      </c>
      <c r="Q50" s="33" t="n">
        <f>1878</f>
        <v>1878.0</v>
      </c>
      <c r="R50" s="34" t="s">
        <v>49</v>
      </c>
      <c r="S50" s="35" t="n">
        <f>1881.71</f>
        <v>1881.71</v>
      </c>
      <c r="T50" s="32" t="n">
        <f>884300</f>
        <v>884300.0</v>
      </c>
      <c r="U50" s="32" t="n">
        <f>674950</f>
        <v>674950.0</v>
      </c>
      <c r="V50" s="32" t="n">
        <f>1641992235</f>
        <v>1.641992235E9</v>
      </c>
      <c r="W50" s="32" t="n">
        <f>1248312010</f>
        <v>1.24831201E9</v>
      </c>
      <c r="X50" s="36" t="n">
        <f>19</f>
        <v>19.0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1593</f>
        <v>1593.0</v>
      </c>
      <c r="L51" s="34" t="s">
        <v>48</v>
      </c>
      <c r="M51" s="33" t="n">
        <f>1625.5</f>
        <v>1625.5</v>
      </c>
      <c r="N51" s="34" t="s">
        <v>49</v>
      </c>
      <c r="O51" s="33" t="n">
        <f>1551</f>
        <v>1551.0</v>
      </c>
      <c r="P51" s="34" t="s">
        <v>80</v>
      </c>
      <c r="Q51" s="33" t="n">
        <f>1625.5</f>
        <v>1625.5</v>
      </c>
      <c r="R51" s="34" t="s">
        <v>49</v>
      </c>
      <c r="S51" s="35" t="n">
        <f>1584.06</f>
        <v>1584.06</v>
      </c>
      <c r="T51" s="32" t="n">
        <f>4790</f>
        <v>4790.0</v>
      </c>
      <c r="U51" s="32" t="str">
        <f>"－"</f>
        <v>－</v>
      </c>
      <c r="V51" s="32" t="n">
        <f>7574645</f>
        <v>7574645.0</v>
      </c>
      <c r="W51" s="32" t="str">
        <f>"－"</f>
        <v>－</v>
      </c>
      <c r="X51" s="36" t="n">
        <f>18</f>
        <v>18.0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4365</f>
        <v>4365.0</v>
      </c>
      <c r="L52" s="34" t="s">
        <v>48</v>
      </c>
      <c r="M52" s="33" t="n">
        <f>4390</f>
        <v>4390.0</v>
      </c>
      <c r="N52" s="34" t="s">
        <v>48</v>
      </c>
      <c r="O52" s="33" t="n">
        <f>4090</f>
        <v>4090.0</v>
      </c>
      <c r="P52" s="34" t="s">
        <v>100</v>
      </c>
      <c r="Q52" s="33" t="n">
        <f>4115</f>
        <v>4115.0</v>
      </c>
      <c r="R52" s="34" t="s">
        <v>49</v>
      </c>
      <c r="S52" s="35" t="n">
        <f>4232.89</f>
        <v>4232.89</v>
      </c>
      <c r="T52" s="32" t="n">
        <f>531646</f>
        <v>531646.0</v>
      </c>
      <c r="U52" s="32" t="n">
        <f>35200</f>
        <v>35200.0</v>
      </c>
      <c r="V52" s="32" t="n">
        <f>2274617820</f>
        <v>2.27461782E9</v>
      </c>
      <c r="W52" s="32" t="n">
        <f>149034480</f>
        <v>1.4903448E8</v>
      </c>
      <c r="X52" s="36" t="n">
        <f>19</f>
        <v>19.0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4980</f>
        <v>4980.0</v>
      </c>
      <c r="L53" s="34" t="s">
        <v>48</v>
      </c>
      <c r="M53" s="33" t="n">
        <f>5020</f>
        <v>5020.0</v>
      </c>
      <c r="N53" s="34" t="s">
        <v>48</v>
      </c>
      <c r="O53" s="33" t="n">
        <f>4695</f>
        <v>4695.0</v>
      </c>
      <c r="P53" s="34" t="s">
        <v>49</v>
      </c>
      <c r="Q53" s="33" t="n">
        <f>4730</f>
        <v>4730.0</v>
      </c>
      <c r="R53" s="34" t="s">
        <v>49</v>
      </c>
      <c r="S53" s="35" t="n">
        <f>4860.26</f>
        <v>4860.26</v>
      </c>
      <c r="T53" s="32" t="n">
        <f>561521</f>
        <v>561521.0</v>
      </c>
      <c r="U53" s="32" t="n">
        <f>299713</f>
        <v>299713.0</v>
      </c>
      <c r="V53" s="32" t="n">
        <f>2731050648</f>
        <v>2.731050648E9</v>
      </c>
      <c r="W53" s="32" t="n">
        <f>1432110618</f>
        <v>1.432110618E9</v>
      </c>
      <c r="X53" s="36" t="n">
        <f>19</f>
        <v>19.0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14720</f>
        <v>14720.0</v>
      </c>
      <c r="L54" s="34" t="s">
        <v>48</v>
      </c>
      <c r="M54" s="33" t="n">
        <f>16630</f>
        <v>16630.0</v>
      </c>
      <c r="N54" s="34" t="s">
        <v>60</v>
      </c>
      <c r="O54" s="33" t="n">
        <f>14495</f>
        <v>14495.0</v>
      </c>
      <c r="P54" s="34" t="s">
        <v>48</v>
      </c>
      <c r="Q54" s="33" t="n">
        <f>16405</f>
        <v>16405.0</v>
      </c>
      <c r="R54" s="34" t="s">
        <v>49</v>
      </c>
      <c r="S54" s="35" t="n">
        <f>15566.58</f>
        <v>15566.58</v>
      </c>
      <c r="T54" s="32" t="n">
        <f>13435309</f>
        <v>1.3435309E7</v>
      </c>
      <c r="U54" s="32" t="n">
        <f>73</f>
        <v>73.0</v>
      </c>
      <c r="V54" s="32" t="n">
        <f>208344051275</f>
        <v>2.08344051275E11</v>
      </c>
      <c r="W54" s="32" t="n">
        <f>1150725</f>
        <v>1150725.0</v>
      </c>
      <c r="X54" s="36" t="n">
        <f>19</f>
        <v>19.0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1600</f>
        <v>1600.0</v>
      </c>
      <c r="L55" s="34" t="s">
        <v>48</v>
      </c>
      <c r="M55" s="33" t="n">
        <f>1623</f>
        <v>1623.0</v>
      </c>
      <c r="N55" s="34" t="s">
        <v>48</v>
      </c>
      <c r="O55" s="33" t="n">
        <f>1402</f>
        <v>1402.0</v>
      </c>
      <c r="P55" s="34" t="s">
        <v>60</v>
      </c>
      <c r="Q55" s="33" t="n">
        <f>1422</f>
        <v>1422.0</v>
      </c>
      <c r="R55" s="34" t="s">
        <v>49</v>
      </c>
      <c r="S55" s="35" t="n">
        <f>1506.74</f>
        <v>1506.74</v>
      </c>
      <c r="T55" s="32" t="n">
        <f>161636186</f>
        <v>1.61636186E8</v>
      </c>
      <c r="U55" s="32" t="n">
        <f>800053</f>
        <v>800053.0</v>
      </c>
      <c r="V55" s="32" t="n">
        <f>246495860928</f>
        <v>2.46495860928E11</v>
      </c>
      <c r="W55" s="32" t="n">
        <f>1177382920</f>
        <v>1.17738292E9</v>
      </c>
      <c r="X55" s="36" t="n">
        <f>19</f>
        <v>19.0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13960</f>
        <v>13960.0</v>
      </c>
      <c r="L56" s="34" t="s">
        <v>48</v>
      </c>
      <c r="M56" s="33" t="n">
        <f>15670</f>
        <v>15670.0</v>
      </c>
      <c r="N56" s="34" t="s">
        <v>49</v>
      </c>
      <c r="O56" s="33" t="n">
        <f>13660</f>
        <v>13660.0</v>
      </c>
      <c r="P56" s="34" t="s">
        <v>48</v>
      </c>
      <c r="Q56" s="33" t="n">
        <f>15440</f>
        <v>15440.0</v>
      </c>
      <c r="R56" s="34" t="s">
        <v>49</v>
      </c>
      <c r="S56" s="35" t="n">
        <f>14677.37</f>
        <v>14677.37</v>
      </c>
      <c r="T56" s="32" t="n">
        <f>1513</f>
        <v>1513.0</v>
      </c>
      <c r="U56" s="32" t="str">
        <f>"－"</f>
        <v>－</v>
      </c>
      <c r="V56" s="32" t="n">
        <f>22371155</f>
        <v>2.2371155E7</v>
      </c>
      <c r="W56" s="32" t="str">
        <f>"－"</f>
        <v>－</v>
      </c>
      <c r="X56" s="36" t="n">
        <f>19</f>
        <v>19.0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4805</f>
        <v>4805.0</v>
      </c>
      <c r="L57" s="34" t="s">
        <v>48</v>
      </c>
      <c r="M57" s="33" t="n">
        <f>4865</f>
        <v>4865.0</v>
      </c>
      <c r="N57" s="34" t="s">
        <v>48</v>
      </c>
      <c r="O57" s="33" t="n">
        <f>4590</f>
        <v>4590.0</v>
      </c>
      <c r="P57" s="34" t="s">
        <v>64</v>
      </c>
      <c r="Q57" s="33" t="n">
        <f>4590</f>
        <v>4590.0</v>
      </c>
      <c r="R57" s="34" t="s">
        <v>64</v>
      </c>
      <c r="S57" s="35" t="n">
        <f>4771.67</f>
        <v>4771.67</v>
      </c>
      <c r="T57" s="32" t="n">
        <f>404</f>
        <v>404.0</v>
      </c>
      <c r="U57" s="32" t="str">
        <f>"－"</f>
        <v>－</v>
      </c>
      <c r="V57" s="32" t="n">
        <f>1907445</f>
        <v>1907445.0</v>
      </c>
      <c r="W57" s="32" t="str">
        <f>"－"</f>
        <v>－</v>
      </c>
      <c r="X57" s="36" t="n">
        <f>6</f>
        <v>6.0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1813</f>
        <v>1813.0</v>
      </c>
      <c r="L58" s="34" t="s">
        <v>48</v>
      </c>
      <c r="M58" s="33" t="n">
        <f>1859</f>
        <v>1859.0</v>
      </c>
      <c r="N58" s="34" t="s">
        <v>126</v>
      </c>
      <c r="O58" s="33" t="n">
        <f>1571</f>
        <v>1571.0</v>
      </c>
      <c r="P58" s="34" t="s">
        <v>64</v>
      </c>
      <c r="Q58" s="33" t="n">
        <f>1639</f>
        <v>1639.0</v>
      </c>
      <c r="R58" s="34" t="s">
        <v>49</v>
      </c>
      <c r="S58" s="35" t="n">
        <f>1722.42</f>
        <v>1722.42</v>
      </c>
      <c r="T58" s="32" t="n">
        <f>25391</f>
        <v>25391.0</v>
      </c>
      <c r="U58" s="32" t="n">
        <f>4</f>
        <v>4.0</v>
      </c>
      <c r="V58" s="32" t="n">
        <f>42784204</f>
        <v>4.2784204E7</v>
      </c>
      <c r="W58" s="32" t="n">
        <f>6540</f>
        <v>6540.0</v>
      </c>
      <c r="X58" s="36" t="n">
        <f>19</f>
        <v>19.0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13025</f>
        <v>13025.0</v>
      </c>
      <c r="L59" s="34" t="s">
        <v>48</v>
      </c>
      <c r="M59" s="33" t="n">
        <f>14600</f>
        <v>14600.0</v>
      </c>
      <c r="N59" s="34" t="s">
        <v>60</v>
      </c>
      <c r="O59" s="33" t="n">
        <f>12855</f>
        <v>12855.0</v>
      </c>
      <c r="P59" s="34" t="s">
        <v>48</v>
      </c>
      <c r="Q59" s="33" t="n">
        <f>14205</f>
        <v>14205.0</v>
      </c>
      <c r="R59" s="34" t="s">
        <v>49</v>
      </c>
      <c r="S59" s="35" t="n">
        <f>13725.53</f>
        <v>13725.53</v>
      </c>
      <c r="T59" s="32" t="n">
        <f>5110</f>
        <v>5110.0</v>
      </c>
      <c r="U59" s="32" t="n">
        <f>20</f>
        <v>20.0</v>
      </c>
      <c r="V59" s="32" t="n">
        <f>69548900</f>
        <v>6.95489E7</v>
      </c>
      <c r="W59" s="32" t="n">
        <f>288750</f>
        <v>288750.0</v>
      </c>
      <c r="X59" s="36" t="n">
        <f>19</f>
        <v>19.0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4067</f>
        <v>4067.0</v>
      </c>
      <c r="L60" s="34" t="s">
        <v>56</v>
      </c>
      <c r="M60" s="33" t="n">
        <f>4753</f>
        <v>4753.0</v>
      </c>
      <c r="N60" s="34" t="s">
        <v>224</v>
      </c>
      <c r="O60" s="33" t="n">
        <f>3734</f>
        <v>3734.0</v>
      </c>
      <c r="P60" s="34" t="s">
        <v>76</v>
      </c>
      <c r="Q60" s="33" t="n">
        <f>3734</f>
        <v>3734.0</v>
      </c>
      <c r="R60" s="34" t="s">
        <v>49</v>
      </c>
      <c r="S60" s="35" t="n">
        <f>3896.75</f>
        <v>3896.75</v>
      </c>
      <c r="T60" s="32" t="n">
        <f>260</f>
        <v>260.0</v>
      </c>
      <c r="U60" s="32" t="n">
        <f>10</f>
        <v>10.0</v>
      </c>
      <c r="V60" s="32" t="n">
        <f>1026100</f>
        <v>1026100.0</v>
      </c>
      <c r="W60" s="32" t="n">
        <f>38400</f>
        <v>38400.0</v>
      </c>
      <c r="X60" s="36" t="n">
        <f>8</f>
        <v>8.0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1768.5</f>
        <v>1768.5</v>
      </c>
      <c r="L61" s="34" t="s">
        <v>48</v>
      </c>
      <c r="M61" s="33" t="n">
        <f>1802</f>
        <v>1802.0</v>
      </c>
      <c r="N61" s="34" t="s">
        <v>48</v>
      </c>
      <c r="O61" s="33" t="n">
        <f>1587</f>
        <v>1587.0</v>
      </c>
      <c r="P61" s="34" t="s">
        <v>49</v>
      </c>
      <c r="Q61" s="33" t="n">
        <f>1600</f>
        <v>1600.0</v>
      </c>
      <c r="R61" s="34" t="s">
        <v>49</v>
      </c>
      <c r="S61" s="35" t="n">
        <f>1691.97</f>
        <v>1691.97</v>
      </c>
      <c r="T61" s="32" t="n">
        <f>44360</f>
        <v>44360.0</v>
      </c>
      <c r="U61" s="32" t="str">
        <f>"－"</f>
        <v>－</v>
      </c>
      <c r="V61" s="32" t="n">
        <f>74330335</f>
        <v>7.4330335E7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715</f>
        <v>715.0</v>
      </c>
      <c r="L62" s="34" t="s">
        <v>48</v>
      </c>
      <c r="M62" s="33" t="n">
        <f>738</f>
        <v>738.0</v>
      </c>
      <c r="N62" s="34" t="s">
        <v>48</v>
      </c>
      <c r="O62" s="33" t="n">
        <f>641</f>
        <v>641.0</v>
      </c>
      <c r="P62" s="34" t="s">
        <v>76</v>
      </c>
      <c r="Q62" s="33" t="n">
        <f>652</f>
        <v>652.0</v>
      </c>
      <c r="R62" s="34" t="s">
        <v>49</v>
      </c>
      <c r="S62" s="35" t="n">
        <f>688.37</f>
        <v>688.37</v>
      </c>
      <c r="T62" s="32" t="n">
        <f>30371</f>
        <v>30371.0</v>
      </c>
      <c r="U62" s="32" t="str">
        <f>"－"</f>
        <v>－</v>
      </c>
      <c r="V62" s="32" t="n">
        <f>21000283</f>
        <v>2.1000283E7</v>
      </c>
      <c r="W62" s="32" t="str">
        <f>"－"</f>
        <v>－</v>
      </c>
      <c r="X62" s="36" t="n">
        <f>19</f>
        <v>19.0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1925</f>
        <v>1925.0</v>
      </c>
      <c r="L63" s="34" t="s">
        <v>48</v>
      </c>
      <c r="M63" s="33" t="n">
        <f>2015</f>
        <v>2015.0</v>
      </c>
      <c r="N63" s="34" t="s">
        <v>49</v>
      </c>
      <c r="O63" s="33" t="n">
        <f>1883.5</f>
        <v>1883.5</v>
      </c>
      <c r="P63" s="34" t="s">
        <v>56</v>
      </c>
      <c r="Q63" s="33" t="n">
        <f>1997</f>
        <v>1997.0</v>
      </c>
      <c r="R63" s="34" t="s">
        <v>49</v>
      </c>
      <c r="S63" s="35" t="n">
        <f>1951.55</f>
        <v>1951.55</v>
      </c>
      <c r="T63" s="32" t="n">
        <f>300330</f>
        <v>300330.0</v>
      </c>
      <c r="U63" s="32" t="n">
        <f>10600</f>
        <v>10600.0</v>
      </c>
      <c r="V63" s="32" t="n">
        <f>573504975</f>
        <v>5.73504975E8</v>
      </c>
      <c r="W63" s="32" t="n">
        <f>20043540</f>
        <v>2.004354E7</v>
      </c>
      <c r="X63" s="36" t="n">
        <f>19</f>
        <v>19.0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17025</f>
        <v>17025.0</v>
      </c>
      <c r="L64" s="34" t="s">
        <v>48</v>
      </c>
      <c r="M64" s="33" t="n">
        <f>18045</f>
        <v>18045.0</v>
      </c>
      <c r="N64" s="34" t="s">
        <v>76</v>
      </c>
      <c r="O64" s="33" t="n">
        <f>16880</f>
        <v>16880.0</v>
      </c>
      <c r="P64" s="34" t="s">
        <v>56</v>
      </c>
      <c r="Q64" s="33" t="n">
        <f>17970</f>
        <v>17970.0</v>
      </c>
      <c r="R64" s="34" t="s">
        <v>49</v>
      </c>
      <c r="S64" s="35" t="n">
        <f>17511.58</f>
        <v>17511.58</v>
      </c>
      <c r="T64" s="32" t="n">
        <f>1509</f>
        <v>1509.0</v>
      </c>
      <c r="U64" s="32" t="str">
        <f>"－"</f>
        <v>－</v>
      </c>
      <c r="V64" s="32" t="n">
        <f>26466630</f>
        <v>2.646663E7</v>
      </c>
      <c r="W64" s="32" t="str">
        <f>"－"</f>
        <v>－</v>
      </c>
      <c r="X64" s="36" t="n">
        <f>19</f>
        <v>19.0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1937</f>
        <v>1937.0</v>
      </c>
      <c r="L65" s="34" t="s">
        <v>48</v>
      </c>
      <c r="M65" s="33" t="n">
        <f>2053</f>
        <v>2053.0</v>
      </c>
      <c r="N65" s="34" t="s">
        <v>49</v>
      </c>
      <c r="O65" s="33" t="n">
        <f>1919</f>
        <v>1919.0</v>
      </c>
      <c r="P65" s="34" t="s">
        <v>48</v>
      </c>
      <c r="Q65" s="33" t="n">
        <f>2034</f>
        <v>2034.0</v>
      </c>
      <c r="R65" s="34" t="s">
        <v>49</v>
      </c>
      <c r="S65" s="35" t="n">
        <f>1985.11</f>
        <v>1985.11</v>
      </c>
      <c r="T65" s="32" t="n">
        <f>25142857</f>
        <v>2.5142857E7</v>
      </c>
      <c r="U65" s="32" t="n">
        <f>3958894</f>
        <v>3958894.0</v>
      </c>
      <c r="V65" s="32" t="n">
        <f>49876992791</f>
        <v>4.9876992791E10</v>
      </c>
      <c r="W65" s="32" t="n">
        <f>7823356160</f>
        <v>7.82335616E9</v>
      </c>
      <c r="X65" s="36" t="n">
        <f>19</f>
        <v>19.0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1953</f>
        <v>1953.0</v>
      </c>
      <c r="L66" s="34" t="s">
        <v>48</v>
      </c>
      <c r="M66" s="33" t="n">
        <f>1957</f>
        <v>1957.0</v>
      </c>
      <c r="N66" s="34" t="s">
        <v>48</v>
      </c>
      <c r="O66" s="33" t="n">
        <f>1840</f>
        <v>1840.0</v>
      </c>
      <c r="P66" s="34" t="s">
        <v>113</v>
      </c>
      <c r="Q66" s="33" t="n">
        <f>1893</f>
        <v>1893.0</v>
      </c>
      <c r="R66" s="34" t="s">
        <v>49</v>
      </c>
      <c r="S66" s="35" t="n">
        <f>1898.53</f>
        <v>1898.53</v>
      </c>
      <c r="T66" s="32" t="n">
        <f>7663061</f>
        <v>7663061.0</v>
      </c>
      <c r="U66" s="32" t="n">
        <f>4151122</f>
        <v>4151122.0</v>
      </c>
      <c r="V66" s="32" t="n">
        <f>14467879702</f>
        <v>1.4467879702E10</v>
      </c>
      <c r="W66" s="32" t="n">
        <f>7818288594</f>
        <v>7.818288594E9</v>
      </c>
      <c r="X66" s="36" t="n">
        <f>19</f>
        <v>19.0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1841</f>
        <v>1841.0</v>
      </c>
      <c r="L67" s="34" t="s">
        <v>48</v>
      </c>
      <c r="M67" s="33" t="n">
        <f>1950</f>
        <v>1950.0</v>
      </c>
      <c r="N67" s="34" t="s">
        <v>60</v>
      </c>
      <c r="O67" s="33" t="n">
        <f>1837</f>
        <v>1837.0</v>
      </c>
      <c r="P67" s="34" t="s">
        <v>56</v>
      </c>
      <c r="Q67" s="33" t="n">
        <f>1914</f>
        <v>1914.0</v>
      </c>
      <c r="R67" s="34" t="s">
        <v>49</v>
      </c>
      <c r="S67" s="35" t="n">
        <f>1878.05</f>
        <v>1878.05</v>
      </c>
      <c r="T67" s="32" t="n">
        <f>274323</f>
        <v>274323.0</v>
      </c>
      <c r="U67" s="32" t="n">
        <f>149457</f>
        <v>149457.0</v>
      </c>
      <c r="V67" s="32" t="n">
        <f>524379320</f>
        <v>5.2437932E8</v>
      </c>
      <c r="W67" s="32" t="n">
        <f>285246248</f>
        <v>2.85246248E8</v>
      </c>
      <c r="X67" s="36" t="n">
        <f>19</f>
        <v>19.0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2344</f>
        <v>2344.0</v>
      </c>
      <c r="L68" s="34" t="s">
        <v>48</v>
      </c>
      <c r="M68" s="33" t="n">
        <f>2444</f>
        <v>2444.0</v>
      </c>
      <c r="N68" s="34" t="s">
        <v>49</v>
      </c>
      <c r="O68" s="33" t="n">
        <f>2320</f>
        <v>2320.0</v>
      </c>
      <c r="P68" s="34" t="s">
        <v>48</v>
      </c>
      <c r="Q68" s="33" t="n">
        <f>2433</f>
        <v>2433.0</v>
      </c>
      <c r="R68" s="34" t="s">
        <v>49</v>
      </c>
      <c r="S68" s="35" t="n">
        <f>2376.32</f>
        <v>2376.32</v>
      </c>
      <c r="T68" s="32" t="n">
        <f>761372</f>
        <v>761372.0</v>
      </c>
      <c r="U68" s="32" t="n">
        <f>337000</f>
        <v>337000.0</v>
      </c>
      <c r="V68" s="32" t="n">
        <f>1806058659</f>
        <v>1.806058659E9</v>
      </c>
      <c r="W68" s="32" t="n">
        <f>797473400</f>
        <v>7.974734E8</v>
      </c>
      <c r="X68" s="36" t="n">
        <f>19</f>
        <v>19.0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23230</f>
        <v>23230.0</v>
      </c>
      <c r="L69" s="34" t="s">
        <v>48</v>
      </c>
      <c r="M69" s="33" t="n">
        <f>23870</f>
        <v>23870.0</v>
      </c>
      <c r="N69" s="34" t="s">
        <v>71</v>
      </c>
      <c r="O69" s="33" t="n">
        <f>22750</f>
        <v>22750.0</v>
      </c>
      <c r="P69" s="34" t="s">
        <v>56</v>
      </c>
      <c r="Q69" s="33" t="n">
        <f>23870</f>
        <v>23870.0</v>
      </c>
      <c r="R69" s="34" t="s">
        <v>71</v>
      </c>
      <c r="S69" s="35" t="n">
        <f>23271.88</f>
        <v>23271.88</v>
      </c>
      <c r="T69" s="32" t="n">
        <f>239</f>
        <v>239.0</v>
      </c>
      <c r="U69" s="32" t="str">
        <f>"－"</f>
        <v>－</v>
      </c>
      <c r="V69" s="32" t="n">
        <f>5538655</f>
        <v>5538655.0</v>
      </c>
      <c r="W69" s="32" t="str">
        <f>"－"</f>
        <v>－</v>
      </c>
      <c r="X69" s="36" t="n">
        <f>8</f>
        <v>8.0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18445</f>
        <v>18445.0</v>
      </c>
      <c r="L70" s="34" t="s">
        <v>48</v>
      </c>
      <c r="M70" s="33" t="n">
        <f>19190</f>
        <v>19190.0</v>
      </c>
      <c r="N70" s="34" t="s">
        <v>160</v>
      </c>
      <c r="O70" s="33" t="n">
        <f>18400</f>
        <v>18400.0</v>
      </c>
      <c r="P70" s="34" t="s">
        <v>56</v>
      </c>
      <c r="Q70" s="33" t="n">
        <f>19070</f>
        <v>19070.0</v>
      </c>
      <c r="R70" s="34" t="s">
        <v>113</v>
      </c>
      <c r="S70" s="35" t="n">
        <f>18749.17</f>
        <v>18749.17</v>
      </c>
      <c r="T70" s="32" t="n">
        <f>219</f>
        <v>219.0</v>
      </c>
      <c r="U70" s="32" t="str">
        <f>"－"</f>
        <v>－</v>
      </c>
      <c r="V70" s="32" t="n">
        <f>4054445</f>
        <v>4054445.0</v>
      </c>
      <c r="W70" s="32" t="str">
        <f>"－"</f>
        <v>－</v>
      </c>
      <c r="X70" s="36" t="n">
        <f>6</f>
        <v>6.0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1996</f>
        <v>1996.0</v>
      </c>
      <c r="L71" s="34" t="s">
        <v>48</v>
      </c>
      <c r="M71" s="33" t="n">
        <f>2064</f>
        <v>2064.0</v>
      </c>
      <c r="N71" s="34" t="s">
        <v>76</v>
      </c>
      <c r="O71" s="33" t="n">
        <f>1950</f>
        <v>1950.0</v>
      </c>
      <c r="P71" s="34" t="s">
        <v>56</v>
      </c>
      <c r="Q71" s="33" t="n">
        <f>2042</f>
        <v>2042.0</v>
      </c>
      <c r="R71" s="34" t="s">
        <v>49</v>
      </c>
      <c r="S71" s="35" t="n">
        <f>2008.32</f>
        <v>2008.32</v>
      </c>
      <c r="T71" s="32" t="n">
        <f>574</f>
        <v>574.0</v>
      </c>
      <c r="U71" s="32" t="str">
        <f>"－"</f>
        <v>－</v>
      </c>
      <c r="V71" s="32" t="n">
        <f>1143838</f>
        <v>1143838.0</v>
      </c>
      <c r="W71" s="32" t="str">
        <f>"－"</f>
        <v>－</v>
      </c>
      <c r="X71" s="36" t="n">
        <f>19</f>
        <v>19.0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1916</f>
        <v>1916.0</v>
      </c>
      <c r="L72" s="34" t="s">
        <v>48</v>
      </c>
      <c r="M72" s="33" t="n">
        <f>1972</f>
        <v>1972.0</v>
      </c>
      <c r="N72" s="34" t="s">
        <v>224</v>
      </c>
      <c r="O72" s="33" t="n">
        <f>1911</f>
        <v>1911.0</v>
      </c>
      <c r="P72" s="34" t="s">
        <v>48</v>
      </c>
      <c r="Q72" s="33" t="n">
        <f>1939</f>
        <v>1939.0</v>
      </c>
      <c r="R72" s="34" t="s">
        <v>49</v>
      </c>
      <c r="S72" s="35" t="n">
        <f>1941.79</f>
        <v>1941.79</v>
      </c>
      <c r="T72" s="32" t="n">
        <f>3740505</f>
        <v>3740505.0</v>
      </c>
      <c r="U72" s="32" t="n">
        <f>2838267</f>
        <v>2838267.0</v>
      </c>
      <c r="V72" s="32" t="n">
        <f>7218055858</f>
        <v>7.218055858E9</v>
      </c>
      <c r="W72" s="32" t="n">
        <f>5464456321</f>
        <v>5.464456321E9</v>
      </c>
      <c r="X72" s="36" t="n">
        <f>19</f>
        <v>19.0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2060</f>
        <v>2060.0</v>
      </c>
      <c r="L73" s="34" t="s">
        <v>48</v>
      </c>
      <c r="M73" s="33" t="n">
        <f>2090</f>
        <v>2090.0</v>
      </c>
      <c r="N73" s="34" t="s">
        <v>56</v>
      </c>
      <c r="O73" s="33" t="n">
        <f>2005</f>
        <v>2005.0</v>
      </c>
      <c r="P73" s="34" t="s">
        <v>113</v>
      </c>
      <c r="Q73" s="33" t="n">
        <f>2064</f>
        <v>2064.0</v>
      </c>
      <c r="R73" s="34" t="s">
        <v>49</v>
      </c>
      <c r="S73" s="35" t="n">
        <f>2061.26</f>
        <v>2061.26</v>
      </c>
      <c r="T73" s="32" t="n">
        <f>5137</f>
        <v>5137.0</v>
      </c>
      <c r="U73" s="32" t="str">
        <f>"－"</f>
        <v>－</v>
      </c>
      <c r="V73" s="32" t="n">
        <f>10389046</f>
        <v>1.0389046E7</v>
      </c>
      <c r="W73" s="32" t="str">
        <f>"－"</f>
        <v>－</v>
      </c>
      <c r="X73" s="36" t="n">
        <f>19</f>
        <v>19.0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10.0</v>
      </c>
      <c r="K74" s="33" t="n">
        <f>1963.5</f>
        <v>1963.5</v>
      </c>
      <c r="L74" s="34" t="s">
        <v>48</v>
      </c>
      <c r="M74" s="33" t="n">
        <f>2035.5</f>
        <v>2035.5</v>
      </c>
      <c r="N74" s="34" t="s">
        <v>100</v>
      </c>
      <c r="O74" s="33" t="n">
        <f>1928</f>
        <v>1928.0</v>
      </c>
      <c r="P74" s="34" t="s">
        <v>126</v>
      </c>
      <c r="Q74" s="33" t="n">
        <f>2020.5</f>
        <v>2020.5</v>
      </c>
      <c r="R74" s="34" t="s">
        <v>49</v>
      </c>
      <c r="S74" s="35" t="n">
        <f>1980.61</f>
        <v>1980.61</v>
      </c>
      <c r="T74" s="32" t="n">
        <f>21270</f>
        <v>21270.0</v>
      </c>
      <c r="U74" s="32" t="str">
        <f>"－"</f>
        <v>－</v>
      </c>
      <c r="V74" s="32" t="n">
        <f>41772755</f>
        <v>4.1772755E7</v>
      </c>
      <c r="W74" s="32" t="str">
        <f>"－"</f>
        <v>－</v>
      </c>
      <c r="X74" s="36" t="n">
        <f>19</f>
        <v>19.0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32400</f>
        <v>32400.0</v>
      </c>
      <c r="L75" s="34" t="s">
        <v>126</v>
      </c>
      <c r="M75" s="33" t="n">
        <f>32400</f>
        <v>32400.0</v>
      </c>
      <c r="N75" s="34" t="s">
        <v>126</v>
      </c>
      <c r="O75" s="33" t="n">
        <f>30320</f>
        <v>30320.0</v>
      </c>
      <c r="P75" s="34" t="s">
        <v>56</v>
      </c>
      <c r="Q75" s="33" t="n">
        <f>30410</f>
        <v>30410.0</v>
      </c>
      <c r="R75" s="34" t="s">
        <v>64</v>
      </c>
      <c r="S75" s="35" t="n">
        <f>30920</f>
        <v>30920.0</v>
      </c>
      <c r="T75" s="32" t="n">
        <f>8</f>
        <v>8.0</v>
      </c>
      <c r="U75" s="32" t="str">
        <f>"－"</f>
        <v>－</v>
      </c>
      <c r="V75" s="32" t="n">
        <f>249100</f>
        <v>249100.0</v>
      </c>
      <c r="W75" s="32" t="str">
        <f>"－"</f>
        <v>－</v>
      </c>
      <c r="X75" s="36" t="n">
        <f>5</f>
        <v>5.0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21490</f>
        <v>21490.0</v>
      </c>
      <c r="L76" s="34" t="s">
        <v>48</v>
      </c>
      <c r="M76" s="33" t="n">
        <f>21750</f>
        <v>21750.0</v>
      </c>
      <c r="N76" s="34" t="s">
        <v>48</v>
      </c>
      <c r="O76" s="33" t="n">
        <f>20795</f>
        <v>20795.0</v>
      </c>
      <c r="P76" s="34" t="s">
        <v>80</v>
      </c>
      <c r="Q76" s="33" t="n">
        <f>21220</f>
        <v>21220.0</v>
      </c>
      <c r="R76" s="34" t="s">
        <v>49</v>
      </c>
      <c r="S76" s="35" t="n">
        <f>21253.95</f>
        <v>21253.95</v>
      </c>
      <c r="T76" s="32" t="n">
        <f>81597</f>
        <v>81597.0</v>
      </c>
      <c r="U76" s="32" t="str">
        <f>"－"</f>
        <v>－</v>
      </c>
      <c r="V76" s="32" t="n">
        <f>1727718095</f>
        <v>1.727718095E9</v>
      </c>
      <c r="W76" s="32" t="str">
        <f>"－"</f>
        <v>－</v>
      </c>
      <c r="X76" s="36" t="n">
        <f>19</f>
        <v>19.0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14850</f>
        <v>14850.0</v>
      </c>
      <c r="L77" s="34" t="s">
        <v>48</v>
      </c>
      <c r="M77" s="33" t="n">
        <f>15145</f>
        <v>15145.0</v>
      </c>
      <c r="N77" s="34" t="s">
        <v>224</v>
      </c>
      <c r="O77" s="33" t="n">
        <f>14650</f>
        <v>14650.0</v>
      </c>
      <c r="P77" s="34" t="s">
        <v>56</v>
      </c>
      <c r="Q77" s="33" t="n">
        <f>14900</f>
        <v>14900.0</v>
      </c>
      <c r="R77" s="34" t="s">
        <v>49</v>
      </c>
      <c r="S77" s="35" t="n">
        <f>14928.42</f>
        <v>14928.42</v>
      </c>
      <c r="T77" s="32" t="n">
        <f>142915</f>
        <v>142915.0</v>
      </c>
      <c r="U77" s="32" t="n">
        <f>43701</f>
        <v>43701.0</v>
      </c>
      <c r="V77" s="32" t="n">
        <f>2128502308</f>
        <v>2.128502308E9</v>
      </c>
      <c r="W77" s="32" t="n">
        <f>652399638</f>
        <v>6.52399638E8</v>
      </c>
      <c r="X77" s="36" t="n">
        <f>19</f>
        <v>19.0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1953</f>
        <v>1953.0</v>
      </c>
      <c r="L78" s="34" t="s">
        <v>48</v>
      </c>
      <c r="M78" s="33" t="n">
        <f>1953.5</f>
        <v>1953.5</v>
      </c>
      <c r="N78" s="34" t="s">
        <v>48</v>
      </c>
      <c r="O78" s="33" t="n">
        <f>1840</f>
        <v>1840.0</v>
      </c>
      <c r="P78" s="34" t="s">
        <v>113</v>
      </c>
      <c r="Q78" s="33" t="n">
        <f>1891</f>
        <v>1891.0</v>
      </c>
      <c r="R78" s="34" t="s">
        <v>49</v>
      </c>
      <c r="S78" s="35" t="n">
        <f>1896.92</f>
        <v>1896.92</v>
      </c>
      <c r="T78" s="32" t="n">
        <f>1779710</f>
        <v>1779710.0</v>
      </c>
      <c r="U78" s="32" t="n">
        <f>264600</f>
        <v>264600.0</v>
      </c>
      <c r="V78" s="32" t="n">
        <f>3367224421</f>
        <v>3.367224421E9</v>
      </c>
      <c r="W78" s="32" t="n">
        <f>502914536</f>
        <v>5.02914536E8</v>
      </c>
      <c r="X78" s="36" t="n">
        <f>19</f>
        <v>19.0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43450</f>
        <v>43450.0</v>
      </c>
      <c r="L79" s="34" t="s">
        <v>48</v>
      </c>
      <c r="M79" s="33" t="n">
        <f>45170</f>
        <v>45170.0</v>
      </c>
      <c r="N79" s="34" t="s">
        <v>96</v>
      </c>
      <c r="O79" s="33" t="n">
        <f>42510</f>
        <v>42510.0</v>
      </c>
      <c r="P79" s="34" t="s">
        <v>70</v>
      </c>
      <c r="Q79" s="33" t="n">
        <f>44480</f>
        <v>44480.0</v>
      </c>
      <c r="R79" s="34" t="s">
        <v>49</v>
      </c>
      <c r="S79" s="35" t="n">
        <f>43951.05</f>
        <v>43951.05</v>
      </c>
      <c r="T79" s="32" t="n">
        <f>158726</f>
        <v>158726.0</v>
      </c>
      <c r="U79" s="32" t="n">
        <f>23794</f>
        <v>23794.0</v>
      </c>
      <c r="V79" s="32" t="n">
        <f>6947608420</f>
        <v>6.94760842E9</v>
      </c>
      <c r="W79" s="32" t="n">
        <f>1038907870</f>
        <v>1.03890787E9</v>
      </c>
      <c r="X79" s="36" t="n">
        <f>19</f>
        <v>19.0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7793</f>
        <v>7793.0</v>
      </c>
      <c r="L80" s="34" t="s">
        <v>48</v>
      </c>
      <c r="M80" s="33" t="n">
        <f>7793</f>
        <v>7793.0</v>
      </c>
      <c r="N80" s="34" t="s">
        <v>48</v>
      </c>
      <c r="O80" s="33" t="n">
        <f>7437</f>
        <v>7437.0</v>
      </c>
      <c r="P80" s="34" t="s">
        <v>100</v>
      </c>
      <c r="Q80" s="33" t="n">
        <f>7558</f>
        <v>7558.0</v>
      </c>
      <c r="R80" s="34" t="s">
        <v>76</v>
      </c>
      <c r="S80" s="35" t="n">
        <f>7625.2</f>
        <v>7625.2</v>
      </c>
      <c r="T80" s="32" t="n">
        <f>50</f>
        <v>50.0</v>
      </c>
      <c r="U80" s="32" t="str">
        <f>"－"</f>
        <v>－</v>
      </c>
      <c r="V80" s="32" t="n">
        <f>381260</f>
        <v>381260.0</v>
      </c>
      <c r="W80" s="32" t="str">
        <f>"－"</f>
        <v>－</v>
      </c>
      <c r="X80" s="36" t="n">
        <f>5</f>
        <v>5.0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15465</f>
        <v>15465.0</v>
      </c>
      <c r="L81" s="34" t="s">
        <v>48</v>
      </c>
      <c r="M81" s="33" t="n">
        <f>15990</f>
        <v>15990.0</v>
      </c>
      <c r="N81" s="34" t="s">
        <v>60</v>
      </c>
      <c r="O81" s="33" t="n">
        <f>15125</f>
        <v>15125.0</v>
      </c>
      <c r="P81" s="34" t="s">
        <v>80</v>
      </c>
      <c r="Q81" s="33" t="n">
        <f>15870</f>
        <v>15870.0</v>
      </c>
      <c r="R81" s="34" t="s">
        <v>49</v>
      </c>
      <c r="S81" s="35" t="n">
        <f>15537.11</f>
        <v>15537.11</v>
      </c>
      <c r="T81" s="32" t="n">
        <f>591</f>
        <v>591.0</v>
      </c>
      <c r="U81" s="32" t="str">
        <f>"－"</f>
        <v>－</v>
      </c>
      <c r="V81" s="32" t="n">
        <f>9147375</f>
        <v>9147375.0</v>
      </c>
      <c r="W81" s="32" t="str">
        <f>"－"</f>
        <v>－</v>
      </c>
      <c r="X81" s="36" t="n">
        <f>19</f>
        <v>19.0</v>
      </c>
    </row>
    <row r="82">
      <c r="A82" s="27" t="s">
        <v>42</v>
      </c>
      <c r="B82" s="27" t="s">
        <v>288</v>
      </c>
      <c r="C82" s="27" t="s">
        <v>289</v>
      </c>
      <c r="D82" s="27" t="s">
        <v>290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15450</f>
        <v>15450.0</v>
      </c>
      <c r="L82" s="34" t="s">
        <v>48</v>
      </c>
      <c r="M82" s="33" t="n">
        <f>16160</f>
        <v>16160.0</v>
      </c>
      <c r="N82" s="34" t="s">
        <v>64</v>
      </c>
      <c r="O82" s="33" t="n">
        <f>14935</f>
        <v>14935.0</v>
      </c>
      <c r="P82" s="34" t="s">
        <v>56</v>
      </c>
      <c r="Q82" s="33" t="n">
        <f>15955</f>
        <v>15955.0</v>
      </c>
      <c r="R82" s="34" t="s">
        <v>49</v>
      </c>
      <c r="S82" s="35" t="n">
        <f>15432.63</f>
        <v>15432.63</v>
      </c>
      <c r="T82" s="32" t="n">
        <f>472</f>
        <v>472.0</v>
      </c>
      <c r="U82" s="32" t="str">
        <f>"－"</f>
        <v>－</v>
      </c>
      <c r="V82" s="32" t="n">
        <f>7306075</f>
        <v>7306075.0</v>
      </c>
      <c r="W82" s="32" t="str">
        <f>"－"</f>
        <v>－</v>
      </c>
      <c r="X82" s="36" t="n">
        <f>19</f>
        <v>19.0</v>
      </c>
    </row>
    <row r="83">
      <c r="A83" s="27" t="s">
        <v>42</v>
      </c>
      <c r="B83" s="27" t="s">
        <v>291</v>
      </c>
      <c r="C83" s="27" t="s">
        <v>292</v>
      </c>
      <c r="D83" s="27" t="s">
        <v>293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20790</f>
        <v>20790.0</v>
      </c>
      <c r="L83" s="34" t="s">
        <v>48</v>
      </c>
      <c r="M83" s="33" t="n">
        <f>21495</f>
        <v>21495.0</v>
      </c>
      <c r="N83" s="34" t="s">
        <v>49</v>
      </c>
      <c r="O83" s="33" t="n">
        <f>20380</f>
        <v>20380.0</v>
      </c>
      <c r="P83" s="34" t="s">
        <v>70</v>
      </c>
      <c r="Q83" s="33" t="n">
        <f>21330</f>
        <v>21330.0</v>
      </c>
      <c r="R83" s="34" t="s">
        <v>49</v>
      </c>
      <c r="S83" s="35" t="n">
        <f>20831.84</f>
        <v>20831.84</v>
      </c>
      <c r="T83" s="32" t="n">
        <f>3506</f>
        <v>3506.0</v>
      </c>
      <c r="U83" s="32" t="str">
        <f>"－"</f>
        <v>－</v>
      </c>
      <c r="V83" s="32" t="n">
        <f>72570250</f>
        <v>7.257025E7</v>
      </c>
      <c r="W83" s="32" t="str">
        <f>"－"</f>
        <v>－</v>
      </c>
      <c r="X83" s="36" t="n">
        <f>19</f>
        <v>19.0</v>
      </c>
    </row>
    <row r="84">
      <c r="A84" s="27" t="s">
        <v>42</v>
      </c>
      <c r="B84" s="27" t="s">
        <v>294</v>
      </c>
      <c r="C84" s="27" t="s">
        <v>295</v>
      </c>
      <c r="D84" s="27" t="s">
        <v>296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10395</f>
        <v>10395.0</v>
      </c>
      <c r="L84" s="34" t="s">
        <v>48</v>
      </c>
      <c r="M84" s="33" t="n">
        <f>10730</f>
        <v>10730.0</v>
      </c>
      <c r="N84" s="34" t="s">
        <v>76</v>
      </c>
      <c r="O84" s="33" t="n">
        <f>10000</f>
        <v>10000.0</v>
      </c>
      <c r="P84" s="34" t="s">
        <v>49</v>
      </c>
      <c r="Q84" s="33" t="n">
        <f>10510</f>
        <v>10510.0</v>
      </c>
      <c r="R84" s="34" t="s">
        <v>49</v>
      </c>
      <c r="S84" s="35" t="n">
        <f>10534.47</f>
        <v>10534.47</v>
      </c>
      <c r="T84" s="32" t="n">
        <f>11490</f>
        <v>11490.0</v>
      </c>
      <c r="U84" s="32" t="n">
        <f>30</f>
        <v>30.0</v>
      </c>
      <c r="V84" s="32" t="n">
        <f>120374550</f>
        <v>1.2037455E8</v>
      </c>
      <c r="W84" s="32" t="n">
        <f>319000</f>
        <v>319000.0</v>
      </c>
      <c r="X84" s="36" t="n">
        <f>19</f>
        <v>19.0</v>
      </c>
    </row>
    <row r="85">
      <c r="A85" s="27" t="s">
        <v>42</v>
      </c>
      <c r="B85" s="27" t="s">
        <v>297</v>
      </c>
      <c r="C85" s="27" t="s">
        <v>298</v>
      </c>
      <c r="D85" s="27" t="s">
        <v>299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1995</f>
        <v>1995.0</v>
      </c>
      <c r="L85" s="34" t="s">
        <v>48</v>
      </c>
      <c r="M85" s="33" t="n">
        <f>2090</f>
        <v>2090.0</v>
      </c>
      <c r="N85" s="34" t="s">
        <v>224</v>
      </c>
      <c r="O85" s="33" t="n">
        <f>1984</f>
        <v>1984.0</v>
      </c>
      <c r="P85" s="34" t="s">
        <v>48</v>
      </c>
      <c r="Q85" s="33" t="n">
        <f>2034</f>
        <v>2034.0</v>
      </c>
      <c r="R85" s="34" t="s">
        <v>49</v>
      </c>
      <c r="S85" s="35" t="n">
        <f>2034.47</f>
        <v>2034.47</v>
      </c>
      <c r="T85" s="32" t="n">
        <f>273232</f>
        <v>273232.0</v>
      </c>
      <c r="U85" s="32" t="n">
        <f>52510</f>
        <v>52510.0</v>
      </c>
      <c r="V85" s="32" t="n">
        <f>553547887</f>
        <v>5.53547887E8</v>
      </c>
      <c r="W85" s="32" t="n">
        <f>104934577</f>
        <v>1.04934577E8</v>
      </c>
      <c r="X85" s="36" t="n">
        <f>19</f>
        <v>19.0</v>
      </c>
    </row>
    <row r="86">
      <c r="A86" s="27" t="s">
        <v>42</v>
      </c>
      <c r="B86" s="27" t="s">
        <v>300</v>
      </c>
      <c r="C86" s="27" t="s">
        <v>301</v>
      </c>
      <c r="D86" s="27" t="s">
        <v>302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1946</f>
        <v>1946.0</v>
      </c>
      <c r="L86" s="34" t="s">
        <v>48</v>
      </c>
      <c r="M86" s="33" t="n">
        <f>1996</f>
        <v>1996.0</v>
      </c>
      <c r="N86" s="34" t="s">
        <v>224</v>
      </c>
      <c r="O86" s="33" t="n">
        <f>1942</f>
        <v>1942.0</v>
      </c>
      <c r="P86" s="34" t="s">
        <v>48</v>
      </c>
      <c r="Q86" s="33" t="n">
        <f>1966</f>
        <v>1966.0</v>
      </c>
      <c r="R86" s="34" t="s">
        <v>49</v>
      </c>
      <c r="S86" s="35" t="n">
        <f>1974.11</f>
        <v>1974.11</v>
      </c>
      <c r="T86" s="32" t="n">
        <f>295955</f>
        <v>295955.0</v>
      </c>
      <c r="U86" s="32" t="str">
        <f>"－"</f>
        <v>－</v>
      </c>
      <c r="V86" s="32" t="n">
        <f>583511654</f>
        <v>5.83511654E8</v>
      </c>
      <c r="W86" s="32" t="str">
        <f>"－"</f>
        <v>－</v>
      </c>
      <c r="X86" s="36" t="n">
        <f>19</f>
        <v>19.0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14470</f>
        <v>14470.0</v>
      </c>
      <c r="L87" s="34" t="s">
        <v>48</v>
      </c>
      <c r="M87" s="33" t="n">
        <f>15040</f>
        <v>15040.0</v>
      </c>
      <c r="N87" s="34" t="s">
        <v>49</v>
      </c>
      <c r="O87" s="33" t="n">
        <f>14125</f>
        <v>14125.0</v>
      </c>
      <c r="P87" s="34" t="s">
        <v>56</v>
      </c>
      <c r="Q87" s="33" t="n">
        <f>14935</f>
        <v>14935.0</v>
      </c>
      <c r="R87" s="34" t="s">
        <v>49</v>
      </c>
      <c r="S87" s="35" t="n">
        <f>14594.21</f>
        <v>14594.21</v>
      </c>
      <c r="T87" s="32" t="n">
        <f>18951</f>
        <v>18951.0</v>
      </c>
      <c r="U87" s="32" t="n">
        <f>3000</f>
        <v>3000.0</v>
      </c>
      <c r="V87" s="32" t="n">
        <f>272824675</f>
        <v>2.72824675E8</v>
      </c>
      <c r="W87" s="32" t="n">
        <f>42907620</f>
        <v>4.290762E7</v>
      </c>
      <c r="X87" s="36" t="n">
        <f>19</f>
        <v>19.0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8821</f>
        <v>8821.0</v>
      </c>
      <c r="L88" s="34" t="s">
        <v>48</v>
      </c>
      <c r="M88" s="33" t="n">
        <f>9107</f>
        <v>9107.0</v>
      </c>
      <c r="N88" s="34" t="s">
        <v>126</v>
      </c>
      <c r="O88" s="33" t="n">
        <f>8703</f>
        <v>8703.0</v>
      </c>
      <c r="P88" s="34" t="s">
        <v>126</v>
      </c>
      <c r="Q88" s="33" t="n">
        <f>8751</f>
        <v>8751.0</v>
      </c>
      <c r="R88" s="34" t="s">
        <v>49</v>
      </c>
      <c r="S88" s="35" t="n">
        <f>8807.53</f>
        <v>8807.53</v>
      </c>
      <c r="T88" s="32" t="n">
        <f>2201</f>
        <v>2201.0</v>
      </c>
      <c r="U88" s="32" t="n">
        <f>2</f>
        <v>2.0</v>
      </c>
      <c r="V88" s="32" t="n">
        <f>19480937</f>
        <v>1.9480937E7</v>
      </c>
      <c r="W88" s="32" t="n">
        <f>17694</f>
        <v>17694.0</v>
      </c>
      <c r="X88" s="36" t="n">
        <f>19</f>
        <v>19.0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7391</f>
        <v>7391.0</v>
      </c>
      <c r="L89" s="34" t="s">
        <v>48</v>
      </c>
      <c r="M89" s="33" t="n">
        <f>7701</f>
        <v>7701.0</v>
      </c>
      <c r="N89" s="34" t="s">
        <v>100</v>
      </c>
      <c r="O89" s="33" t="n">
        <f>7368</f>
        <v>7368.0</v>
      </c>
      <c r="P89" s="34" t="s">
        <v>48</v>
      </c>
      <c r="Q89" s="33" t="n">
        <f>7606</f>
        <v>7606.0</v>
      </c>
      <c r="R89" s="34" t="s">
        <v>49</v>
      </c>
      <c r="S89" s="35" t="n">
        <f>7565.21</f>
        <v>7565.21</v>
      </c>
      <c r="T89" s="32" t="n">
        <f>1250908</f>
        <v>1250908.0</v>
      </c>
      <c r="U89" s="32" t="n">
        <f>19265</f>
        <v>19265.0</v>
      </c>
      <c r="V89" s="32" t="n">
        <f>9456692431</f>
        <v>9.456692431E9</v>
      </c>
      <c r="W89" s="32" t="n">
        <f>147383157</f>
        <v>1.47383157E8</v>
      </c>
      <c r="X89" s="36" t="n">
        <f>19</f>
        <v>19.0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4175</f>
        <v>4175.0</v>
      </c>
      <c r="L90" s="34" t="s">
        <v>48</v>
      </c>
      <c r="M90" s="33" t="n">
        <f>4220</f>
        <v>4220.0</v>
      </c>
      <c r="N90" s="34" t="s">
        <v>126</v>
      </c>
      <c r="O90" s="33" t="n">
        <f>3945</f>
        <v>3945.0</v>
      </c>
      <c r="P90" s="34" t="s">
        <v>96</v>
      </c>
      <c r="Q90" s="33" t="n">
        <f>3950</f>
        <v>3950.0</v>
      </c>
      <c r="R90" s="34" t="s">
        <v>49</v>
      </c>
      <c r="S90" s="35" t="n">
        <f>4078.68</f>
        <v>4078.68</v>
      </c>
      <c r="T90" s="32" t="n">
        <f>349914</f>
        <v>349914.0</v>
      </c>
      <c r="U90" s="32" t="str">
        <f>"－"</f>
        <v>－</v>
      </c>
      <c r="V90" s="32" t="n">
        <f>1425164440</f>
        <v>1.42516444E9</v>
      </c>
      <c r="W90" s="32" t="str">
        <f>"－"</f>
        <v>－</v>
      </c>
      <c r="X90" s="36" t="n">
        <f>19</f>
        <v>19.0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9196</f>
        <v>9196.0</v>
      </c>
      <c r="L91" s="34" t="s">
        <v>48</v>
      </c>
      <c r="M91" s="33" t="n">
        <f>9205</f>
        <v>9205.0</v>
      </c>
      <c r="N91" s="34" t="s">
        <v>48</v>
      </c>
      <c r="O91" s="33" t="n">
        <f>8710</f>
        <v>8710.0</v>
      </c>
      <c r="P91" s="34" t="s">
        <v>224</v>
      </c>
      <c r="Q91" s="33" t="n">
        <f>8877</f>
        <v>8877.0</v>
      </c>
      <c r="R91" s="34" t="s">
        <v>49</v>
      </c>
      <c r="S91" s="35" t="n">
        <f>9017.68</f>
        <v>9017.68</v>
      </c>
      <c r="T91" s="32" t="n">
        <f>146005</f>
        <v>146005.0</v>
      </c>
      <c r="U91" s="32" t="n">
        <f>353</f>
        <v>353.0</v>
      </c>
      <c r="V91" s="32" t="n">
        <f>1311409165</f>
        <v>1.311409165E9</v>
      </c>
      <c r="W91" s="32" t="n">
        <f>3187144</f>
        <v>3187144.0</v>
      </c>
      <c r="X91" s="36" t="n">
        <f>19</f>
        <v>19.0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67770</f>
        <v>67770.0</v>
      </c>
      <c r="L92" s="34" t="s">
        <v>48</v>
      </c>
      <c r="M92" s="33" t="n">
        <f>70860</f>
        <v>70860.0</v>
      </c>
      <c r="N92" s="34" t="s">
        <v>126</v>
      </c>
      <c r="O92" s="33" t="n">
        <f>65450</f>
        <v>65450.0</v>
      </c>
      <c r="P92" s="34" t="s">
        <v>76</v>
      </c>
      <c r="Q92" s="33" t="n">
        <f>65520</f>
        <v>65520.0</v>
      </c>
      <c r="R92" s="34" t="s">
        <v>49</v>
      </c>
      <c r="S92" s="35" t="n">
        <f>68235.79</f>
        <v>68235.79</v>
      </c>
      <c r="T92" s="32" t="n">
        <f>5645</f>
        <v>5645.0</v>
      </c>
      <c r="U92" s="32" t="n">
        <f>2</f>
        <v>2.0</v>
      </c>
      <c r="V92" s="32" t="n">
        <f>382724800</f>
        <v>3.827248E8</v>
      </c>
      <c r="W92" s="32" t="n">
        <f>136280</f>
        <v>136280.0</v>
      </c>
      <c r="X92" s="36" t="n">
        <f>19</f>
        <v>19.0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14485</f>
        <v>14485.0</v>
      </c>
      <c r="L93" s="34" t="s">
        <v>48</v>
      </c>
      <c r="M93" s="33" t="n">
        <f>16050</f>
        <v>16050.0</v>
      </c>
      <c r="N93" s="34" t="s">
        <v>76</v>
      </c>
      <c r="O93" s="33" t="n">
        <f>14415</f>
        <v>14415.0</v>
      </c>
      <c r="P93" s="34" t="s">
        <v>48</v>
      </c>
      <c r="Q93" s="33" t="n">
        <f>15675</f>
        <v>15675.0</v>
      </c>
      <c r="R93" s="34" t="s">
        <v>49</v>
      </c>
      <c r="S93" s="35" t="n">
        <f>15174.74</f>
        <v>15174.74</v>
      </c>
      <c r="T93" s="32" t="n">
        <f>908984</f>
        <v>908984.0</v>
      </c>
      <c r="U93" s="32" t="n">
        <f>313</f>
        <v>313.0</v>
      </c>
      <c r="V93" s="32" t="n">
        <f>13794125926</f>
        <v>1.3794125926E10</v>
      </c>
      <c r="W93" s="32" t="n">
        <f>4688476</f>
        <v>4688476.0</v>
      </c>
      <c r="X93" s="36" t="n">
        <f>19</f>
        <v>19.0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42380</f>
        <v>42380.0</v>
      </c>
      <c r="L94" s="34" t="s">
        <v>48</v>
      </c>
      <c r="M94" s="33" t="n">
        <f>43760</f>
        <v>43760.0</v>
      </c>
      <c r="N94" s="34" t="s">
        <v>65</v>
      </c>
      <c r="O94" s="33" t="n">
        <f>41410</f>
        <v>41410.0</v>
      </c>
      <c r="P94" s="34" t="s">
        <v>113</v>
      </c>
      <c r="Q94" s="33" t="n">
        <f>42800</f>
        <v>42800.0</v>
      </c>
      <c r="R94" s="34" t="s">
        <v>49</v>
      </c>
      <c r="S94" s="35" t="n">
        <f>42817.89</f>
        <v>42817.89</v>
      </c>
      <c r="T94" s="32" t="n">
        <f>104865</f>
        <v>104865.0</v>
      </c>
      <c r="U94" s="32" t="n">
        <f>1504</f>
        <v>1504.0</v>
      </c>
      <c r="V94" s="32" t="n">
        <f>4479430150</f>
        <v>4.47943015E9</v>
      </c>
      <c r="W94" s="32" t="n">
        <f>63075100</f>
        <v>6.30751E7</v>
      </c>
      <c r="X94" s="36" t="n">
        <f>19</f>
        <v>19.0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5507</f>
        <v>5507.0</v>
      </c>
      <c r="L95" s="34" t="s">
        <v>48</v>
      </c>
      <c r="M95" s="33" t="n">
        <f>5764</f>
        <v>5764.0</v>
      </c>
      <c r="N95" s="34" t="s">
        <v>160</v>
      </c>
      <c r="O95" s="33" t="n">
        <f>5430</f>
        <v>5430.0</v>
      </c>
      <c r="P95" s="34" t="s">
        <v>113</v>
      </c>
      <c r="Q95" s="33" t="n">
        <f>5667</f>
        <v>5667.0</v>
      </c>
      <c r="R95" s="34" t="s">
        <v>49</v>
      </c>
      <c r="S95" s="35" t="n">
        <f>5627.89</f>
        <v>5627.89</v>
      </c>
      <c r="T95" s="32" t="n">
        <f>2512990</f>
        <v>2512990.0</v>
      </c>
      <c r="U95" s="32" t="n">
        <f>40</f>
        <v>40.0</v>
      </c>
      <c r="V95" s="32" t="n">
        <f>14122405980</f>
        <v>1.412240598E10</v>
      </c>
      <c r="W95" s="32" t="n">
        <f>226680</f>
        <v>226680.0</v>
      </c>
      <c r="X95" s="36" t="n">
        <f>19</f>
        <v>19.0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3548</f>
        <v>3548.0</v>
      </c>
      <c r="L96" s="34" t="s">
        <v>48</v>
      </c>
      <c r="M96" s="33" t="n">
        <f>3738</f>
        <v>3738.0</v>
      </c>
      <c r="N96" s="34" t="s">
        <v>76</v>
      </c>
      <c r="O96" s="33" t="n">
        <f>3510</f>
        <v>3510.0</v>
      </c>
      <c r="P96" s="34" t="s">
        <v>48</v>
      </c>
      <c r="Q96" s="33" t="n">
        <f>3702</f>
        <v>3702.0</v>
      </c>
      <c r="R96" s="34" t="s">
        <v>49</v>
      </c>
      <c r="S96" s="35" t="n">
        <f>3649.53</f>
        <v>3649.53</v>
      </c>
      <c r="T96" s="32" t="n">
        <f>77970</f>
        <v>77970.0</v>
      </c>
      <c r="U96" s="32" t="n">
        <f>60</f>
        <v>60.0</v>
      </c>
      <c r="V96" s="32" t="n">
        <f>284216070</f>
        <v>2.8421607E8</v>
      </c>
      <c r="W96" s="32" t="n">
        <f>222400</f>
        <v>222400.0</v>
      </c>
      <c r="X96" s="36" t="n">
        <f>19</f>
        <v>19.0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4279</f>
        <v>4279.0</v>
      </c>
      <c r="L97" s="34" t="s">
        <v>126</v>
      </c>
      <c r="M97" s="33" t="n">
        <f>4366</f>
        <v>4366.0</v>
      </c>
      <c r="N97" s="34" t="s">
        <v>49</v>
      </c>
      <c r="O97" s="33" t="n">
        <f>4171</f>
        <v>4171.0</v>
      </c>
      <c r="P97" s="34" t="s">
        <v>126</v>
      </c>
      <c r="Q97" s="33" t="n">
        <f>4345</f>
        <v>4345.0</v>
      </c>
      <c r="R97" s="34" t="s">
        <v>49</v>
      </c>
      <c r="S97" s="35" t="n">
        <f>4285.06</f>
        <v>4285.06</v>
      </c>
      <c r="T97" s="32" t="n">
        <f>2110</f>
        <v>2110.0</v>
      </c>
      <c r="U97" s="32" t="str">
        <f>"－"</f>
        <v>－</v>
      </c>
      <c r="V97" s="32" t="n">
        <f>9045290</f>
        <v>9045290.0</v>
      </c>
      <c r="W97" s="32" t="str">
        <f>"－"</f>
        <v>－</v>
      </c>
      <c r="X97" s="36" t="n">
        <f>18</f>
        <v>18.0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 t="s">
        <v>69</v>
      </c>
      <c r="I98" s="31" t="s">
        <v>47</v>
      </c>
      <c r="J98" s="32" t="n">
        <v>1.0</v>
      </c>
      <c r="K98" s="33" t="n">
        <f>1477</f>
        <v>1477.0</v>
      </c>
      <c r="L98" s="34" t="s">
        <v>48</v>
      </c>
      <c r="M98" s="33" t="n">
        <f>1477</f>
        <v>1477.0</v>
      </c>
      <c r="N98" s="34" t="s">
        <v>48</v>
      </c>
      <c r="O98" s="33" t="n">
        <f>1171</f>
        <v>1171.0</v>
      </c>
      <c r="P98" s="34" t="s">
        <v>76</v>
      </c>
      <c r="Q98" s="33" t="n">
        <f>1207</f>
        <v>1207.0</v>
      </c>
      <c r="R98" s="34" t="s">
        <v>49</v>
      </c>
      <c r="S98" s="35" t="n">
        <f>1291.68</f>
        <v>1291.68</v>
      </c>
      <c r="T98" s="32" t="n">
        <f>29593754</f>
        <v>2.9593754E7</v>
      </c>
      <c r="U98" s="32" t="n">
        <f>824</f>
        <v>824.0</v>
      </c>
      <c r="V98" s="32" t="n">
        <f>38111926417</f>
        <v>3.8111926417E10</v>
      </c>
      <c r="W98" s="32" t="n">
        <f>1052475</f>
        <v>1052475.0</v>
      </c>
      <c r="X98" s="36" t="n">
        <f>19</f>
        <v>19.0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3015</f>
        <v>3015.0</v>
      </c>
      <c r="L99" s="34" t="s">
        <v>48</v>
      </c>
      <c r="M99" s="33" t="n">
        <f>3177</f>
        <v>3177.0</v>
      </c>
      <c r="N99" s="34" t="s">
        <v>160</v>
      </c>
      <c r="O99" s="33" t="n">
        <f>3000</f>
        <v>3000.0</v>
      </c>
      <c r="P99" s="34" t="s">
        <v>48</v>
      </c>
      <c r="Q99" s="33" t="n">
        <f>3113</f>
        <v>3113.0</v>
      </c>
      <c r="R99" s="34" t="s">
        <v>49</v>
      </c>
      <c r="S99" s="35" t="n">
        <f>3101.42</f>
        <v>3101.42</v>
      </c>
      <c r="T99" s="32" t="n">
        <f>102030</f>
        <v>102030.0</v>
      </c>
      <c r="U99" s="32" t="str">
        <f>"－"</f>
        <v>－</v>
      </c>
      <c r="V99" s="32" t="n">
        <f>314656520</f>
        <v>3.1465652E8</v>
      </c>
      <c r="W99" s="32" t="str">
        <f>"－"</f>
        <v>－</v>
      </c>
      <c r="X99" s="36" t="n">
        <f>19</f>
        <v>19.0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1583</f>
        <v>1583.0</v>
      </c>
      <c r="L100" s="34" t="s">
        <v>48</v>
      </c>
      <c r="M100" s="33" t="n">
        <f>1788</f>
        <v>1788.0</v>
      </c>
      <c r="N100" s="34" t="s">
        <v>76</v>
      </c>
      <c r="O100" s="33" t="n">
        <f>1583</f>
        <v>1583.0</v>
      </c>
      <c r="P100" s="34" t="s">
        <v>48</v>
      </c>
      <c r="Q100" s="33" t="n">
        <f>1757</f>
        <v>1757.0</v>
      </c>
      <c r="R100" s="34" t="s">
        <v>49</v>
      </c>
      <c r="S100" s="35" t="n">
        <f>1686.76</f>
        <v>1686.76</v>
      </c>
      <c r="T100" s="32" t="n">
        <f>127060</f>
        <v>127060.0</v>
      </c>
      <c r="U100" s="32" t="n">
        <f>300</f>
        <v>300.0</v>
      </c>
      <c r="V100" s="32" t="n">
        <f>214583705</f>
        <v>2.14583705E8</v>
      </c>
      <c r="W100" s="32" t="n">
        <f>483310</f>
        <v>483310.0</v>
      </c>
      <c r="X100" s="36" t="n">
        <f>19</f>
        <v>19.0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50030</f>
        <v>50030.0</v>
      </c>
      <c r="L101" s="34" t="s">
        <v>48</v>
      </c>
      <c r="M101" s="33" t="n">
        <f>52750</f>
        <v>52750.0</v>
      </c>
      <c r="N101" s="34" t="s">
        <v>76</v>
      </c>
      <c r="O101" s="33" t="n">
        <f>49770</f>
        <v>49770.0</v>
      </c>
      <c r="P101" s="34" t="s">
        <v>48</v>
      </c>
      <c r="Q101" s="33" t="n">
        <f>52080</f>
        <v>52080.0</v>
      </c>
      <c r="R101" s="34" t="s">
        <v>49</v>
      </c>
      <c r="S101" s="35" t="n">
        <f>51403.68</f>
        <v>51403.68</v>
      </c>
      <c r="T101" s="32" t="n">
        <f>124148</f>
        <v>124148.0</v>
      </c>
      <c r="U101" s="32" t="n">
        <f>5022</f>
        <v>5022.0</v>
      </c>
      <c r="V101" s="32" t="n">
        <f>6377032748</f>
        <v>6.377032748E9</v>
      </c>
      <c r="W101" s="32" t="n">
        <f>256271798</f>
        <v>2.56271798E8</v>
      </c>
      <c r="X101" s="36" t="n">
        <f>19</f>
        <v>19.0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3405</f>
        <v>3405.0</v>
      </c>
      <c r="L102" s="34" t="s">
        <v>48</v>
      </c>
      <c r="M102" s="33" t="n">
        <f>3545</f>
        <v>3545.0</v>
      </c>
      <c r="N102" s="34" t="s">
        <v>71</v>
      </c>
      <c r="O102" s="33" t="n">
        <f>3340</f>
        <v>3340.0</v>
      </c>
      <c r="P102" s="34" t="s">
        <v>48</v>
      </c>
      <c r="Q102" s="33" t="n">
        <f>3505</f>
        <v>3505.0</v>
      </c>
      <c r="R102" s="34" t="s">
        <v>49</v>
      </c>
      <c r="S102" s="35" t="n">
        <f>3500</f>
        <v>3500.0</v>
      </c>
      <c r="T102" s="32" t="n">
        <f>11745</f>
        <v>11745.0</v>
      </c>
      <c r="U102" s="32" t="str">
        <f>"－"</f>
        <v>－</v>
      </c>
      <c r="V102" s="32" t="n">
        <f>41101070</f>
        <v>4.110107E7</v>
      </c>
      <c r="W102" s="32" t="str">
        <f>"－"</f>
        <v>－</v>
      </c>
      <c r="X102" s="36" t="n">
        <f>19</f>
        <v>19.0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4370</f>
        <v>4370.0</v>
      </c>
      <c r="L103" s="34" t="s">
        <v>48</v>
      </c>
      <c r="M103" s="33" t="n">
        <f>4480</f>
        <v>4480.0</v>
      </c>
      <c r="N103" s="34" t="s">
        <v>70</v>
      </c>
      <c r="O103" s="33" t="n">
        <f>4335</f>
        <v>4335.0</v>
      </c>
      <c r="P103" s="34" t="s">
        <v>48</v>
      </c>
      <c r="Q103" s="33" t="n">
        <f>4425</f>
        <v>4425.0</v>
      </c>
      <c r="R103" s="34" t="s">
        <v>49</v>
      </c>
      <c r="S103" s="35" t="n">
        <f>4423.42</f>
        <v>4423.42</v>
      </c>
      <c r="T103" s="32" t="n">
        <f>3051</f>
        <v>3051.0</v>
      </c>
      <c r="U103" s="32" t="str">
        <f>"－"</f>
        <v>－</v>
      </c>
      <c r="V103" s="32" t="n">
        <f>13496820</f>
        <v>1.349682E7</v>
      </c>
      <c r="W103" s="32" t="str">
        <f>"－"</f>
        <v>－</v>
      </c>
      <c r="X103" s="36" t="n">
        <f>19</f>
        <v>19.0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2296</f>
        <v>2296.0</v>
      </c>
      <c r="L104" s="34" t="s">
        <v>48</v>
      </c>
      <c r="M104" s="33" t="n">
        <f>2560</f>
        <v>2560.0</v>
      </c>
      <c r="N104" s="34" t="s">
        <v>49</v>
      </c>
      <c r="O104" s="33" t="n">
        <f>2218</f>
        <v>2218.0</v>
      </c>
      <c r="P104" s="34" t="s">
        <v>56</v>
      </c>
      <c r="Q104" s="33" t="n">
        <f>2550</f>
        <v>2550.0</v>
      </c>
      <c r="R104" s="34" t="s">
        <v>49</v>
      </c>
      <c r="S104" s="35" t="n">
        <f>2406.05</f>
        <v>2406.05</v>
      </c>
      <c r="T104" s="32" t="n">
        <f>355881</f>
        <v>355881.0</v>
      </c>
      <c r="U104" s="32" t="str">
        <f>"－"</f>
        <v>－</v>
      </c>
      <c r="V104" s="32" t="n">
        <f>862945615</f>
        <v>8.62945615E8</v>
      </c>
      <c r="W104" s="32" t="str">
        <f>"－"</f>
        <v>－</v>
      </c>
      <c r="X104" s="36" t="n">
        <f>19</f>
        <v>19.0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42900</f>
        <v>42900.0</v>
      </c>
      <c r="L105" s="34" t="s">
        <v>48</v>
      </c>
      <c r="M105" s="33" t="n">
        <f>43600</f>
        <v>43600.0</v>
      </c>
      <c r="N105" s="34" t="s">
        <v>100</v>
      </c>
      <c r="O105" s="33" t="n">
        <f>42180</f>
        <v>42180.0</v>
      </c>
      <c r="P105" s="34" t="s">
        <v>48</v>
      </c>
      <c r="Q105" s="33" t="n">
        <f>43560</f>
        <v>43560.0</v>
      </c>
      <c r="R105" s="34" t="s">
        <v>49</v>
      </c>
      <c r="S105" s="35" t="n">
        <f>43121.58</f>
        <v>43121.58</v>
      </c>
      <c r="T105" s="32" t="n">
        <f>13031</f>
        <v>13031.0</v>
      </c>
      <c r="U105" s="32" t="n">
        <f>6</f>
        <v>6.0</v>
      </c>
      <c r="V105" s="32" t="n">
        <f>559127010</f>
        <v>5.5912701E8</v>
      </c>
      <c r="W105" s="32" t="n">
        <f>260100</f>
        <v>260100.0</v>
      </c>
      <c r="X105" s="36" t="n">
        <f>19</f>
        <v>19.0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22570</f>
        <v>22570.0</v>
      </c>
      <c r="L106" s="34" t="s">
        <v>48</v>
      </c>
      <c r="M106" s="33" t="n">
        <f>25335</f>
        <v>25335.0</v>
      </c>
      <c r="N106" s="34" t="s">
        <v>49</v>
      </c>
      <c r="O106" s="33" t="n">
        <f>22150</f>
        <v>22150.0</v>
      </c>
      <c r="P106" s="34" t="s">
        <v>48</v>
      </c>
      <c r="Q106" s="33" t="n">
        <f>24900</f>
        <v>24900.0</v>
      </c>
      <c r="R106" s="34" t="s">
        <v>49</v>
      </c>
      <c r="S106" s="35" t="n">
        <f>23702.11</f>
        <v>23702.11</v>
      </c>
      <c r="T106" s="32" t="n">
        <f>2191830</f>
        <v>2191830.0</v>
      </c>
      <c r="U106" s="32" t="n">
        <f>210</f>
        <v>210.0</v>
      </c>
      <c r="V106" s="32" t="n">
        <f>51467347250</f>
        <v>5.146734725E10</v>
      </c>
      <c r="W106" s="32" t="n">
        <f>5092750</f>
        <v>5092750.0</v>
      </c>
      <c r="X106" s="36" t="n">
        <f>19</f>
        <v>19.0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2089.5</f>
        <v>2089.5</v>
      </c>
      <c r="L107" s="34" t="s">
        <v>48</v>
      </c>
      <c r="M107" s="33" t="n">
        <f>2106.5</f>
        <v>2106.5</v>
      </c>
      <c r="N107" s="34" t="s">
        <v>56</v>
      </c>
      <c r="O107" s="33" t="n">
        <f>1964</f>
        <v>1964.0</v>
      </c>
      <c r="P107" s="34" t="s">
        <v>49</v>
      </c>
      <c r="Q107" s="33" t="n">
        <f>1980</f>
        <v>1980.0</v>
      </c>
      <c r="R107" s="34" t="s">
        <v>49</v>
      </c>
      <c r="S107" s="35" t="n">
        <f>2034.42</f>
        <v>2034.42</v>
      </c>
      <c r="T107" s="32" t="n">
        <f>126920</f>
        <v>126920.0</v>
      </c>
      <c r="U107" s="32" t="n">
        <f>9020</f>
        <v>9020.0</v>
      </c>
      <c r="V107" s="32" t="n">
        <f>259009630</f>
        <v>2.5900963E8</v>
      </c>
      <c r="W107" s="32" t="n">
        <f>18589160</f>
        <v>1.858916E7</v>
      </c>
      <c r="X107" s="36" t="n">
        <f>19</f>
        <v>19.0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12530</f>
        <v>12530.0</v>
      </c>
      <c r="L108" s="34" t="s">
        <v>48</v>
      </c>
      <c r="M108" s="33" t="n">
        <f>14140</f>
        <v>14140.0</v>
      </c>
      <c r="N108" s="34" t="s">
        <v>60</v>
      </c>
      <c r="O108" s="33" t="n">
        <f>12335</f>
        <v>12335.0</v>
      </c>
      <c r="P108" s="34" t="s">
        <v>48</v>
      </c>
      <c r="Q108" s="33" t="n">
        <f>13940</f>
        <v>13940.0</v>
      </c>
      <c r="R108" s="34" t="s">
        <v>49</v>
      </c>
      <c r="S108" s="35" t="n">
        <f>13238.68</f>
        <v>13238.68</v>
      </c>
      <c r="T108" s="32" t="n">
        <f>131578333</f>
        <v>1.31578333E8</v>
      </c>
      <c r="U108" s="32" t="n">
        <f>67759</f>
        <v>67759.0</v>
      </c>
      <c r="V108" s="32" t="n">
        <f>1732325498133</f>
        <v>1.732325498133E12</v>
      </c>
      <c r="W108" s="32" t="n">
        <f>888622193</f>
        <v>8.88622193E8</v>
      </c>
      <c r="X108" s="36" t="n">
        <f>19</f>
        <v>19.0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1017</f>
        <v>1017.0</v>
      </c>
      <c r="L109" s="34" t="s">
        <v>48</v>
      </c>
      <c r="M109" s="33" t="n">
        <f>1024</f>
        <v>1024.0</v>
      </c>
      <c r="N109" s="34" t="s">
        <v>48</v>
      </c>
      <c r="O109" s="33" t="n">
        <f>953</f>
        <v>953.0</v>
      </c>
      <c r="P109" s="34" t="s">
        <v>60</v>
      </c>
      <c r="Q109" s="33" t="n">
        <f>960</f>
        <v>960.0</v>
      </c>
      <c r="R109" s="34" t="s">
        <v>49</v>
      </c>
      <c r="S109" s="35" t="n">
        <f>986.84</f>
        <v>986.84</v>
      </c>
      <c r="T109" s="32" t="n">
        <f>27433985</f>
        <v>2.7433985E7</v>
      </c>
      <c r="U109" s="32" t="n">
        <f>3706600</f>
        <v>3706600.0</v>
      </c>
      <c r="V109" s="32" t="n">
        <f>27179064798</f>
        <v>2.7179064798E10</v>
      </c>
      <c r="W109" s="32" t="n">
        <f>3690656928</f>
        <v>3.690656928E9</v>
      </c>
      <c r="X109" s="36" t="n">
        <f>19</f>
        <v>19.0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4890</f>
        <v>4890.0</v>
      </c>
      <c r="L110" s="34" t="s">
        <v>48</v>
      </c>
      <c r="M110" s="33" t="n">
        <f>6169</f>
        <v>6169.0</v>
      </c>
      <c r="N110" s="34" t="s">
        <v>76</v>
      </c>
      <c r="O110" s="33" t="n">
        <f>4860</f>
        <v>4860.0</v>
      </c>
      <c r="P110" s="34" t="s">
        <v>48</v>
      </c>
      <c r="Q110" s="33" t="n">
        <f>5583</f>
        <v>5583.0</v>
      </c>
      <c r="R110" s="34" t="s">
        <v>49</v>
      </c>
      <c r="S110" s="35" t="n">
        <f>5590.37</f>
        <v>5590.37</v>
      </c>
      <c r="T110" s="32" t="n">
        <f>274130</f>
        <v>274130.0</v>
      </c>
      <c r="U110" s="32" t="n">
        <f>280</f>
        <v>280.0</v>
      </c>
      <c r="V110" s="32" t="n">
        <f>1526469870</f>
        <v>1.52646987E9</v>
      </c>
      <c r="W110" s="32" t="n">
        <f>1586180</f>
        <v>1586180.0</v>
      </c>
      <c r="X110" s="36" t="n">
        <f>19</f>
        <v>19.0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9845</f>
        <v>9845.0</v>
      </c>
      <c r="L111" s="34" t="s">
        <v>48</v>
      </c>
      <c r="M111" s="33" t="n">
        <f>9926</f>
        <v>9926.0</v>
      </c>
      <c r="N111" s="34" t="s">
        <v>48</v>
      </c>
      <c r="O111" s="33" t="n">
        <f>8600</f>
        <v>8600.0</v>
      </c>
      <c r="P111" s="34" t="s">
        <v>76</v>
      </c>
      <c r="Q111" s="33" t="n">
        <f>9117</f>
        <v>9117.0</v>
      </c>
      <c r="R111" s="34" t="s">
        <v>49</v>
      </c>
      <c r="S111" s="35" t="n">
        <f>9148.63</f>
        <v>9148.63</v>
      </c>
      <c r="T111" s="32" t="n">
        <f>24350</f>
        <v>24350.0</v>
      </c>
      <c r="U111" s="32" t="n">
        <f>1140</f>
        <v>1140.0</v>
      </c>
      <c r="V111" s="32" t="n">
        <f>224962180</f>
        <v>2.2496218E8</v>
      </c>
      <c r="W111" s="32" t="n">
        <f>10566950</f>
        <v>1.056695E7</v>
      </c>
      <c r="X111" s="36" t="n">
        <f>19</f>
        <v>19.0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24680</f>
        <v>24680.0</v>
      </c>
      <c r="L112" s="34" t="s">
        <v>48</v>
      </c>
      <c r="M112" s="33" t="n">
        <f>25690</f>
        <v>25690.0</v>
      </c>
      <c r="N112" s="34" t="s">
        <v>49</v>
      </c>
      <c r="O112" s="33" t="n">
        <f>24235</f>
        <v>24235.0</v>
      </c>
      <c r="P112" s="34" t="s">
        <v>56</v>
      </c>
      <c r="Q112" s="33" t="n">
        <f>25510</f>
        <v>25510.0</v>
      </c>
      <c r="R112" s="34" t="s">
        <v>49</v>
      </c>
      <c r="S112" s="35" t="n">
        <f>24933.42</f>
        <v>24933.42</v>
      </c>
      <c r="T112" s="32" t="n">
        <f>79105</f>
        <v>79105.0</v>
      </c>
      <c r="U112" s="32" t="n">
        <f>32283</f>
        <v>32283.0</v>
      </c>
      <c r="V112" s="32" t="n">
        <f>1968177946</f>
        <v>1.968177946E9</v>
      </c>
      <c r="W112" s="32" t="n">
        <f>799446286</f>
        <v>7.99446286E8</v>
      </c>
      <c r="X112" s="36" t="n">
        <f>19</f>
        <v>19.0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2083</f>
        <v>2083.0</v>
      </c>
      <c r="L113" s="34" t="s">
        <v>48</v>
      </c>
      <c r="M113" s="33" t="n">
        <f>2188</f>
        <v>2188.0</v>
      </c>
      <c r="N113" s="34" t="s">
        <v>60</v>
      </c>
      <c r="O113" s="33" t="n">
        <f>2049</f>
        <v>2049.0</v>
      </c>
      <c r="P113" s="34" t="s">
        <v>80</v>
      </c>
      <c r="Q113" s="33" t="n">
        <f>2174</f>
        <v>2174.0</v>
      </c>
      <c r="R113" s="34" t="s">
        <v>49</v>
      </c>
      <c r="S113" s="35" t="n">
        <f>2118.68</f>
        <v>2118.68</v>
      </c>
      <c r="T113" s="32" t="n">
        <f>41534</f>
        <v>41534.0</v>
      </c>
      <c r="U113" s="32" t="str">
        <f>"－"</f>
        <v>－</v>
      </c>
      <c r="V113" s="32" t="n">
        <f>87523124</f>
        <v>8.7523124E7</v>
      </c>
      <c r="W113" s="32" t="str">
        <f>"－"</f>
        <v>－</v>
      </c>
      <c r="X113" s="36" t="n">
        <f>19</f>
        <v>19.0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13410</f>
        <v>13410.0</v>
      </c>
      <c r="L114" s="34" t="s">
        <v>48</v>
      </c>
      <c r="M114" s="33" t="n">
        <f>15125</f>
        <v>15125.0</v>
      </c>
      <c r="N114" s="34" t="s">
        <v>60</v>
      </c>
      <c r="O114" s="33" t="n">
        <f>13190</f>
        <v>13190.0</v>
      </c>
      <c r="P114" s="34" t="s">
        <v>48</v>
      </c>
      <c r="Q114" s="33" t="n">
        <f>14915</f>
        <v>14915.0</v>
      </c>
      <c r="R114" s="34" t="s">
        <v>49</v>
      </c>
      <c r="S114" s="35" t="n">
        <f>14162.11</f>
        <v>14162.11</v>
      </c>
      <c r="T114" s="32" t="n">
        <f>16390110</f>
        <v>1.639011E7</v>
      </c>
      <c r="U114" s="32" t="n">
        <f>30080</f>
        <v>30080.0</v>
      </c>
      <c r="V114" s="32" t="n">
        <f>232048062700</f>
        <v>2.320480627E11</v>
      </c>
      <c r="W114" s="32" t="n">
        <f>433806550</f>
        <v>4.3380655E8</v>
      </c>
      <c r="X114" s="36" t="n">
        <f>19</f>
        <v>19.0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2699.5</f>
        <v>2699.5</v>
      </c>
      <c r="L115" s="34" t="s">
        <v>48</v>
      </c>
      <c r="M115" s="33" t="n">
        <f>2718.5</f>
        <v>2718.5</v>
      </c>
      <c r="N115" s="34" t="s">
        <v>48</v>
      </c>
      <c r="O115" s="33" t="n">
        <f>2528</f>
        <v>2528.0</v>
      </c>
      <c r="P115" s="34" t="s">
        <v>60</v>
      </c>
      <c r="Q115" s="33" t="n">
        <f>2547.5</f>
        <v>2547.5</v>
      </c>
      <c r="R115" s="34" t="s">
        <v>49</v>
      </c>
      <c r="S115" s="35" t="n">
        <f>2620.61</f>
        <v>2620.61</v>
      </c>
      <c r="T115" s="32" t="n">
        <f>1056920</f>
        <v>1056920.0</v>
      </c>
      <c r="U115" s="32" t="n">
        <f>602040</f>
        <v>602040.0</v>
      </c>
      <c r="V115" s="32" t="n">
        <f>2724991617</f>
        <v>2.724991617E9</v>
      </c>
      <c r="W115" s="32" t="n">
        <f>1535358272</f>
        <v>1.535358272E9</v>
      </c>
      <c r="X115" s="36" t="n">
        <f>19</f>
        <v>19.0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 t="s">
        <v>75</v>
      </c>
      <c r="I116" s="31"/>
      <c r="J116" s="32" t="n">
        <v>10.0</v>
      </c>
      <c r="K116" s="33" t="n">
        <f>761</f>
        <v>761.0</v>
      </c>
      <c r="L116" s="34" t="s">
        <v>48</v>
      </c>
      <c r="M116" s="33" t="n">
        <f>997</f>
        <v>997.0</v>
      </c>
      <c r="N116" s="34" t="s">
        <v>76</v>
      </c>
      <c r="O116" s="33" t="n">
        <f>761</f>
        <v>761.0</v>
      </c>
      <c r="P116" s="34" t="s">
        <v>48</v>
      </c>
      <c r="Q116" s="33" t="n">
        <f>951</f>
        <v>951.0</v>
      </c>
      <c r="R116" s="34" t="s">
        <v>49</v>
      </c>
      <c r="S116" s="35" t="n">
        <f>917.77</f>
        <v>917.77</v>
      </c>
      <c r="T116" s="32" t="n">
        <f>6790</f>
        <v>6790.0</v>
      </c>
      <c r="U116" s="32" t="str">
        <f>"－"</f>
        <v>－</v>
      </c>
      <c r="V116" s="32" t="n">
        <f>6106555</f>
        <v>6106555.0</v>
      </c>
      <c r="W116" s="32" t="str">
        <f>"－"</f>
        <v>－</v>
      </c>
      <c r="X116" s="36" t="n">
        <f>17</f>
        <v>17.0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1465</f>
        <v>1465.0</v>
      </c>
      <c r="L117" s="34" t="s">
        <v>48</v>
      </c>
      <c r="M117" s="33" t="n">
        <f>1532</f>
        <v>1532.0</v>
      </c>
      <c r="N117" s="34" t="s">
        <v>96</v>
      </c>
      <c r="O117" s="33" t="n">
        <f>1454</f>
        <v>1454.0</v>
      </c>
      <c r="P117" s="34" t="s">
        <v>80</v>
      </c>
      <c r="Q117" s="33" t="n">
        <f>1532</f>
        <v>1532.0</v>
      </c>
      <c r="R117" s="34" t="s">
        <v>96</v>
      </c>
      <c r="S117" s="35" t="n">
        <f>1488.25</f>
        <v>1488.25</v>
      </c>
      <c r="T117" s="32" t="n">
        <f>2010</f>
        <v>2010.0</v>
      </c>
      <c r="U117" s="32" t="str">
        <f>"－"</f>
        <v>－</v>
      </c>
      <c r="V117" s="32" t="n">
        <f>2962240</f>
        <v>2962240.0</v>
      </c>
      <c r="W117" s="32" t="str">
        <f>"－"</f>
        <v>－</v>
      </c>
      <c r="X117" s="36" t="n">
        <f>8</f>
        <v>8.0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1630</f>
        <v>1630.0</v>
      </c>
      <c r="L118" s="34" t="s">
        <v>48</v>
      </c>
      <c r="M118" s="33" t="n">
        <f>1630</f>
        <v>1630.0</v>
      </c>
      <c r="N118" s="34" t="s">
        <v>48</v>
      </c>
      <c r="O118" s="33" t="n">
        <f>1558</f>
        <v>1558.0</v>
      </c>
      <c r="P118" s="34" t="s">
        <v>399</v>
      </c>
      <c r="Q118" s="33" t="n">
        <f>1609</f>
        <v>1609.0</v>
      </c>
      <c r="R118" s="34" t="s">
        <v>49</v>
      </c>
      <c r="S118" s="35" t="n">
        <f>1603.53</f>
        <v>1603.53</v>
      </c>
      <c r="T118" s="32" t="n">
        <f>19149</f>
        <v>19149.0</v>
      </c>
      <c r="U118" s="32" t="str">
        <f>"－"</f>
        <v>－</v>
      </c>
      <c r="V118" s="32" t="n">
        <f>30620914</f>
        <v>3.0620914E7</v>
      </c>
      <c r="W118" s="32" t="str">
        <f>"－"</f>
        <v>－</v>
      </c>
      <c r="X118" s="36" t="n">
        <f>19</f>
        <v>19.0</v>
      </c>
    </row>
    <row r="119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17005</f>
        <v>17005.0</v>
      </c>
      <c r="L119" s="34" t="s">
        <v>48</v>
      </c>
      <c r="M119" s="33" t="n">
        <f>18030</f>
        <v>18030.0</v>
      </c>
      <c r="N119" s="34" t="s">
        <v>49</v>
      </c>
      <c r="O119" s="33" t="n">
        <f>16840</f>
        <v>16840.0</v>
      </c>
      <c r="P119" s="34" t="s">
        <v>48</v>
      </c>
      <c r="Q119" s="33" t="n">
        <f>17865</f>
        <v>17865.0</v>
      </c>
      <c r="R119" s="34" t="s">
        <v>49</v>
      </c>
      <c r="S119" s="35" t="n">
        <f>17453.42</f>
        <v>17453.42</v>
      </c>
      <c r="T119" s="32" t="n">
        <f>20115</f>
        <v>20115.0</v>
      </c>
      <c r="U119" s="32" t="n">
        <f>1000</f>
        <v>1000.0</v>
      </c>
      <c r="V119" s="32" t="n">
        <f>353545050</f>
        <v>3.5354505E8</v>
      </c>
      <c r="W119" s="32" t="n">
        <f>17258200</f>
        <v>1.72582E7</v>
      </c>
      <c r="X119" s="36" t="n">
        <f>19</f>
        <v>19.0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1575</f>
        <v>1575.0</v>
      </c>
      <c r="L120" s="34" t="s">
        <v>48</v>
      </c>
      <c r="M120" s="33" t="n">
        <f>1642</f>
        <v>1642.0</v>
      </c>
      <c r="N120" s="34" t="s">
        <v>49</v>
      </c>
      <c r="O120" s="33" t="n">
        <f>1537</f>
        <v>1537.0</v>
      </c>
      <c r="P120" s="34" t="s">
        <v>126</v>
      </c>
      <c r="Q120" s="33" t="n">
        <f>1628</f>
        <v>1628.0</v>
      </c>
      <c r="R120" s="34" t="s">
        <v>49</v>
      </c>
      <c r="S120" s="35" t="n">
        <f>1590.21</f>
        <v>1590.21</v>
      </c>
      <c r="T120" s="32" t="n">
        <f>100208</f>
        <v>100208.0</v>
      </c>
      <c r="U120" s="32" t="n">
        <f>69001</f>
        <v>69001.0</v>
      </c>
      <c r="V120" s="32" t="n">
        <f>157090578</f>
        <v>1.57090578E8</v>
      </c>
      <c r="W120" s="32" t="n">
        <f>107538071</f>
        <v>1.07538071E8</v>
      </c>
      <c r="X120" s="36" t="n">
        <f>19</f>
        <v>19.0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17585</f>
        <v>17585.0</v>
      </c>
      <c r="L121" s="34" t="s">
        <v>48</v>
      </c>
      <c r="M121" s="33" t="n">
        <f>18350</f>
        <v>18350.0</v>
      </c>
      <c r="N121" s="34" t="s">
        <v>49</v>
      </c>
      <c r="O121" s="33" t="n">
        <f>17395</f>
        <v>17395.0</v>
      </c>
      <c r="P121" s="34" t="s">
        <v>48</v>
      </c>
      <c r="Q121" s="33" t="n">
        <f>18225</f>
        <v>18225.0</v>
      </c>
      <c r="R121" s="34" t="s">
        <v>49</v>
      </c>
      <c r="S121" s="35" t="n">
        <f>17840.79</f>
        <v>17840.79</v>
      </c>
      <c r="T121" s="32" t="n">
        <f>86666</f>
        <v>86666.0</v>
      </c>
      <c r="U121" s="32" t="n">
        <f>46002</f>
        <v>46002.0</v>
      </c>
      <c r="V121" s="32" t="n">
        <f>1554167385</f>
        <v>1.554167385E9</v>
      </c>
      <c r="W121" s="32" t="n">
        <f>825046560</f>
        <v>8.2504656E8</v>
      </c>
      <c r="X121" s="36" t="n">
        <f>19</f>
        <v>19.0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1935</f>
        <v>1935.0</v>
      </c>
      <c r="L122" s="34" t="s">
        <v>48</v>
      </c>
      <c r="M122" s="33" t="n">
        <f>1935</f>
        <v>1935.0</v>
      </c>
      <c r="N122" s="34" t="s">
        <v>48</v>
      </c>
      <c r="O122" s="33" t="n">
        <f>1813</f>
        <v>1813.0</v>
      </c>
      <c r="P122" s="34" t="s">
        <v>113</v>
      </c>
      <c r="Q122" s="33" t="n">
        <f>1862</f>
        <v>1862.0</v>
      </c>
      <c r="R122" s="34" t="s">
        <v>49</v>
      </c>
      <c r="S122" s="35" t="n">
        <f>1870.74</f>
        <v>1870.74</v>
      </c>
      <c r="T122" s="32" t="n">
        <f>1969550</f>
        <v>1969550.0</v>
      </c>
      <c r="U122" s="32" t="n">
        <f>945000</f>
        <v>945000.0</v>
      </c>
      <c r="V122" s="32" t="n">
        <f>3695146600</f>
        <v>3.6951466E9</v>
      </c>
      <c r="W122" s="32" t="n">
        <f>1766448200</f>
        <v>1.7664482E9</v>
      </c>
      <c r="X122" s="36" t="n">
        <f>19</f>
        <v>19.0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1626</f>
        <v>1626.0</v>
      </c>
      <c r="L123" s="34" t="s">
        <v>415</v>
      </c>
      <c r="M123" s="33" t="n">
        <f>1681</f>
        <v>1681.0</v>
      </c>
      <c r="N123" s="34" t="s">
        <v>60</v>
      </c>
      <c r="O123" s="33" t="n">
        <f>1599</f>
        <v>1599.0</v>
      </c>
      <c r="P123" s="34" t="s">
        <v>80</v>
      </c>
      <c r="Q123" s="33" t="n">
        <f>1681</f>
        <v>1681.0</v>
      </c>
      <c r="R123" s="34" t="s">
        <v>60</v>
      </c>
      <c r="S123" s="35" t="n">
        <f>1637</f>
        <v>1637.0</v>
      </c>
      <c r="T123" s="32" t="n">
        <f>330</f>
        <v>330.0</v>
      </c>
      <c r="U123" s="32" t="str">
        <f>"－"</f>
        <v>－</v>
      </c>
      <c r="V123" s="32" t="n">
        <f>546900</f>
        <v>546900.0</v>
      </c>
      <c r="W123" s="32" t="str">
        <f>"－"</f>
        <v>－</v>
      </c>
      <c r="X123" s="36" t="n">
        <f>4</f>
        <v>4.0</v>
      </c>
    </row>
    <row r="1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1941</f>
        <v>1941.0</v>
      </c>
      <c r="L124" s="34" t="s">
        <v>48</v>
      </c>
      <c r="M124" s="33" t="n">
        <f>1941</f>
        <v>1941.0</v>
      </c>
      <c r="N124" s="34" t="s">
        <v>48</v>
      </c>
      <c r="O124" s="33" t="n">
        <f>1830</f>
        <v>1830.0</v>
      </c>
      <c r="P124" s="34" t="s">
        <v>113</v>
      </c>
      <c r="Q124" s="33" t="n">
        <f>1881</f>
        <v>1881.0</v>
      </c>
      <c r="R124" s="34" t="s">
        <v>49</v>
      </c>
      <c r="S124" s="35" t="n">
        <f>1886.82</f>
        <v>1886.82</v>
      </c>
      <c r="T124" s="32" t="n">
        <f>3855840</f>
        <v>3855840.0</v>
      </c>
      <c r="U124" s="32" t="n">
        <f>2974490</f>
        <v>2974490.0</v>
      </c>
      <c r="V124" s="32" t="n">
        <f>7281595336</f>
        <v>7.281595336E9</v>
      </c>
      <c r="W124" s="32" t="n">
        <f>5615905926</f>
        <v>5.615905926E9</v>
      </c>
      <c r="X124" s="36" t="n">
        <f>19</f>
        <v>19.0</v>
      </c>
    </row>
    <row r="125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17250</f>
        <v>17250.0</v>
      </c>
      <c r="L125" s="34" t="s">
        <v>48</v>
      </c>
      <c r="M125" s="33" t="n">
        <f>18075</f>
        <v>18075.0</v>
      </c>
      <c r="N125" s="34" t="s">
        <v>76</v>
      </c>
      <c r="O125" s="33" t="n">
        <f>16970</f>
        <v>16970.0</v>
      </c>
      <c r="P125" s="34" t="s">
        <v>56</v>
      </c>
      <c r="Q125" s="33" t="n">
        <f>18005</f>
        <v>18005.0</v>
      </c>
      <c r="R125" s="34" t="s">
        <v>49</v>
      </c>
      <c r="S125" s="35" t="n">
        <f>17616.79</f>
        <v>17616.79</v>
      </c>
      <c r="T125" s="32" t="n">
        <f>1760</f>
        <v>1760.0</v>
      </c>
      <c r="U125" s="32" t="n">
        <f>2</f>
        <v>2.0</v>
      </c>
      <c r="V125" s="32" t="n">
        <f>30965070</f>
        <v>3.096507E7</v>
      </c>
      <c r="W125" s="32" t="n">
        <f>35970</f>
        <v>35970.0</v>
      </c>
      <c r="X125" s="36" t="n">
        <f>14</f>
        <v>14.0</v>
      </c>
    </row>
    <row r="126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100.0</v>
      </c>
      <c r="K126" s="33" t="n">
        <f>203.1</f>
        <v>203.1</v>
      </c>
      <c r="L126" s="34" t="s">
        <v>48</v>
      </c>
      <c r="M126" s="33" t="n">
        <f>222.4</f>
        <v>222.4</v>
      </c>
      <c r="N126" s="34" t="s">
        <v>80</v>
      </c>
      <c r="O126" s="33" t="n">
        <f>200</f>
        <v>200.0</v>
      </c>
      <c r="P126" s="34" t="s">
        <v>70</v>
      </c>
      <c r="Q126" s="33" t="n">
        <f>213.6</f>
        <v>213.6</v>
      </c>
      <c r="R126" s="34" t="s">
        <v>49</v>
      </c>
      <c r="S126" s="35" t="n">
        <f>211.14</f>
        <v>211.14</v>
      </c>
      <c r="T126" s="32" t="n">
        <f>77706400</f>
        <v>7.77064E7</v>
      </c>
      <c r="U126" s="32" t="n">
        <f>4313800</f>
        <v>4313800.0</v>
      </c>
      <c r="V126" s="32" t="n">
        <f>16411974255</f>
        <v>1.6411974255E10</v>
      </c>
      <c r="W126" s="32" t="n">
        <f>894916215</f>
        <v>8.94916215E8</v>
      </c>
      <c r="X126" s="36" t="n">
        <f>19</f>
        <v>19.0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29000</f>
        <v>29000.0</v>
      </c>
      <c r="L127" s="34" t="s">
        <v>48</v>
      </c>
      <c r="M127" s="33" t="n">
        <f>29500</f>
        <v>29500.0</v>
      </c>
      <c r="N127" s="34" t="s">
        <v>49</v>
      </c>
      <c r="O127" s="33" t="n">
        <f>28210</f>
        <v>28210.0</v>
      </c>
      <c r="P127" s="34" t="s">
        <v>80</v>
      </c>
      <c r="Q127" s="33" t="n">
        <f>29395</f>
        <v>29395.0</v>
      </c>
      <c r="R127" s="34" t="s">
        <v>49</v>
      </c>
      <c r="S127" s="35" t="n">
        <f>28779.74</f>
        <v>28779.74</v>
      </c>
      <c r="T127" s="32" t="n">
        <f>1811</f>
        <v>1811.0</v>
      </c>
      <c r="U127" s="32" t="str">
        <f>"－"</f>
        <v>－</v>
      </c>
      <c r="V127" s="32" t="n">
        <f>52029565</f>
        <v>5.2029565E7</v>
      </c>
      <c r="W127" s="32" t="str">
        <f>"－"</f>
        <v>－</v>
      </c>
      <c r="X127" s="36" t="n">
        <f>19</f>
        <v>19.0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12545</f>
        <v>12545.0</v>
      </c>
      <c r="L128" s="34" t="s">
        <v>48</v>
      </c>
      <c r="M128" s="33" t="n">
        <f>13650</f>
        <v>13650.0</v>
      </c>
      <c r="N128" s="34" t="s">
        <v>60</v>
      </c>
      <c r="O128" s="33" t="n">
        <f>12260</f>
        <v>12260.0</v>
      </c>
      <c r="P128" s="34" t="s">
        <v>126</v>
      </c>
      <c r="Q128" s="33" t="n">
        <f>13190</f>
        <v>13190.0</v>
      </c>
      <c r="R128" s="34" t="s">
        <v>49</v>
      </c>
      <c r="S128" s="35" t="n">
        <f>13066.58</f>
        <v>13066.58</v>
      </c>
      <c r="T128" s="32" t="n">
        <f>5687</f>
        <v>5687.0</v>
      </c>
      <c r="U128" s="32" t="str">
        <f>"－"</f>
        <v>－</v>
      </c>
      <c r="V128" s="32" t="n">
        <f>75011490</f>
        <v>7.501149E7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20650</f>
        <v>20650.0</v>
      </c>
      <c r="L129" s="34" t="s">
        <v>48</v>
      </c>
      <c r="M129" s="33" t="n">
        <f>21845</f>
        <v>21845.0</v>
      </c>
      <c r="N129" s="34" t="s">
        <v>49</v>
      </c>
      <c r="O129" s="33" t="n">
        <f>20395</f>
        <v>20395.0</v>
      </c>
      <c r="P129" s="34" t="s">
        <v>56</v>
      </c>
      <c r="Q129" s="33" t="n">
        <f>21840</f>
        <v>21840.0</v>
      </c>
      <c r="R129" s="34" t="s">
        <v>49</v>
      </c>
      <c r="S129" s="35" t="n">
        <f>21062.78</f>
        <v>21062.78</v>
      </c>
      <c r="T129" s="32" t="n">
        <f>916</f>
        <v>916.0</v>
      </c>
      <c r="U129" s="32" t="str">
        <f>"－"</f>
        <v>－</v>
      </c>
      <c r="V129" s="32" t="n">
        <f>19214105</f>
        <v>1.9214105E7</v>
      </c>
      <c r="W129" s="32" t="str">
        <f>"－"</f>
        <v>－</v>
      </c>
      <c r="X129" s="36" t="n">
        <f>18</f>
        <v>18.0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23580</f>
        <v>23580.0</v>
      </c>
      <c r="L130" s="34" t="s">
        <v>48</v>
      </c>
      <c r="M130" s="33" t="n">
        <f>25185</f>
        <v>25185.0</v>
      </c>
      <c r="N130" s="34" t="s">
        <v>49</v>
      </c>
      <c r="O130" s="33" t="n">
        <f>23300</f>
        <v>23300.0</v>
      </c>
      <c r="P130" s="34" t="s">
        <v>48</v>
      </c>
      <c r="Q130" s="33" t="n">
        <f>25045</f>
        <v>25045.0</v>
      </c>
      <c r="R130" s="34" t="s">
        <v>49</v>
      </c>
      <c r="S130" s="35" t="n">
        <f>24014.74</f>
        <v>24014.74</v>
      </c>
      <c r="T130" s="32" t="n">
        <f>3474</f>
        <v>3474.0</v>
      </c>
      <c r="U130" s="32" t="str">
        <f>"－"</f>
        <v>－</v>
      </c>
      <c r="V130" s="32" t="n">
        <f>82878320</f>
        <v>8.287832E7</v>
      </c>
      <c r="W130" s="32" t="str">
        <f>"－"</f>
        <v>－</v>
      </c>
      <c r="X130" s="36" t="n">
        <f>19</f>
        <v>19.0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25295</f>
        <v>25295.0</v>
      </c>
      <c r="L131" s="34" t="s">
        <v>48</v>
      </c>
      <c r="M131" s="33" t="n">
        <f>25735</f>
        <v>25735.0</v>
      </c>
      <c r="N131" s="34" t="s">
        <v>100</v>
      </c>
      <c r="O131" s="33" t="n">
        <f>24400</f>
        <v>24400.0</v>
      </c>
      <c r="P131" s="34" t="s">
        <v>440</v>
      </c>
      <c r="Q131" s="33" t="n">
        <f>24740</f>
        <v>24740.0</v>
      </c>
      <c r="R131" s="34" t="s">
        <v>49</v>
      </c>
      <c r="S131" s="35" t="n">
        <f>24966.58</f>
        <v>24966.58</v>
      </c>
      <c r="T131" s="32" t="n">
        <f>3797</f>
        <v>3797.0</v>
      </c>
      <c r="U131" s="32" t="str">
        <f>"－"</f>
        <v>－</v>
      </c>
      <c r="V131" s="32" t="n">
        <f>94713640</f>
        <v>9.471364E7</v>
      </c>
      <c r="W131" s="32" t="str">
        <f>"－"</f>
        <v>－</v>
      </c>
      <c r="X131" s="36" t="n">
        <f>19</f>
        <v>19.0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21345</f>
        <v>21345.0</v>
      </c>
      <c r="L132" s="34" t="s">
        <v>48</v>
      </c>
      <c r="M132" s="33" t="n">
        <f>22750</f>
        <v>22750.0</v>
      </c>
      <c r="N132" s="34" t="s">
        <v>49</v>
      </c>
      <c r="O132" s="33" t="n">
        <f>21150</f>
        <v>21150.0</v>
      </c>
      <c r="P132" s="34" t="s">
        <v>48</v>
      </c>
      <c r="Q132" s="33" t="n">
        <f>22660</f>
        <v>22660.0</v>
      </c>
      <c r="R132" s="34" t="s">
        <v>49</v>
      </c>
      <c r="S132" s="35" t="n">
        <f>21987.11</f>
        <v>21987.11</v>
      </c>
      <c r="T132" s="32" t="n">
        <f>3337</f>
        <v>3337.0</v>
      </c>
      <c r="U132" s="32" t="n">
        <f>2</f>
        <v>2.0</v>
      </c>
      <c r="V132" s="32" t="n">
        <f>73109565</f>
        <v>7.3109565E7</v>
      </c>
      <c r="W132" s="32" t="n">
        <f>45140</f>
        <v>45140.0</v>
      </c>
      <c r="X132" s="36" t="n">
        <f>19</f>
        <v>19.0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17385</f>
        <v>17385.0</v>
      </c>
      <c r="L133" s="34" t="s">
        <v>48</v>
      </c>
      <c r="M133" s="33" t="n">
        <f>19570</f>
        <v>19570.0</v>
      </c>
      <c r="N133" s="34" t="s">
        <v>76</v>
      </c>
      <c r="O133" s="33" t="n">
        <f>17015</f>
        <v>17015.0</v>
      </c>
      <c r="P133" s="34" t="s">
        <v>126</v>
      </c>
      <c r="Q133" s="33" t="n">
        <f>19255</f>
        <v>19255.0</v>
      </c>
      <c r="R133" s="34" t="s">
        <v>49</v>
      </c>
      <c r="S133" s="35" t="n">
        <f>18461.32</f>
        <v>18461.32</v>
      </c>
      <c r="T133" s="32" t="n">
        <f>8563</f>
        <v>8563.0</v>
      </c>
      <c r="U133" s="32" t="n">
        <f>3000</f>
        <v>3000.0</v>
      </c>
      <c r="V133" s="32" t="n">
        <f>163603430</f>
        <v>1.6360343E8</v>
      </c>
      <c r="W133" s="32" t="n">
        <f>58074000</f>
        <v>5.8074E7</v>
      </c>
      <c r="X133" s="36" t="n">
        <f>19</f>
        <v>19.0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36080</f>
        <v>36080.0</v>
      </c>
      <c r="L134" s="34" t="s">
        <v>48</v>
      </c>
      <c r="M134" s="33" t="n">
        <f>39760</f>
        <v>39760.0</v>
      </c>
      <c r="N134" s="34" t="s">
        <v>76</v>
      </c>
      <c r="O134" s="33" t="n">
        <f>35690</f>
        <v>35690.0</v>
      </c>
      <c r="P134" s="34" t="s">
        <v>56</v>
      </c>
      <c r="Q134" s="33" t="n">
        <f>39410</f>
        <v>39410.0</v>
      </c>
      <c r="R134" s="34" t="s">
        <v>49</v>
      </c>
      <c r="S134" s="35" t="n">
        <f>37916.84</f>
        <v>37916.84</v>
      </c>
      <c r="T134" s="32" t="n">
        <f>7108</f>
        <v>7108.0</v>
      </c>
      <c r="U134" s="32" t="n">
        <f>1</f>
        <v>1.0</v>
      </c>
      <c r="V134" s="32" t="n">
        <f>269155520</f>
        <v>2.6915552E8</v>
      </c>
      <c r="W134" s="32" t="n">
        <f>39380</f>
        <v>39380.0</v>
      </c>
      <c r="X134" s="36" t="n">
        <f>19</f>
        <v>19.0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24610</f>
        <v>24610.0</v>
      </c>
      <c r="L135" s="34" t="s">
        <v>48</v>
      </c>
      <c r="M135" s="33" t="n">
        <f>27500</f>
        <v>27500.0</v>
      </c>
      <c r="N135" s="34" t="s">
        <v>49</v>
      </c>
      <c r="O135" s="33" t="n">
        <f>24375</f>
        <v>24375.0</v>
      </c>
      <c r="P135" s="34" t="s">
        <v>48</v>
      </c>
      <c r="Q135" s="33" t="n">
        <f>27190</f>
        <v>27190.0</v>
      </c>
      <c r="R135" s="34" t="s">
        <v>49</v>
      </c>
      <c r="S135" s="35" t="n">
        <f>26249.74</f>
        <v>26249.74</v>
      </c>
      <c r="T135" s="32" t="n">
        <f>6091</f>
        <v>6091.0</v>
      </c>
      <c r="U135" s="32" t="str">
        <f>"－"</f>
        <v>－</v>
      </c>
      <c r="V135" s="32" t="n">
        <f>160103285</f>
        <v>1.60103285E8</v>
      </c>
      <c r="W135" s="32" t="str">
        <f>"－"</f>
        <v>－</v>
      </c>
      <c r="X135" s="36" t="n">
        <f>19</f>
        <v>19.0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27000</f>
        <v>27000.0</v>
      </c>
      <c r="L136" s="34" t="s">
        <v>48</v>
      </c>
      <c r="M136" s="33" t="n">
        <f>28280</f>
        <v>28280.0</v>
      </c>
      <c r="N136" s="34" t="s">
        <v>96</v>
      </c>
      <c r="O136" s="33" t="n">
        <f>26730</f>
        <v>26730.0</v>
      </c>
      <c r="P136" s="34" t="s">
        <v>80</v>
      </c>
      <c r="Q136" s="33" t="n">
        <f>28165</f>
        <v>28165.0</v>
      </c>
      <c r="R136" s="34" t="s">
        <v>49</v>
      </c>
      <c r="S136" s="35" t="n">
        <f>27437.89</f>
        <v>27437.89</v>
      </c>
      <c r="T136" s="32" t="n">
        <f>1037</f>
        <v>1037.0</v>
      </c>
      <c r="U136" s="32" t="str">
        <f>"－"</f>
        <v>－</v>
      </c>
      <c r="V136" s="32" t="n">
        <f>28380295</f>
        <v>2.8380295E7</v>
      </c>
      <c r="W136" s="32" t="str">
        <f>"－"</f>
        <v>－</v>
      </c>
      <c r="X136" s="36" t="n">
        <f>19</f>
        <v>19.0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6108</f>
        <v>6108.0</v>
      </c>
      <c r="L137" s="34" t="s">
        <v>48</v>
      </c>
      <c r="M137" s="33" t="n">
        <f>6161</f>
        <v>6161.0</v>
      </c>
      <c r="N137" s="34" t="s">
        <v>49</v>
      </c>
      <c r="O137" s="33" t="n">
        <f>5686</f>
        <v>5686.0</v>
      </c>
      <c r="P137" s="34" t="s">
        <v>65</v>
      </c>
      <c r="Q137" s="33" t="n">
        <f>6161</f>
        <v>6161.0</v>
      </c>
      <c r="R137" s="34" t="s">
        <v>49</v>
      </c>
      <c r="S137" s="35" t="n">
        <f>5853.11</f>
        <v>5853.11</v>
      </c>
      <c r="T137" s="32" t="n">
        <f>29440</f>
        <v>29440.0</v>
      </c>
      <c r="U137" s="32" t="str">
        <f>"－"</f>
        <v>－</v>
      </c>
      <c r="V137" s="32" t="n">
        <f>174127340</f>
        <v>1.7412734E8</v>
      </c>
      <c r="W137" s="32" t="str">
        <f>"－"</f>
        <v>－</v>
      </c>
      <c r="X137" s="36" t="n">
        <f>19</f>
        <v>19.0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15915</f>
        <v>15915.0</v>
      </c>
      <c r="L138" s="34" t="s">
        <v>48</v>
      </c>
      <c r="M138" s="33" t="n">
        <f>15960</f>
        <v>15960.0</v>
      </c>
      <c r="N138" s="34" t="s">
        <v>100</v>
      </c>
      <c r="O138" s="33" t="n">
        <f>15200</f>
        <v>15200.0</v>
      </c>
      <c r="P138" s="34" t="s">
        <v>80</v>
      </c>
      <c r="Q138" s="33" t="n">
        <f>15775</f>
        <v>15775.0</v>
      </c>
      <c r="R138" s="34" t="s">
        <v>49</v>
      </c>
      <c r="S138" s="35" t="n">
        <f>15556.05</f>
        <v>15556.05</v>
      </c>
      <c r="T138" s="32" t="n">
        <f>10800</f>
        <v>10800.0</v>
      </c>
      <c r="U138" s="32" t="str">
        <f>"－"</f>
        <v>－</v>
      </c>
      <c r="V138" s="32" t="n">
        <f>167579135</f>
        <v>1.67579135E8</v>
      </c>
      <c r="W138" s="32" t="str">
        <f>"－"</f>
        <v>－</v>
      </c>
      <c r="X138" s="36" t="n">
        <f>19</f>
        <v>19.0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49690</f>
        <v>49690.0</v>
      </c>
      <c r="L139" s="34" t="s">
        <v>48</v>
      </c>
      <c r="M139" s="33" t="n">
        <f>51950</f>
        <v>51950.0</v>
      </c>
      <c r="N139" s="34" t="s">
        <v>96</v>
      </c>
      <c r="O139" s="33" t="n">
        <f>48560</f>
        <v>48560.0</v>
      </c>
      <c r="P139" s="34" t="s">
        <v>56</v>
      </c>
      <c r="Q139" s="33" t="n">
        <f>51230</f>
        <v>51230.0</v>
      </c>
      <c r="R139" s="34" t="s">
        <v>49</v>
      </c>
      <c r="S139" s="35" t="n">
        <f>50166.84</f>
        <v>50166.84</v>
      </c>
      <c r="T139" s="32" t="n">
        <f>2873</f>
        <v>2873.0</v>
      </c>
      <c r="U139" s="32" t="str">
        <f>"－"</f>
        <v>－</v>
      </c>
      <c r="V139" s="32" t="n">
        <f>144243620</f>
        <v>1.4424362E8</v>
      </c>
      <c r="W139" s="32" t="str">
        <f>"－"</f>
        <v>－</v>
      </c>
      <c r="X139" s="36" t="n">
        <f>19</f>
        <v>19.0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22985</f>
        <v>22985.0</v>
      </c>
      <c r="L140" s="34" t="s">
        <v>48</v>
      </c>
      <c r="M140" s="33" t="n">
        <f>23140</f>
        <v>23140.0</v>
      </c>
      <c r="N140" s="34" t="s">
        <v>49</v>
      </c>
      <c r="O140" s="33" t="n">
        <f>22265</f>
        <v>22265.0</v>
      </c>
      <c r="P140" s="34" t="s">
        <v>80</v>
      </c>
      <c r="Q140" s="33" t="n">
        <f>23135</f>
        <v>23135.0</v>
      </c>
      <c r="R140" s="34" t="s">
        <v>49</v>
      </c>
      <c r="S140" s="35" t="n">
        <f>22728.68</f>
        <v>22728.68</v>
      </c>
      <c r="T140" s="32" t="n">
        <f>3275</f>
        <v>3275.0</v>
      </c>
      <c r="U140" s="32" t="str">
        <f>"－"</f>
        <v>－</v>
      </c>
      <c r="V140" s="32" t="n">
        <f>74171975</f>
        <v>7.4171975E7</v>
      </c>
      <c r="W140" s="32" t="str">
        <f>"－"</f>
        <v>－</v>
      </c>
      <c r="X140" s="36" t="n">
        <f>19</f>
        <v>19.0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10580</f>
        <v>10580.0</v>
      </c>
      <c r="L141" s="34" t="s">
        <v>48</v>
      </c>
      <c r="M141" s="33" t="n">
        <f>11515</f>
        <v>11515.0</v>
      </c>
      <c r="N141" s="34" t="s">
        <v>440</v>
      </c>
      <c r="O141" s="33" t="n">
        <f>10370</f>
        <v>10370.0</v>
      </c>
      <c r="P141" s="34" t="s">
        <v>70</v>
      </c>
      <c r="Q141" s="33" t="n">
        <f>11125</f>
        <v>11125.0</v>
      </c>
      <c r="R141" s="34" t="s">
        <v>49</v>
      </c>
      <c r="S141" s="35" t="n">
        <f>10947.37</f>
        <v>10947.37</v>
      </c>
      <c r="T141" s="32" t="n">
        <f>79136</f>
        <v>79136.0</v>
      </c>
      <c r="U141" s="32" t="n">
        <f>1801</f>
        <v>1801.0</v>
      </c>
      <c r="V141" s="32" t="n">
        <f>871771314</f>
        <v>8.71771314E8</v>
      </c>
      <c r="W141" s="32" t="n">
        <f>20093034</f>
        <v>2.0093034E7</v>
      </c>
      <c r="X141" s="36" t="n">
        <f>19</f>
        <v>19.0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15380</f>
        <v>15380.0</v>
      </c>
      <c r="L142" s="34" t="s">
        <v>48</v>
      </c>
      <c r="M142" s="33" t="n">
        <f>15900</f>
        <v>15900.0</v>
      </c>
      <c r="N142" s="34" t="s">
        <v>49</v>
      </c>
      <c r="O142" s="33" t="n">
        <f>15100</f>
        <v>15100.0</v>
      </c>
      <c r="P142" s="34" t="s">
        <v>70</v>
      </c>
      <c r="Q142" s="33" t="n">
        <f>15710</f>
        <v>15710.0</v>
      </c>
      <c r="R142" s="34" t="s">
        <v>49</v>
      </c>
      <c r="S142" s="35" t="n">
        <f>15517.37</f>
        <v>15517.37</v>
      </c>
      <c r="T142" s="32" t="n">
        <f>5483</f>
        <v>5483.0</v>
      </c>
      <c r="U142" s="32" t="n">
        <f>3500</f>
        <v>3500.0</v>
      </c>
      <c r="V142" s="32" t="n">
        <f>85138750</f>
        <v>8.513875E7</v>
      </c>
      <c r="W142" s="32" t="n">
        <f>54462450</f>
        <v>5.446245E7</v>
      </c>
      <c r="X142" s="36" t="n">
        <f>19</f>
        <v>19.0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28160</f>
        <v>28160.0</v>
      </c>
      <c r="L143" s="34" t="s">
        <v>48</v>
      </c>
      <c r="M143" s="33" t="n">
        <f>28815</f>
        <v>28815.0</v>
      </c>
      <c r="N143" s="34" t="s">
        <v>96</v>
      </c>
      <c r="O143" s="33" t="n">
        <f>26975</f>
        <v>26975.0</v>
      </c>
      <c r="P143" s="34" t="s">
        <v>80</v>
      </c>
      <c r="Q143" s="33" t="n">
        <f>28200</f>
        <v>28200.0</v>
      </c>
      <c r="R143" s="34" t="s">
        <v>49</v>
      </c>
      <c r="S143" s="35" t="n">
        <f>27846.32</f>
        <v>27846.32</v>
      </c>
      <c r="T143" s="32" t="n">
        <f>1985</f>
        <v>1985.0</v>
      </c>
      <c r="U143" s="32" t="str">
        <f>"－"</f>
        <v>－</v>
      </c>
      <c r="V143" s="32" t="n">
        <f>55319620</f>
        <v>5.531962E7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10.0</v>
      </c>
      <c r="K144" s="33" t="n">
        <f>1264.5</f>
        <v>1264.5</v>
      </c>
      <c r="L144" s="34" t="s">
        <v>48</v>
      </c>
      <c r="M144" s="33" t="n">
        <f>1329.5</f>
        <v>1329.5</v>
      </c>
      <c r="N144" s="34" t="s">
        <v>76</v>
      </c>
      <c r="O144" s="33" t="n">
        <f>1255</f>
        <v>1255.0</v>
      </c>
      <c r="P144" s="34" t="s">
        <v>48</v>
      </c>
      <c r="Q144" s="33" t="n">
        <f>1312</f>
        <v>1312.0</v>
      </c>
      <c r="R144" s="34" t="s">
        <v>49</v>
      </c>
      <c r="S144" s="35" t="n">
        <f>1289.05</f>
        <v>1289.05</v>
      </c>
      <c r="T144" s="32" t="n">
        <f>597990</f>
        <v>597990.0</v>
      </c>
      <c r="U144" s="32" t="n">
        <f>120000</f>
        <v>120000.0</v>
      </c>
      <c r="V144" s="32" t="n">
        <f>760159275</f>
        <v>7.60159275E8</v>
      </c>
      <c r="W144" s="32" t="n">
        <f>151879980</f>
        <v>1.5187998E8</v>
      </c>
      <c r="X144" s="36" t="n">
        <f>19</f>
        <v>19.0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2231</f>
        <v>2231.0</v>
      </c>
      <c r="L145" s="34" t="s">
        <v>48</v>
      </c>
      <c r="M145" s="33" t="n">
        <f>2315</f>
        <v>2315.0</v>
      </c>
      <c r="N145" s="34" t="s">
        <v>96</v>
      </c>
      <c r="O145" s="33" t="n">
        <f>2187</f>
        <v>2187.0</v>
      </c>
      <c r="P145" s="34" t="s">
        <v>56</v>
      </c>
      <c r="Q145" s="33" t="n">
        <f>2315</f>
        <v>2315.0</v>
      </c>
      <c r="R145" s="34" t="s">
        <v>96</v>
      </c>
      <c r="S145" s="35" t="n">
        <f>2235.11</f>
        <v>2235.11</v>
      </c>
      <c r="T145" s="32" t="n">
        <f>15480</f>
        <v>15480.0</v>
      </c>
      <c r="U145" s="32" t="str">
        <f>"－"</f>
        <v>－</v>
      </c>
      <c r="V145" s="32" t="n">
        <f>34327370</f>
        <v>3.432737E7</v>
      </c>
      <c r="W145" s="32" t="str">
        <f>"－"</f>
        <v>－</v>
      </c>
      <c r="X145" s="36" t="n">
        <f>9</f>
        <v>9.0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2405</f>
        <v>2405.0</v>
      </c>
      <c r="L146" s="34" t="s">
        <v>48</v>
      </c>
      <c r="M146" s="33" t="n">
        <f>2505.5</f>
        <v>2505.5</v>
      </c>
      <c r="N146" s="34" t="s">
        <v>49</v>
      </c>
      <c r="O146" s="33" t="n">
        <f>2356</f>
        <v>2356.0</v>
      </c>
      <c r="P146" s="34" t="s">
        <v>56</v>
      </c>
      <c r="Q146" s="33" t="n">
        <f>2505.5</f>
        <v>2505.5</v>
      </c>
      <c r="R146" s="34" t="s">
        <v>49</v>
      </c>
      <c r="S146" s="35" t="n">
        <f>2432.72</f>
        <v>2432.72</v>
      </c>
      <c r="T146" s="32" t="n">
        <f>57200</f>
        <v>57200.0</v>
      </c>
      <c r="U146" s="32" t="n">
        <f>4180</f>
        <v>4180.0</v>
      </c>
      <c r="V146" s="32" t="n">
        <f>137571731</f>
        <v>1.37571731E8</v>
      </c>
      <c r="W146" s="32" t="n">
        <f>10007756</f>
        <v>1.0007756E7</v>
      </c>
      <c r="X146" s="36" t="n">
        <f>16</f>
        <v>16.0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1492</f>
        <v>1492.0</v>
      </c>
      <c r="L147" s="34" t="s">
        <v>48</v>
      </c>
      <c r="M147" s="33" t="n">
        <f>1556</f>
        <v>1556.0</v>
      </c>
      <c r="N147" s="34" t="s">
        <v>49</v>
      </c>
      <c r="O147" s="33" t="n">
        <f>1459.5</f>
        <v>1459.5</v>
      </c>
      <c r="P147" s="34" t="s">
        <v>56</v>
      </c>
      <c r="Q147" s="33" t="n">
        <f>1556</f>
        <v>1556.0</v>
      </c>
      <c r="R147" s="34" t="s">
        <v>49</v>
      </c>
      <c r="S147" s="35" t="n">
        <f>1495.06</f>
        <v>1495.06</v>
      </c>
      <c r="T147" s="32" t="n">
        <f>3440</f>
        <v>3440.0</v>
      </c>
      <c r="U147" s="32" t="str">
        <f>"－"</f>
        <v>－</v>
      </c>
      <c r="V147" s="32" t="n">
        <f>5132430</f>
        <v>5132430.0</v>
      </c>
      <c r="W147" s="32" t="str">
        <f>"－"</f>
        <v>－</v>
      </c>
      <c r="X147" s="36" t="n">
        <f>9</f>
        <v>9.0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362.3</f>
        <v>362.3</v>
      </c>
      <c r="L148" s="34" t="s">
        <v>48</v>
      </c>
      <c r="M148" s="33" t="n">
        <f>382.1</f>
        <v>382.1</v>
      </c>
      <c r="N148" s="34" t="s">
        <v>76</v>
      </c>
      <c r="O148" s="33" t="n">
        <f>360.5</f>
        <v>360.5</v>
      </c>
      <c r="P148" s="34" t="s">
        <v>48</v>
      </c>
      <c r="Q148" s="33" t="n">
        <f>377.4</f>
        <v>377.4</v>
      </c>
      <c r="R148" s="34" t="s">
        <v>49</v>
      </c>
      <c r="S148" s="35" t="n">
        <f>372.42</f>
        <v>372.42</v>
      </c>
      <c r="T148" s="32" t="n">
        <f>52458250</f>
        <v>5.245825E7</v>
      </c>
      <c r="U148" s="32" t="n">
        <f>383970</f>
        <v>383970.0</v>
      </c>
      <c r="V148" s="32" t="n">
        <f>19506617028</f>
        <v>1.9506617028E10</v>
      </c>
      <c r="W148" s="32" t="n">
        <f>145376735</f>
        <v>1.45376735E8</v>
      </c>
      <c r="X148" s="36" t="n">
        <f>19</f>
        <v>19.0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263</f>
        <v>263.0</v>
      </c>
      <c r="L149" s="34" t="s">
        <v>48</v>
      </c>
      <c r="M149" s="33" t="n">
        <f>270.8</f>
        <v>270.8</v>
      </c>
      <c r="N149" s="34" t="s">
        <v>56</v>
      </c>
      <c r="O149" s="33" t="n">
        <f>260.1</f>
        <v>260.1</v>
      </c>
      <c r="P149" s="34" t="s">
        <v>80</v>
      </c>
      <c r="Q149" s="33" t="n">
        <f>265.7</f>
        <v>265.7</v>
      </c>
      <c r="R149" s="34" t="s">
        <v>49</v>
      </c>
      <c r="S149" s="35" t="n">
        <f>266.06</f>
        <v>266.06</v>
      </c>
      <c r="T149" s="32" t="n">
        <f>5584330</f>
        <v>5584330.0</v>
      </c>
      <c r="U149" s="32" t="n">
        <f>3482600</f>
        <v>3482600.0</v>
      </c>
      <c r="V149" s="32" t="n">
        <f>1479965082</f>
        <v>1.479965082E9</v>
      </c>
      <c r="W149" s="32" t="n">
        <f>922362784</f>
        <v>9.22362784E8</v>
      </c>
      <c r="X149" s="36" t="n">
        <f>19</f>
        <v>19.0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3190</f>
        <v>3190.0</v>
      </c>
      <c r="L150" s="34" t="s">
        <v>48</v>
      </c>
      <c r="M150" s="33" t="n">
        <f>3375</f>
        <v>3375.0</v>
      </c>
      <c r="N150" s="34" t="s">
        <v>76</v>
      </c>
      <c r="O150" s="33" t="n">
        <f>3170</f>
        <v>3170.0</v>
      </c>
      <c r="P150" s="34" t="s">
        <v>48</v>
      </c>
      <c r="Q150" s="33" t="n">
        <f>3340</f>
        <v>3340.0</v>
      </c>
      <c r="R150" s="34" t="s">
        <v>49</v>
      </c>
      <c r="S150" s="35" t="n">
        <f>3295</f>
        <v>3295.0</v>
      </c>
      <c r="T150" s="32" t="n">
        <f>48578</f>
        <v>48578.0</v>
      </c>
      <c r="U150" s="32" t="n">
        <f>2560</f>
        <v>2560.0</v>
      </c>
      <c r="V150" s="32" t="n">
        <f>159520781</f>
        <v>1.59520781E8</v>
      </c>
      <c r="W150" s="32" t="n">
        <f>8545971</f>
        <v>8545971.0</v>
      </c>
      <c r="X150" s="36" t="n">
        <f>19</f>
        <v>19.0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2116</f>
        <v>2116.0</v>
      </c>
      <c r="L151" s="34" t="s">
        <v>48</v>
      </c>
      <c r="M151" s="33" t="n">
        <f>2300</f>
        <v>2300.0</v>
      </c>
      <c r="N151" s="34" t="s">
        <v>100</v>
      </c>
      <c r="O151" s="33" t="n">
        <f>2093</f>
        <v>2093.0</v>
      </c>
      <c r="P151" s="34" t="s">
        <v>48</v>
      </c>
      <c r="Q151" s="33" t="n">
        <f>2228</f>
        <v>2228.0</v>
      </c>
      <c r="R151" s="34" t="s">
        <v>49</v>
      </c>
      <c r="S151" s="35" t="n">
        <f>2219.95</f>
        <v>2219.95</v>
      </c>
      <c r="T151" s="32" t="n">
        <f>92809</f>
        <v>92809.0</v>
      </c>
      <c r="U151" s="32" t="str">
        <f>"－"</f>
        <v>－</v>
      </c>
      <c r="V151" s="32" t="n">
        <f>206811867</f>
        <v>2.06811867E8</v>
      </c>
      <c r="W151" s="32" t="str">
        <f>"－"</f>
        <v>－</v>
      </c>
      <c r="X151" s="36" t="n">
        <f>19</f>
        <v>19.0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2422</f>
        <v>2422.0</v>
      </c>
      <c r="L152" s="34" t="s">
        <v>48</v>
      </c>
      <c r="M152" s="33" t="n">
        <f>2641</f>
        <v>2641.0</v>
      </c>
      <c r="N152" s="34" t="s">
        <v>76</v>
      </c>
      <c r="O152" s="33" t="n">
        <f>2410</f>
        <v>2410.0</v>
      </c>
      <c r="P152" s="34" t="s">
        <v>48</v>
      </c>
      <c r="Q152" s="33" t="n">
        <f>2610</f>
        <v>2610.0</v>
      </c>
      <c r="R152" s="34" t="s">
        <v>49</v>
      </c>
      <c r="S152" s="35" t="n">
        <f>2533.74</f>
        <v>2533.74</v>
      </c>
      <c r="T152" s="32" t="n">
        <f>128250</f>
        <v>128250.0</v>
      </c>
      <c r="U152" s="32" t="n">
        <f>1</f>
        <v>1.0</v>
      </c>
      <c r="V152" s="32" t="n">
        <f>324873387</f>
        <v>3.24873387E8</v>
      </c>
      <c r="W152" s="32" t="n">
        <f>2713</f>
        <v>2713.0</v>
      </c>
      <c r="X152" s="36" t="n">
        <f>19</f>
        <v>19.0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10805</f>
        <v>10805.0</v>
      </c>
      <c r="L153" s="34" t="s">
        <v>48</v>
      </c>
      <c r="M153" s="33" t="n">
        <f>10810</f>
        <v>10810.0</v>
      </c>
      <c r="N153" s="34" t="s">
        <v>48</v>
      </c>
      <c r="O153" s="33" t="n">
        <f>10070</f>
        <v>10070.0</v>
      </c>
      <c r="P153" s="34" t="s">
        <v>113</v>
      </c>
      <c r="Q153" s="33" t="n">
        <f>10295</f>
        <v>10295.0</v>
      </c>
      <c r="R153" s="34" t="s">
        <v>49</v>
      </c>
      <c r="S153" s="35" t="n">
        <f>10399.47</f>
        <v>10399.47</v>
      </c>
      <c r="T153" s="32" t="n">
        <f>52657</f>
        <v>52657.0</v>
      </c>
      <c r="U153" s="32" t="n">
        <f>9731</f>
        <v>9731.0</v>
      </c>
      <c r="V153" s="32" t="n">
        <f>547754182</f>
        <v>5.47754182E8</v>
      </c>
      <c r="W153" s="32" t="n">
        <f>101064367</f>
        <v>1.01064367E8</v>
      </c>
      <c r="X153" s="36" t="n">
        <f>19</f>
        <v>19.0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2443</f>
        <v>2443.0</v>
      </c>
      <c r="L154" s="34" t="s">
        <v>48</v>
      </c>
      <c r="M154" s="33" t="n">
        <f>2577</f>
        <v>2577.0</v>
      </c>
      <c r="N154" s="34" t="s">
        <v>160</v>
      </c>
      <c r="O154" s="33" t="n">
        <f>2339</f>
        <v>2339.0</v>
      </c>
      <c r="P154" s="34" t="s">
        <v>126</v>
      </c>
      <c r="Q154" s="33" t="n">
        <f>2442</f>
        <v>2442.0</v>
      </c>
      <c r="R154" s="34" t="s">
        <v>49</v>
      </c>
      <c r="S154" s="35" t="n">
        <f>2469.42</f>
        <v>2469.42</v>
      </c>
      <c r="T154" s="32" t="n">
        <f>4534475</f>
        <v>4534475.0</v>
      </c>
      <c r="U154" s="32" t="n">
        <f>50</f>
        <v>50.0</v>
      </c>
      <c r="V154" s="32" t="n">
        <f>11182562699</f>
        <v>1.1182562699E10</v>
      </c>
      <c r="W154" s="32" t="n">
        <f>122075</f>
        <v>122075.0</v>
      </c>
      <c r="X154" s="36" t="n">
        <f>19</f>
        <v>19.0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22870</f>
        <v>22870.0</v>
      </c>
      <c r="L155" s="34" t="s">
        <v>48</v>
      </c>
      <c r="M155" s="33" t="n">
        <f>23805</f>
        <v>23805.0</v>
      </c>
      <c r="N155" s="34" t="s">
        <v>60</v>
      </c>
      <c r="O155" s="33" t="n">
        <f>22630</f>
        <v>22630.0</v>
      </c>
      <c r="P155" s="34" t="s">
        <v>48</v>
      </c>
      <c r="Q155" s="33" t="n">
        <f>23555</f>
        <v>23555.0</v>
      </c>
      <c r="R155" s="34" t="s">
        <v>49</v>
      </c>
      <c r="S155" s="35" t="n">
        <f>23315.26</f>
        <v>23315.26</v>
      </c>
      <c r="T155" s="32" t="n">
        <f>2296</f>
        <v>2296.0</v>
      </c>
      <c r="U155" s="32" t="str">
        <f>"－"</f>
        <v>－</v>
      </c>
      <c r="V155" s="32" t="n">
        <f>53623780</f>
        <v>5.362378E7</v>
      </c>
      <c r="W155" s="32" t="str">
        <f>"－"</f>
        <v>－</v>
      </c>
      <c r="X155" s="36" t="n">
        <f>19</f>
        <v>19.0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2928</f>
        <v>2928.0</v>
      </c>
      <c r="L156" s="34" t="s">
        <v>48</v>
      </c>
      <c r="M156" s="33" t="n">
        <f>2974</f>
        <v>2974.0</v>
      </c>
      <c r="N156" s="34" t="s">
        <v>80</v>
      </c>
      <c r="O156" s="33" t="n">
        <f>2780</f>
        <v>2780.0</v>
      </c>
      <c r="P156" s="34" t="s">
        <v>224</v>
      </c>
      <c r="Q156" s="33" t="n">
        <f>2840.5</f>
        <v>2840.5</v>
      </c>
      <c r="R156" s="34" t="s">
        <v>49</v>
      </c>
      <c r="S156" s="35" t="n">
        <f>2872.58</f>
        <v>2872.58</v>
      </c>
      <c r="T156" s="32" t="n">
        <f>19910</f>
        <v>19910.0</v>
      </c>
      <c r="U156" s="32" t="str">
        <f>"－"</f>
        <v>－</v>
      </c>
      <c r="V156" s="32" t="n">
        <f>57332905</f>
        <v>5.7332905E7</v>
      </c>
      <c r="W156" s="32" t="str">
        <f>"－"</f>
        <v>－</v>
      </c>
      <c r="X156" s="36" t="n">
        <f>19</f>
        <v>19.0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12965</f>
        <v>12965.0</v>
      </c>
      <c r="L157" s="34" t="s">
        <v>48</v>
      </c>
      <c r="M157" s="33" t="n">
        <f>13295</f>
        <v>13295.0</v>
      </c>
      <c r="N157" s="34" t="s">
        <v>65</v>
      </c>
      <c r="O157" s="33" t="n">
        <f>12110</f>
        <v>12110.0</v>
      </c>
      <c r="P157" s="34" t="s">
        <v>49</v>
      </c>
      <c r="Q157" s="33" t="n">
        <f>12215</f>
        <v>12215.0</v>
      </c>
      <c r="R157" s="34" t="s">
        <v>49</v>
      </c>
      <c r="S157" s="35" t="n">
        <f>12743.68</f>
        <v>12743.68</v>
      </c>
      <c r="T157" s="32" t="n">
        <f>2338</f>
        <v>2338.0</v>
      </c>
      <c r="U157" s="32" t="str">
        <f>"－"</f>
        <v>－</v>
      </c>
      <c r="V157" s="32" t="n">
        <f>29564630</f>
        <v>2.956463E7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21470</f>
        <v>21470.0</v>
      </c>
      <c r="L158" s="34" t="s">
        <v>48</v>
      </c>
      <c r="M158" s="33" t="n">
        <f>22285</f>
        <v>22285.0</v>
      </c>
      <c r="N158" s="34" t="s">
        <v>70</v>
      </c>
      <c r="O158" s="33" t="n">
        <f>19500</f>
        <v>19500.0</v>
      </c>
      <c r="P158" s="34" t="s">
        <v>76</v>
      </c>
      <c r="Q158" s="33" t="n">
        <f>19905</f>
        <v>19905.0</v>
      </c>
      <c r="R158" s="34" t="s">
        <v>49</v>
      </c>
      <c r="S158" s="35" t="n">
        <f>21117.11</f>
        <v>21117.11</v>
      </c>
      <c r="T158" s="32" t="n">
        <f>2496</f>
        <v>2496.0</v>
      </c>
      <c r="U158" s="32" t="str">
        <f>"－"</f>
        <v>－</v>
      </c>
      <c r="V158" s="32" t="n">
        <f>52011260</f>
        <v>5.201126E7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18405</f>
        <v>18405.0</v>
      </c>
      <c r="L159" s="34" t="s">
        <v>48</v>
      </c>
      <c r="M159" s="33" t="n">
        <f>18895</f>
        <v>18895.0</v>
      </c>
      <c r="N159" s="34" t="s">
        <v>440</v>
      </c>
      <c r="O159" s="33" t="n">
        <f>17710</f>
        <v>17710.0</v>
      </c>
      <c r="P159" s="34" t="s">
        <v>160</v>
      </c>
      <c r="Q159" s="33" t="n">
        <f>18005</f>
        <v>18005.0</v>
      </c>
      <c r="R159" s="34" t="s">
        <v>64</v>
      </c>
      <c r="S159" s="35" t="n">
        <f>18266.88</f>
        <v>18266.88</v>
      </c>
      <c r="T159" s="32" t="n">
        <f>113</f>
        <v>113.0</v>
      </c>
      <c r="U159" s="32" t="str">
        <f>"－"</f>
        <v>－</v>
      </c>
      <c r="V159" s="32" t="n">
        <f>2094340</f>
        <v>2094340.0</v>
      </c>
      <c r="W159" s="32" t="str">
        <f>"－"</f>
        <v>－</v>
      </c>
      <c r="X159" s="36" t="n">
        <f>8</f>
        <v>8.0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49490</f>
        <v>49490.0</v>
      </c>
      <c r="L160" s="34" t="s">
        <v>48</v>
      </c>
      <c r="M160" s="33" t="n">
        <f>49490</f>
        <v>49490.0</v>
      </c>
      <c r="N160" s="34" t="s">
        <v>48</v>
      </c>
      <c r="O160" s="33" t="n">
        <f>48000</f>
        <v>48000.0</v>
      </c>
      <c r="P160" s="34" t="s">
        <v>48</v>
      </c>
      <c r="Q160" s="33" t="n">
        <f>48690</f>
        <v>48690.0</v>
      </c>
      <c r="R160" s="34" t="s">
        <v>49</v>
      </c>
      <c r="S160" s="35" t="n">
        <f>48811.58</f>
        <v>48811.58</v>
      </c>
      <c r="T160" s="32" t="n">
        <f>5000</f>
        <v>5000.0</v>
      </c>
      <c r="U160" s="32" t="str">
        <f>"－"</f>
        <v>－</v>
      </c>
      <c r="V160" s="32" t="n">
        <f>243203400</f>
        <v>2.432034E8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100.0</v>
      </c>
      <c r="K161" s="33" t="n">
        <f>262</f>
        <v>262.0</v>
      </c>
      <c r="L161" s="34" t="s">
        <v>48</v>
      </c>
      <c r="M161" s="33" t="n">
        <f>263.9</f>
        <v>263.9</v>
      </c>
      <c r="N161" s="34" t="s">
        <v>56</v>
      </c>
      <c r="O161" s="33" t="n">
        <f>250</f>
        <v>250.0</v>
      </c>
      <c r="P161" s="34" t="s">
        <v>76</v>
      </c>
      <c r="Q161" s="33" t="n">
        <f>253.2</f>
        <v>253.2</v>
      </c>
      <c r="R161" s="34" t="s">
        <v>49</v>
      </c>
      <c r="S161" s="35" t="n">
        <f>257.94</f>
        <v>257.94</v>
      </c>
      <c r="T161" s="32" t="n">
        <f>16808500</f>
        <v>1.68085E7</v>
      </c>
      <c r="U161" s="32" t="n">
        <f>211100</f>
        <v>211100.0</v>
      </c>
      <c r="V161" s="32" t="n">
        <f>4342447785</f>
        <v>4.342447785E9</v>
      </c>
      <c r="W161" s="32" t="n">
        <f>54159045</f>
        <v>5.4159045E7</v>
      </c>
      <c r="X161" s="36" t="n">
        <f>19</f>
        <v>19.0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37350</f>
        <v>37350.0</v>
      </c>
      <c r="L162" s="34" t="s">
        <v>48</v>
      </c>
      <c r="M162" s="33" t="n">
        <f>38150</f>
        <v>38150.0</v>
      </c>
      <c r="N162" s="34" t="s">
        <v>65</v>
      </c>
      <c r="O162" s="33" t="n">
        <f>36140</f>
        <v>36140.0</v>
      </c>
      <c r="P162" s="34" t="s">
        <v>113</v>
      </c>
      <c r="Q162" s="33" t="n">
        <f>37400</f>
        <v>37400.0</v>
      </c>
      <c r="R162" s="34" t="s">
        <v>49</v>
      </c>
      <c r="S162" s="35" t="n">
        <f>37321.58</f>
        <v>37321.58</v>
      </c>
      <c r="T162" s="32" t="n">
        <f>5230</f>
        <v>5230.0</v>
      </c>
      <c r="U162" s="32" t="str">
        <f>"－"</f>
        <v>－</v>
      </c>
      <c r="V162" s="32" t="n">
        <f>194063700</f>
        <v>1.940637E8</v>
      </c>
      <c r="W162" s="32" t="str">
        <f>"－"</f>
        <v>－</v>
      </c>
      <c r="X162" s="36" t="n">
        <f>19</f>
        <v>19.0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3643</f>
        <v>3643.0</v>
      </c>
      <c r="L163" s="34" t="s">
        <v>48</v>
      </c>
      <c r="M163" s="33" t="n">
        <f>3840</f>
        <v>3840.0</v>
      </c>
      <c r="N163" s="34" t="s">
        <v>160</v>
      </c>
      <c r="O163" s="33" t="n">
        <f>3625</f>
        <v>3625.0</v>
      </c>
      <c r="P163" s="34" t="s">
        <v>113</v>
      </c>
      <c r="Q163" s="33" t="n">
        <f>3777</f>
        <v>3777.0</v>
      </c>
      <c r="R163" s="34" t="s">
        <v>49</v>
      </c>
      <c r="S163" s="35" t="n">
        <f>3746.95</f>
        <v>3746.95</v>
      </c>
      <c r="T163" s="32" t="n">
        <f>51480</f>
        <v>51480.0</v>
      </c>
      <c r="U163" s="32" t="n">
        <f>30</f>
        <v>30.0</v>
      </c>
      <c r="V163" s="32" t="n">
        <f>192584490</f>
        <v>1.9258449E8</v>
      </c>
      <c r="W163" s="32" t="n">
        <f>113590</f>
        <v>113590.0</v>
      </c>
      <c r="X163" s="36" t="n">
        <f>19</f>
        <v>19.0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1617</f>
        <v>1617.0</v>
      </c>
      <c r="L164" s="34" t="s">
        <v>48</v>
      </c>
      <c r="M164" s="33" t="n">
        <f>1738.5</f>
        <v>1738.5</v>
      </c>
      <c r="N164" s="34" t="s">
        <v>96</v>
      </c>
      <c r="O164" s="33" t="n">
        <f>1600</f>
        <v>1600.0</v>
      </c>
      <c r="P164" s="34" t="s">
        <v>126</v>
      </c>
      <c r="Q164" s="33" t="n">
        <f>1678</f>
        <v>1678.0</v>
      </c>
      <c r="R164" s="34" t="s">
        <v>49</v>
      </c>
      <c r="S164" s="35" t="n">
        <f>1695.42</f>
        <v>1695.42</v>
      </c>
      <c r="T164" s="32" t="n">
        <f>163700</f>
        <v>163700.0</v>
      </c>
      <c r="U164" s="32" t="n">
        <f>40</f>
        <v>40.0</v>
      </c>
      <c r="V164" s="32" t="n">
        <f>280314335</f>
        <v>2.80314335E8</v>
      </c>
      <c r="W164" s="32" t="n">
        <f>69015</f>
        <v>69015.0</v>
      </c>
      <c r="X164" s="36" t="n">
        <f>19</f>
        <v>19.0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236</f>
        <v>236.0</v>
      </c>
      <c r="L165" s="34" t="s">
        <v>48</v>
      </c>
      <c r="M165" s="33" t="n">
        <f>239.8</f>
        <v>239.8</v>
      </c>
      <c r="N165" s="34" t="s">
        <v>126</v>
      </c>
      <c r="O165" s="33" t="n">
        <f>224.1</f>
        <v>224.1</v>
      </c>
      <c r="P165" s="34" t="s">
        <v>71</v>
      </c>
      <c r="Q165" s="33" t="n">
        <f>227.9</f>
        <v>227.9</v>
      </c>
      <c r="R165" s="34" t="s">
        <v>49</v>
      </c>
      <c r="S165" s="35" t="n">
        <f>233.67</f>
        <v>233.67</v>
      </c>
      <c r="T165" s="32" t="n">
        <f>112000</f>
        <v>112000.0</v>
      </c>
      <c r="U165" s="32" t="n">
        <f>400</f>
        <v>400.0</v>
      </c>
      <c r="V165" s="32" t="n">
        <f>26177850</f>
        <v>2.617785E7</v>
      </c>
      <c r="W165" s="32" t="n">
        <f>91390</f>
        <v>91390.0</v>
      </c>
      <c r="X165" s="36" t="n">
        <f>19</f>
        <v>19.0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1515.5</f>
        <v>1515.5</v>
      </c>
      <c r="L166" s="34" t="s">
        <v>48</v>
      </c>
      <c r="M166" s="33" t="n">
        <f>1541.5</f>
        <v>1541.5</v>
      </c>
      <c r="N166" s="34" t="s">
        <v>56</v>
      </c>
      <c r="O166" s="33" t="n">
        <f>1462</f>
        <v>1462.0</v>
      </c>
      <c r="P166" s="34" t="s">
        <v>80</v>
      </c>
      <c r="Q166" s="33" t="n">
        <f>1478</f>
        <v>1478.0</v>
      </c>
      <c r="R166" s="34" t="s">
        <v>49</v>
      </c>
      <c r="S166" s="35" t="n">
        <f>1505.21</f>
        <v>1505.21</v>
      </c>
      <c r="T166" s="32" t="n">
        <f>3680</f>
        <v>3680.0</v>
      </c>
      <c r="U166" s="32" t="str">
        <f>"－"</f>
        <v>－</v>
      </c>
      <c r="V166" s="32" t="n">
        <f>5557860</f>
        <v>5557860.0</v>
      </c>
      <c r="W166" s="32" t="str">
        <f>"－"</f>
        <v>－</v>
      </c>
      <c r="X166" s="36" t="n">
        <f>12</f>
        <v>12.0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554.8</f>
        <v>554.8</v>
      </c>
      <c r="L167" s="34" t="s">
        <v>48</v>
      </c>
      <c r="M167" s="33" t="n">
        <f>575</f>
        <v>575.0</v>
      </c>
      <c r="N167" s="34" t="s">
        <v>64</v>
      </c>
      <c r="O167" s="33" t="n">
        <f>519.1</f>
        <v>519.1</v>
      </c>
      <c r="P167" s="34" t="s">
        <v>49</v>
      </c>
      <c r="Q167" s="33" t="n">
        <f>528.8</f>
        <v>528.8</v>
      </c>
      <c r="R167" s="34" t="s">
        <v>49</v>
      </c>
      <c r="S167" s="35" t="n">
        <f>548.54</f>
        <v>548.54</v>
      </c>
      <c r="T167" s="32" t="n">
        <f>44230</f>
        <v>44230.0</v>
      </c>
      <c r="U167" s="32" t="str">
        <f>"－"</f>
        <v>－</v>
      </c>
      <c r="V167" s="32" t="n">
        <f>24198697</f>
        <v>2.4198697E7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2184</f>
        <v>2184.0</v>
      </c>
      <c r="L168" s="34" t="s">
        <v>48</v>
      </c>
      <c r="M168" s="33" t="n">
        <f>2300</f>
        <v>2300.0</v>
      </c>
      <c r="N168" s="34" t="s">
        <v>100</v>
      </c>
      <c r="O168" s="33" t="n">
        <f>2075</f>
        <v>2075.0</v>
      </c>
      <c r="P168" s="34" t="s">
        <v>126</v>
      </c>
      <c r="Q168" s="33" t="n">
        <f>2249</f>
        <v>2249.0</v>
      </c>
      <c r="R168" s="34" t="s">
        <v>76</v>
      </c>
      <c r="S168" s="35" t="n">
        <f>2205.09</f>
        <v>2205.09</v>
      </c>
      <c r="T168" s="32" t="n">
        <f>2450</f>
        <v>2450.0</v>
      </c>
      <c r="U168" s="32" t="str">
        <f>"－"</f>
        <v>－</v>
      </c>
      <c r="V168" s="32" t="n">
        <f>5431850</f>
        <v>5431850.0</v>
      </c>
      <c r="W168" s="32" t="str">
        <f>"－"</f>
        <v>－</v>
      </c>
      <c r="X168" s="36" t="n">
        <f>17</f>
        <v>17.0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873.9</f>
        <v>873.9</v>
      </c>
      <c r="L169" s="34" t="s">
        <v>48</v>
      </c>
      <c r="M169" s="33" t="n">
        <f>888</f>
        <v>888.0</v>
      </c>
      <c r="N169" s="34" t="s">
        <v>49</v>
      </c>
      <c r="O169" s="33" t="n">
        <f>839.3</f>
        <v>839.3</v>
      </c>
      <c r="P169" s="34" t="s">
        <v>80</v>
      </c>
      <c r="Q169" s="33" t="n">
        <f>884.6</f>
        <v>884.6</v>
      </c>
      <c r="R169" s="34" t="s">
        <v>49</v>
      </c>
      <c r="S169" s="35" t="n">
        <f>862.61</f>
        <v>862.61</v>
      </c>
      <c r="T169" s="32" t="n">
        <f>33520</f>
        <v>33520.0</v>
      </c>
      <c r="U169" s="32" t="str">
        <f>"－"</f>
        <v>－</v>
      </c>
      <c r="V169" s="32" t="n">
        <f>29031943</f>
        <v>2.9031943E7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639.2</f>
        <v>639.2</v>
      </c>
      <c r="L170" s="34" t="s">
        <v>48</v>
      </c>
      <c r="M170" s="33" t="n">
        <f>645</f>
        <v>645.0</v>
      </c>
      <c r="N170" s="34" t="s">
        <v>160</v>
      </c>
      <c r="O170" s="33" t="n">
        <f>616.7</f>
        <v>616.7</v>
      </c>
      <c r="P170" s="34" t="s">
        <v>80</v>
      </c>
      <c r="Q170" s="33" t="n">
        <f>643</f>
        <v>643.0</v>
      </c>
      <c r="R170" s="34" t="s">
        <v>49</v>
      </c>
      <c r="S170" s="35" t="n">
        <f>628.58</f>
        <v>628.58</v>
      </c>
      <c r="T170" s="32" t="n">
        <f>151390</f>
        <v>151390.0</v>
      </c>
      <c r="U170" s="32" t="str">
        <f>"－"</f>
        <v>－</v>
      </c>
      <c r="V170" s="32" t="n">
        <f>95111524</f>
        <v>9.5111524E7</v>
      </c>
      <c r="W170" s="32" t="str">
        <f>"－"</f>
        <v>－</v>
      </c>
      <c r="X170" s="36" t="n">
        <f>19</f>
        <v>19.0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100.0</v>
      </c>
      <c r="K171" s="33" t="n">
        <f>2.1</f>
        <v>2.1</v>
      </c>
      <c r="L171" s="34" t="s">
        <v>48</v>
      </c>
      <c r="M171" s="33" t="n">
        <f>2.2</f>
        <v>2.2</v>
      </c>
      <c r="N171" s="34" t="s">
        <v>48</v>
      </c>
      <c r="O171" s="33" t="n">
        <f>1.5</f>
        <v>1.5</v>
      </c>
      <c r="P171" s="34" t="s">
        <v>60</v>
      </c>
      <c r="Q171" s="33" t="n">
        <f>1.5</f>
        <v>1.5</v>
      </c>
      <c r="R171" s="34" t="s">
        <v>49</v>
      </c>
      <c r="S171" s="35" t="n">
        <f>1.86</f>
        <v>1.86</v>
      </c>
      <c r="T171" s="32" t="n">
        <f>1047773100</f>
        <v>1.0477731E9</v>
      </c>
      <c r="U171" s="32" t="str">
        <f>"－"</f>
        <v>－</v>
      </c>
      <c r="V171" s="32" t="n">
        <f>1938848310</f>
        <v>1.93884831E9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1173</f>
        <v>1173.0</v>
      </c>
      <c r="L172" s="34" t="s">
        <v>48</v>
      </c>
      <c r="M172" s="33" t="n">
        <f>1234</f>
        <v>1234.0</v>
      </c>
      <c r="N172" s="34" t="s">
        <v>64</v>
      </c>
      <c r="O172" s="33" t="n">
        <f>1119.5</f>
        <v>1119.5</v>
      </c>
      <c r="P172" s="34" t="s">
        <v>126</v>
      </c>
      <c r="Q172" s="33" t="n">
        <f>1170.5</f>
        <v>1170.5</v>
      </c>
      <c r="R172" s="34" t="s">
        <v>49</v>
      </c>
      <c r="S172" s="35" t="n">
        <f>1180.68</f>
        <v>1180.68</v>
      </c>
      <c r="T172" s="32" t="n">
        <f>33040</f>
        <v>33040.0</v>
      </c>
      <c r="U172" s="32" t="str">
        <f>"－"</f>
        <v>－</v>
      </c>
      <c r="V172" s="32" t="n">
        <f>39026065</f>
        <v>3.9026065E7</v>
      </c>
      <c r="W172" s="32" t="str">
        <f>"－"</f>
        <v>－</v>
      </c>
      <c r="X172" s="36" t="n">
        <f>19</f>
        <v>19.0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5872</f>
        <v>5872.0</v>
      </c>
      <c r="L173" s="34" t="s">
        <v>48</v>
      </c>
      <c r="M173" s="33" t="n">
        <f>6610</f>
        <v>6610.0</v>
      </c>
      <c r="N173" s="34" t="s">
        <v>100</v>
      </c>
      <c r="O173" s="33" t="n">
        <f>5606</f>
        <v>5606.0</v>
      </c>
      <c r="P173" s="34" t="s">
        <v>126</v>
      </c>
      <c r="Q173" s="33" t="n">
        <f>6179</f>
        <v>6179.0</v>
      </c>
      <c r="R173" s="34" t="s">
        <v>49</v>
      </c>
      <c r="S173" s="35" t="n">
        <f>6113.94</f>
        <v>6113.94</v>
      </c>
      <c r="T173" s="32" t="n">
        <f>1112</f>
        <v>1112.0</v>
      </c>
      <c r="U173" s="32" t="str">
        <f>"－"</f>
        <v>－</v>
      </c>
      <c r="V173" s="32" t="n">
        <f>6888485</f>
        <v>6888485.0</v>
      </c>
      <c r="W173" s="32" t="str">
        <f>"－"</f>
        <v>－</v>
      </c>
      <c r="X173" s="36" t="n">
        <f>16</f>
        <v>16.0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417.4</f>
        <v>417.4</v>
      </c>
      <c r="L174" s="34" t="s">
        <v>48</v>
      </c>
      <c r="M174" s="33" t="n">
        <f>473.9</f>
        <v>473.9</v>
      </c>
      <c r="N174" s="34" t="s">
        <v>100</v>
      </c>
      <c r="O174" s="33" t="n">
        <f>410.9</f>
        <v>410.9</v>
      </c>
      <c r="P174" s="34" t="s">
        <v>126</v>
      </c>
      <c r="Q174" s="33" t="n">
        <f>455</f>
        <v>455.0</v>
      </c>
      <c r="R174" s="34" t="s">
        <v>49</v>
      </c>
      <c r="S174" s="35" t="n">
        <f>450.75</f>
        <v>450.75</v>
      </c>
      <c r="T174" s="32" t="n">
        <f>76700</f>
        <v>76700.0</v>
      </c>
      <c r="U174" s="32" t="n">
        <f>200</f>
        <v>200.0</v>
      </c>
      <c r="V174" s="32" t="n">
        <f>34273860</f>
        <v>3.427386E7</v>
      </c>
      <c r="W174" s="32" t="n">
        <f>92520</f>
        <v>92520.0</v>
      </c>
      <c r="X174" s="36" t="n">
        <f>19</f>
        <v>19.0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4410</f>
        <v>4410.0</v>
      </c>
      <c r="L175" s="34" t="s">
        <v>48</v>
      </c>
      <c r="M175" s="33" t="n">
        <f>4927</f>
        <v>4927.0</v>
      </c>
      <c r="N175" s="34" t="s">
        <v>64</v>
      </c>
      <c r="O175" s="33" t="n">
        <f>4331</f>
        <v>4331.0</v>
      </c>
      <c r="P175" s="34" t="s">
        <v>126</v>
      </c>
      <c r="Q175" s="33" t="n">
        <f>4797</f>
        <v>4797.0</v>
      </c>
      <c r="R175" s="34" t="s">
        <v>49</v>
      </c>
      <c r="S175" s="35" t="n">
        <f>4752</f>
        <v>4752.0</v>
      </c>
      <c r="T175" s="32" t="n">
        <f>47820</f>
        <v>47820.0</v>
      </c>
      <c r="U175" s="32" t="str">
        <f>"－"</f>
        <v>－</v>
      </c>
      <c r="V175" s="32" t="n">
        <f>228121150</f>
        <v>2.2812115E8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3741</f>
        <v>3741.0</v>
      </c>
      <c r="L176" s="34" t="s">
        <v>48</v>
      </c>
      <c r="M176" s="33" t="n">
        <f>3767</f>
        <v>3767.0</v>
      </c>
      <c r="N176" s="34" t="s">
        <v>48</v>
      </c>
      <c r="O176" s="33" t="n">
        <f>3230</f>
        <v>3230.0</v>
      </c>
      <c r="P176" s="34" t="s">
        <v>65</v>
      </c>
      <c r="Q176" s="33" t="n">
        <f>3543</f>
        <v>3543.0</v>
      </c>
      <c r="R176" s="34" t="s">
        <v>49</v>
      </c>
      <c r="S176" s="35" t="n">
        <f>3435.84</f>
        <v>3435.84</v>
      </c>
      <c r="T176" s="32" t="n">
        <f>14550</f>
        <v>14550.0</v>
      </c>
      <c r="U176" s="32" t="str">
        <f>"－"</f>
        <v>－</v>
      </c>
      <c r="V176" s="32" t="n">
        <f>50324730</f>
        <v>5.032473E7</v>
      </c>
      <c r="W176" s="32" t="str">
        <f>"－"</f>
        <v>－</v>
      </c>
      <c r="X176" s="36" t="n">
        <f>19</f>
        <v>19.0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101.8</f>
        <v>101.8</v>
      </c>
      <c r="L177" s="34" t="s">
        <v>48</v>
      </c>
      <c r="M177" s="33" t="n">
        <f>101.8</f>
        <v>101.8</v>
      </c>
      <c r="N177" s="34" t="s">
        <v>48</v>
      </c>
      <c r="O177" s="33" t="n">
        <f>92.4</f>
        <v>92.4</v>
      </c>
      <c r="P177" s="34" t="s">
        <v>64</v>
      </c>
      <c r="Q177" s="33" t="n">
        <f>96.5</f>
        <v>96.5</v>
      </c>
      <c r="R177" s="34" t="s">
        <v>49</v>
      </c>
      <c r="S177" s="35" t="n">
        <f>95.58</f>
        <v>95.58</v>
      </c>
      <c r="T177" s="32" t="n">
        <f>5862700</f>
        <v>5862700.0</v>
      </c>
      <c r="U177" s="32" t="str">
        <f>"－"</f>
        <v>－</v>
      </c>
      <c r="V177" s="32" t="n">
        <f>562744410</f>
        <v>5.6274441E8</v>
      </c>
      <c r="W177" s="32" t="str">
        <f>"－"</f>
        <v>－</v>
      </c>
      <c r="X177" s="36" t="n">
        <f>19</f>
        <v>19.0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175.7</f>
        <v>175.7</v>
      </c>
      <c r="L178" s="34" t="s">
        <v>48</v>
      </c>
      <c r="M178" s="33" t="n">
        <f>178.8</f>
        <v>178.8</v>
      </c>
      <c r="N178" s="34" t="s">
        <v>160</v>
      </c>
      <c r="O178" s="33" t="n">
        <f>168.9</f>
        <v>168.9</v>
      </c>
      <c r="P178" s="34" t="s">
        <v>70</v>
      </c>
      <c r="Q178" s="33" t="n">
        <f>177</f>
        <v>177.0</v>
      </c>
      <c r="R178" s="34" t="s">
        <v>49</v>
      </c>
      <c r="S178" s="35" t="n">
        <f>173.59</f>
        <v>173.59</v>
      </c>
      <c r="T178" s="32" t="n">
        <f>463900</f>
        <v>463900.0</v>
      </c>
      <c r="U178" s="32" t="str">
        <f>"－"</f>
        <v>－</v>
      </c>
      <c r="V178" s="32" t="n">
        <f>80422420</f>
        <v>8.042242E7</v>
      </c>
      <c r="W178" s="32" t="str">
        <f>"－"</f>
        <v>－</v>
      </c>
      <c r="X178" s="36" t="n">
        <f>19</f>
        <v>19.0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3958</f>
        <v>3958.0</v>
      </c>
      <c r="L179" s="34" t="s">
        <v>48</v>
      </c>
      <c r="M179" s="33" t="n">
        <f>4100</f>
        <v>4100.0</v>
      </c>
      <c r="N179" s="34" t="s">
        <v>160</v>
      </c>
      <c r="O179" s="33" t="n">
        <f>3940</f>
        <v>3940.0</v>
      </c>
      <c r="P179" s="34" t="s">
        <v>71</v>
      </c>
      <c r="Q179" s="33" t="n">
        <f>4045</f>
        <v>4045.0</v>
      </c>
      <c r="R179" s="34" t="s">
        <v>49</v>
      </c>
      <c r="S179" s="35" t="n">
        <f>3991.26</f>
        <v>3991.26</v>
      </c>
      <c r="T179" s="32" t="n">
        <f>5160</f>
        <v>5160.0</v>
      </c>
      <c r="U179" s="32" t="n">
        <f>30</f>
        <v>30.0</v>
      </c>
      <c r="V179" s="32" t="n">
        <f>20661360</f>
        <v>2.066136E7</v>
      </c>
      <c r="W179" s="32" t="n">
        <f>119630</f>
        <v>119630.0</v>
      </c>
      <c r="X179" s="36" t="n">
        <f>19</f>
        <v>19.0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2050</f>
        <v>2050.0</v>
      </c>
      <c r="L180" s="34" t="s">
        <v>48</v>
      </c>
      <c r="M180" s="33" t="n">
        <f>2109.5</f>
        <v>2109.5</v>
      </c>
      <c r="N180" s="34" t="s">
        <v>76</v>
      </c>
      <c r="O180" s="33" t="n">
        <f>1991.5</f>
        <v>1991.5</v>
      </c>
      <c r="P180" s="34" t="s">
        <v>126</v>
      </c>
      <c r="Q180" s="33" t="n">
        <f>2088.5</f>
        <v>2088.5</v>
      </c>
      <c r="R180" s="34" t="s">
        <v>49</v>
      </c>
      <c r="S180" s="35" t="n">
        <f>2050.74</f>
        <v>2050.74</v>
      </c>
      <c r="T180" s="32" t="n">
        <f>56360</f>
        <v>56360.0</v>
      </c>
      <c r="U180" s="32" t="n">
        <f>20</f>
        <v>20.0</v>
      </c>
      <c r="V180" s="32" t="n">
        <f>114879470</f>
        <v>1.1487947E8</v>
      </c>
      <c r="W180" s="32" t="n">
        <f>42170</f>
        <v>42170.0</v>
      </c>
      <c r="X180" s="36" t="n">
        <f>19</f>
        <v>19.0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319.8</f>
        <v>319.8</v>
      </c>
      <c r="L181" s="34" t="s">
        <v>48</v>
      </c>
      <c r="M181" s="33" t="n">
        <f>337.7</f>
        <v>337.7</v>
      </c>
      <c r="N181" s="34" t="s">
        <v>64</v>
      </c>
      <c r="O181" s="33" t="n">
        <f>306.5</f>
        <v>306.5</v>
      </c>
      <c r="P181" s="34" t="s">
        <v>126</v>
      </c>
      <c r="Q181" s="33" t="n">
        <f>320.1</f>
        <v>320.1</v>
      </c>
      <c r="R181" s="34" t="s">
        <v>49</v>
      </c>
      <c r="S181" s="35" t="n">
        <f>323.64</f>
        <v>323.64</v>
      </c>
      <c r="T181" s="32" t="n">
        <f>14438710</f>
        <v>1.443871E7</v>
      </c>
      <c r="U181" s="32" t="n">
        <f>3050</f>
        <v>3050.0</v>
      </c>
      <c r="V181" s="32" t="n">
        <f>4696065984</f>
        <v>4.696065984E9</v>
      </c>
      <c r="W181" s="32" t="n">
        <f>993150</f>
        <v>993150.0</v>
      </c>
      <c r="X181" s="36" t="n">
        <f>19</f>
        <v>19.0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594</v>
      </c>
      <c r="J182" s="32" t="n">
        <v>1.0</v>
      </c>
      <c r="K182" s="33" t="n">
        <f>5960</f>
        <v>5960.0</v>
      </c>
      <c r="L182" s="34" t="s">
        <v>48</v>
      </c>
      <c r="M182" s="33" t="n">
        <f>7389</f>
        <v>7389.0</v>
      </c>
      <c r="N182" s="34" t="s">
        <v>76</v>
      </c>
      <c r="O182" s="33" t="n">
        <f>5870</f>
        <v>5870.0</v>
      </c>
      <c r="P182" s="34" t="s">
        <v>48</v>
      </c>
      <c r="Q182" s="33" t="n">
        <f>6755</f>
        <v>6755.0</v>
      </c>
      <c r="R182" s="34" t="s">
        <v>49</v>
      </c>
      <c r="S182" s="35" t="n">
        <f>6773.79</f>
        <v>6773.79</v>
      </c>
      <c r="T182" s="32" t="n">
        <f>118078</f>
        <v>118078.0</v>
      </c>
      <c r="U182" s="32" t="str">
        <f>"－"</f>
        <v>－</v>
      </c>
      <c r="V182" s="32" t="n">
        <f>793907618</f>
        <v>7.93907618E8</v>
      </c>
      <c r="W182" s="32" t="str">
        <f>"－"</f>
        <v>－</v>
      </c>
      <c r="X182" s="36" t="n">
        <f>19</f>
        <v>19.0</v>
      </c>
    </row>
    <row r="183">
      <c r="A183" s="27" t="s">
        <v>42</v>
      </c>
      <c r="B183" s="27" t="s">
        <v>595</v>
      </c>
      <c r="C183" s="27" t="s">
        <v>596</v>
      </c>
      <c r="D183" s="27" t="s">
        <v>597</v>
      </c>
      <c r="E183" s="28" t="s">
        <v>46</v>
      </c>
      <c r="F183" s="29" t="s">
        <v>46</v>
      </c>
      <c r="G183" s="30" t="s">
        <v>46</v>
      </c>
      <c r="H183" s="31"/>
      <c r="I183" s="31" t="s">
        <v>594</v>
      </c>
      <c r="J183" s="32" t="n">
        <v>1.0</v>
      </c>
      <c r="K183" s="33" t="n">
        <f>7303</f>
        <v>7303.0</v>
      </c>
      <c r="L183" s="34" t="s">
        <v>48</v>
      </c>
      <c r="M183" s="33" t="n">
        <f>7401</f>
        <v>7401.0</v>
      </c>
      <c r="N183" s="34" t="s">
        <v>48</v>
      </c>
      <c r="O183" s="33" t="n">
        <f>6425</f>
        <v>6425.0</v>
      </c>
      <c r="P183" s="34" t="s">
        <v>96</v>
      </c>
      <c r="Q183" s="33" t="n">
        <f>6835</f>
        <v>6835.0</v>
      </c>
      <c r="R183" s="34" t="s">
        <v>49</v>
      </c>
      <c r="S183" s="35" t="n">
        <f>6794.21</f>
        <v>6794.21</v>
      </c>
      <c r="T183" s="32" t="n">
        <f>10883</f>
        <v>10883.0</v>
      </c>
      <c r="U183" s="32" t="str">
        <f>"－"</f>
        <v>－</v>
      </c>
      <c r="V183" s="32" t="n">
        <f>74648226</f>
        <v>7.4648226E7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598</v>
      </c>
      <c r="C184" s="27" t="s">
        <v>599</v>
      </c>
      <c r="D184" s="27" t="s">
        <v>600</v>
      </c>
      <c r="E184" s="28" t="s">
        <v>46</v>
      </c>
      <c r="F184" s="29" t="s">
        <v>46</v>
      </c>
      <c r="G184" s="30" t="s">
        <v>46</v>
      </c>
      <c r="H184" s="31"/>
      <c r="I184" s="31" t="s">
        <v>594</v>
      </c>
      <c r="J184" s="32" t="n">
        <v>1.0</v>
      </c>
      <c r="K184" s="33" t="n">
        <f>9134</f>
        <v>9134.0</v>
      </c>
      <c r="L184" s="34" t="s">
        <v>48</v>
      </c>
      <c r="M184" s="33" t="n">
        <f>11625</f>
        <v>11625.0</v>
      </c>
      <c r="N184" s="34" t="s">
        <v>96</v>
      </c>
      <c r="O184" s="33" t="n">
        <f>8842</f>
        <v>8842.0</v>
      </c>
      <c r="P184" s="34" t="s">
        <v>48</v>
      </c>
      <c r="Q184" s="33" t="n">
        <f>11080</f>
        <v>11080.0</v>
      </c>
      <c r="R184" s="34" t="s">
        <v>76</v>
      </c>
      <c r="S184" s="35" t="n">
        <f>10479.63</f>
        <v>10479.63</v>
      </c>
      <c r="T184" s="32" t="n">
        <f>833</f>
        <v>833.0</v>
      </c>
      <c r="U184" s="32" t="str">
        <f>"－"</f>
        <v>－</v>
      </c>
      <c r="V184" s="32" t="n">
        <f>8724875</f>
        <v>8724875.0</v>
      </c>
      <c r="W184" s="32" t="str">
        <f>"－"</f>
        <v>－</v>
      </c>
      <c r="X184" s="36" t="n">
        <f>16</f>
        <v>16.0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594</v>
      </c>
      <c r="J185" s="32" t="n">
        <v>1.0</v>
      </c>
      <c r="K185" s="33" t="n">
        <f>8843</f>
        <v>8843.0</v>
      </c>
      <c r="L185" s="34" t="s">
        <v>48</v>
      </c>
      <c r="M185" s="33" t="n">
        <f>8843</f>
        <v>8843.0</v>
      </c>
      <c r="N185" s="34" t="s">
        <v>48</v>
      </c>
      <c r="O185" s="33" t="n">
        <f>7841</f>
        <v>7841.0</v>
      </c>
      <c r="P185" s="34" t="s">
        <v>96</v>
      </c>
      <c r="Q185" s="33" t="n">
        <f>8059</f>
        <v>8059.0</v>
      </c>
      <c r="R185" s="34" t="s">
        <v>49</v>
      </c>
      <c r="S185" s="35" t="n">
        <f>8163.47</f>
        <v>8163.47</v>
      </c>
      <c r="T185" s="32" t="n">
        <f>26429</f>
        <v>26429.0</v>
      </c>
      <c r="U185" s="32" t="str">
        <f>"－"</f>
        <v>－</v>
      </c>
      <c r="V185" s="32" t="n">
        <f>217773307</f>
        <v>2.17773307E8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594</v>
      </c>
      <c r="J186" s="32" t="n">
        <v>1.0</v>
      </c>
      <c r="K186" s="33" t="n">
        <f>25500</f>
        <v>25500.0</v>
      </c>
      <c r="L186" s="34" t="s">
        <v>48</v>
      </c>
      <c r="M186" s="33" t="n">
        <f>27810</f>
        <v>27810.0</v>
      </c>
      <c r="N186" s="34" t="s">
        <v>100</v>
      </c>
      <c r="O186" s="33" t="n">
        <f>25225</f>
        <v>25225.0</v>
      </c>
      <c r="P186" s="34" t="s">
        <v>48</v>
      </c>
      <c r="Q186" s="33" t="n">
        <f>27150</f>
        <v>27150.0</v>
      </c>
      <c r="R186" s="34" t="s">
        <v>49</v>
      </c>
      <c r="S186" s="35" t="n">
        <f>26646.05</f>
        <v>26646.05</v>
      </c>
      <c r="T186" s="32" t="n">
        <f>23218</f>
        <v>23218.0</v>
      </c>
      <c r="U186" s="32" t="n">
        <f>22</f>
        <v>22.0</v>
      </c>
      <c r="V186" s="32" t="n">
        <f>620440870</f>
        <v>6.2044087E8</v>
      </c>
      <c r="W186" s="32" t="n">
        <f>597670</f>
        <v>597670.0</v>
      </c>
      <c r="X186" s="36" t="n">
        <f>19</f>
        <v>19.0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594</v>
      </c>
      <c r="J187" s="32" t="n">
        <v>1.0</v>
      </c>
      <c r="K187" s="33" t="n">
        <f>4385</f>
        <v>4385.0</v>
      </c>
      <c r="L187" s="34" t="s">
        <v>48</v>
      </c>
      <c r="M187" s="33" t="n">
        <f>4415</f>
        <v>4415.0</v>
      </c>
      <c r="N187" s="34" t="s">
        <v>48</v>
      </c>
      <c r="O187" s="33" t="n">
        <f>4190</f>
        <v>4190.0</v>
      </c>
      <c r="P187" s="34" t="s">
        <v>100</v>
      </c>
      <c r="Q187" s="33" t="n">
        <f>4235</f>
        <v>4235.0</v>
      </c>
      <c r="R187" s="34" t="s">
        <v>49</v>
      </c>
      <c r="S187" s="35" t="n">
        <f>4280.26</f>
        <v>4280.26</v>
      </c>
      <c r="T187" s="32" t="n">
        <f>6655</f>
        <v>6655.0</v>
      </c>
      <c r="U187" s="32" t="str">
        <f>"－"</f>
        <v>－</v>
      </c>
      <c r="V187" s="32" t="n">
        <f>28324745</f>
        <v>2.8324745E7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594</v>
      </c>
      <c r="J188" s="32" t="n">
        <v>1.0</v>
      </c>
      <c r="K188" s="33" t="n">
        <f>1154</f>
        <v>1154.0</v>
      </c>
      <c r="L188" s="34" t="s">
        <v>48</v>
      </c>
      <c r="M188" s="33" t="n">
        <f>1333</f>
        <v>1333.0</v>
      </c>
      <c r="N188" s="34" t="s">
        <v>64</v>
      </c>
      <c r="O188" s="33" t="n">
        <f>1069</f>
        <v>1069.0</v>
      </c>
      <c r="P188" s="34" t="s">
        <v>126</v>
      </c>
      <c r="Q188" s="33" t="n">
        <f>1212</f>
        <v>1212.0</v>
      </c>
      <c r="R188" s="34" t="s">
        <v>49</v>
      </c>
      <c r="S188" s="35" t="n">
        <f>1215</f>
        <v>1215.0</v>
      </c>
      <c r="T188" s="32" t="n">
        <f>23354712</f>
        <v>2.3354712E7</v>
      </c>
      <c r="U188" s="32" t="n">
        <f>7786</f>
        <v>7786.0</v>
      </c>
      <c r="V188" s="32" t="n">
        <f>28466733103</f>
        <v>2.8466733103E10</v>
      </c>
      <c r="W188" s="32" t="n">
        <f>9841830</f>
        <v>9841830.0</v>
      </c>
      <c r="X188" s="36" t="n">
        <f>19</f>
        <v>19.0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594</v>
      </c>
      <c r="J189" s="32" t="n">
        <v>1.0</v>
      </c>
      <c r="K189" s="33" t="n">
        <f>1558</f>
        <v>1558.0</v>
      </c>
      <c r="L189" s="34" t="s">
        <v>48</v>
      </c>
      <c r="M189" s="33" t="n">
        <f>1619</f>
        <v>1619.0</v>
      </c>
      <c r="N189" s="34" t="s">
        <v>126</v>
      </c>
      <c r="O189" s="33" t="n">
        <f>1442</f>
        <v>1442.0</v>
      </c>
      <c r="P189" s="34" t="s">
        <v>64</v>
      </c>
      <c r="Q189" s="33" t="n">
        <f>1499</f>
        <v>1499.0</v>
      </c>
      <c r="R189" s="34" t="s">
        <v>49</v>
      </c>
      <c r="S189" s="35" t="n">
        <f>1516.74</f>
        <v>1516.74</v>
      </c>
      <c r="T189" s="32" t="n">
        <f>1428445</f>
        <v>1428445.0</v>
      </c>
      <c r="U189" s="32" t="n">
        <f>12</f>
        <v>12.0</v>
      </c>
      <c r="V189" s="32" t="n">
        <f>2163937337</f>
        <v>2.163937337E9</v>
      </c>
      <c r="W189" s="32" t="n">
        <f>18600</f>
        <v>18600.0</v>
      </c>
      <c r="X189" s="36" t="n">
        <f>19</f>
        <v>19.0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594</v>
      </c>
      <c r="J190" s="32" t="n">
        <v>1.0</v>
      </c>
      <c r="K190" s="33" t="n">
        <f>24785</f>
        <v>24785.0</v>
      </c>
      <c r="L190" s="34" t="s">
        <v>48</v>
      </c>
      <c r="M190" s="33" t="n">
        <f>26525</f>
        <v>26525.0</v>
      </c>
      <c r="N190" s="34" t="s">
        <v>80</v>
      </c>
      <c r="O190" s="33" t="n">
        <f>24650</f>
        <v>24650.0</v>
      </c>
      <c r="P190" s="34" t="s">
        <v>56</v>
      </c>
      <c r="Q190" s="33" t="n">
        <f>25530</f>
        <v>25530.0</v>
      </c>
      <c r="R190" s="34" t="s">
        <v>49</v>
      </c>
      <c r="S190" s="35" t="n">
        <f>25524.47</f>
        <v>25524.47</v>
      </c>
      <c r="T190" s="32" t="n">
        <f>68519</f>
        <v>68519.0</v>
      </c>
      <c r="U190" s="32" t="n">
        <f>11</f>
        <v>11.0</v>
      </c>
      <c r="V190" s="32" t="n">
        <f>1752445240</f>
        <v>1.75244524E9</v>
      </c>
      <c r="W190" s="32" t="n">
        <f>281935</f>
        <v>281935.0</v>
      </c>
      <c r="X190" s="36" t="n">
        <f>19</f>
        <v>19.0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594</v>
      </c>
      <c r="J191" s="32" t="n">
        <v>1.0</v>
      </c>
      <c r="K191" s="33" t="n">
        <f>2976</f>
        <v>2976.0</v>
      </c>
      <c r="L191" s="34" t="s">
        <v>48</v>
      </c>
      <c r="M191" s="33" t="n">
        <f>2982</f>
        <v>2982.0</v>
      </c>
      <c r="N191" s="34" t="s">
        <v>48</v>
      </c>
      <c r="O191" s="33" t="n">
        <f>2847</f>
        <v>2847.0</v>
      </c>
      <c r="P191" s="34" t="s">
        <v>440</v>
      </c>
      <c r="Q191" s="33" t="n">
        <f>2904</f>
        <v>2904.0</v>
      </c>
      <c r="R191" s="34" t="s">
        <v>49</v>
      </c>
      <c r="S191" s="35" t="n">
        <f>2912.32</f>
        <v>2912.32</v>
      </c>
      <c r="T191" s="32" t="n">
        <f>587688</f>
        <v>587688.0</v>
      </c>
      <c r="U191" s="32" t="str">
        <f>"－"</f>
        <v>－</v>
      </c>
      <c r="V191" s="32" t="n">
        <f>1709413302</f>
        <v>1.709413302E9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594</v>
      </c>
      <c r="J192" s="32" t="n">
        <v>1.0</v>
      </c>
      <c r="K192" s="33" t="n">
        <f>7795</f>
        <v>7795.0</v>
      </c>
      <c r="L192" s="34" t="s">
        <v>48</v>
      </c>
      <c r="M192" s="33" t="n">
        <f>8332</f>
        <v>8332.0</v>
      </c>
      <c r="N192" s="34" t="s">
        <v>49</v>
      </c>
      <c r="O192" s="33" t="n">
        <f>7600</f>
        <v>7600.0</v>
      </c>
      <c r="P192" s="34" t="s">
        <v>56</v>
      </c>
      <c r="Q192" s="33" t="n">
        <f>8332</f>
        <v>8332.0</v>
      </c>
      <c r="R192" s="34" t="s">
        <v>49</v>
      </c>
      <c r="S192" s="35" t="n">
        <f>7962.21</f>
        <v>7962.21</v>
      </c>
      <c r="T192" s="32" t="n">
        <f>58248</f>
        <v>58248.0</v>
      </c>
      <c r="U192" s="32" t="n">
        <f>7</f>
        <v>7.0</v>
      </c>
      <c r="V192" s="32" t="n">
        <f>466031798</f>
        <v>4.66031798E8</v>
      </c>
      <c r="W192" s="32" t="n">
        <f>57281</f>
        <v>57281.0</v>
      </c>
      <c r="X192" s="36" t="n">
        <f>19</f>
        <v>19.0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594</v>
      </c>
      <c r="J193" s="32" t="n">
        <v>1.0</v>
      </c>
      <c r="K193" s="33" t="n">
        <f>16115</f>
        <v>16115.0</v>
      </c>
      <c r="L193" s="34" t="s">
        <v>48</v>
      </c>
      <c r="M193" s="33" t="n">
        <f>16965</f>
        <v>16965.0</v>
      </c>
      <c r="N193" s="34" t="s">
        <v>76</v>
      </c>
      <c r="O193" s="33" t="n">
        <f>15910</f>
        <v>15910.0</v>
      </c>
      <c r="P193" s="34" t="s">
        <v>48</v>
      </c>
      <c r="Q193" s="33" t="n">
        <f>16745</f>
        <v>16745.0</v>
      </c>
      <c r="R193" s="34" t="s">
        <v>49</v>
      </c>
      <c r="S193" s="35" t="n">
        <f>16309.69</f>
        <v>16309.69</v>
      </c>
      <c r="T193" s="32" t="n">
        <f>409</f>
        <v>409.0</v>
      </c>
      <c r="U193" s="32" t="str">
        <f>"－"</f>
        <v>－</v>
      </c>
      <c r="V193" s="32" t="n">
        <f>6736960</f>
        <v>6736960.0</v>
      </c>
      <c r="W193" s="32" t="str">
        <f>"－"</f>
        <v>－</v>
      </c>
      <c r="X193" s="36" t="n">
        <f>16</f>
        <v>16.0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594</v>
      </c>
      <c r="J194" s="32" t="n">
        <v>1.0</v>
      </c>
      <c r="K194" s="33" t="n">
        <f>22480</f>
        <v>22480.0</v>
      </c>
      <c r="L194" s="34" t="s">
        <v>48</v>
      </c>
      <c r="M194" s="33" t="n">
        <f>23330</f>
        <v>23330.0</v>
      </c>
      <c r="N194" s="34" t="s">
        <v>65</v>
      </c>
      <c r="O194" s="33" t="n">
        <f>21950</f>
        <v>21950.0</v>
      </c>
      <c r="P194" s="34" t="s">
        <v>113</v>
      </c>
      <c r="Q194" s="33" t="n">
        <f>22550</f>
        <v>22550.0</v>
      </c>
      <c r="R194" s="34" t="s">
        <v>49</v>
      </c>
      <c r="S194" s="35" t="n">
        <f>22645.53</f>
        <v>22645.53</v>
      </c>
      <c r="T194" s="32" t="n">
        <f>22384</f>
        <v>22384.0</v>
      </c>
      <c r="U194" s="32" t="n">
        <f>1801</f>
        <v>1801.0</v>
      </c>
      <c r="V194" s="32" t="n">
        <f>507255210</f>
        <v>5.0725521E8</v>
      </c>
      <c r="W194" s="32" t="n">
        <f>40841705</f>
        <v>4.0841705E7</v>
      </c>
      <c r="X194" s="36" t="n">
        <f>19</f>
        <v>19.0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594</v>
      </c>
      <c r="J195" s="32" t="n">
        <v>1.0</v>
      </c>
      <c r="K195" s="33" t="n">
        <f>14805</f>
        <v>14805.0</v>
      </c>
      <c r="L195" s="34" t="s">
        <v>48</v>
      </c>
      <c r="M195" s="33" t="n">
        <f>16150</f>
        <v>16150.0</v>
      </c>
      <c r="N195" s="34" t="s">
        <v>76</v>
      </c>
      <c r="O195" s="33" t="n">
        <f>14440</f>
        <v>14440.0</v>
      </c>
      <c r="P195" s="34" t="s">
        <v>48</v>
      </c>
      <c r="Q195" s="33" t="n">
        <f>15785</f>
        <v>15785.0</v>
      </c>
      <c r="R195" s="34" t="s">
        <v>49</v>
      </c>
      <c r="S195" s="35" t="n">
        <f>14987.19</f>
        <v>14987.19</v>
      </c>
      <c r="T195" s="32" t="n">
        <f>280</f>
        <v>280.0</v>
      </c>
      <c r="U195" s="32" t="str">
        <f>"－"</f>
        <v>－</v>
      </c>
      <c r="V195" s="32" t="n">
        <f>4195250</f>
        <v>4195250.0</v>
      </c>
      <c r="W195" s="32" t="str">
        <f>"－"</f>
        <v>－</v>
      </c>
      <c r="X195" s="36" t="n">
        <f>16</f>
        <v>16.0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594</v>
      </c>
      <c r="J196" s="32" t="n">
        <v>1.0</v>
      </c>
      <c r="K196" s="33" t="n">
        <f>18970</f>
        <v>18970.0</v>
      </c>
      <c r="L196" s="34" t="s">
        <v>48</v>
      </c>
      <c r="M196" s="33" t="n">
        <f>18995</f>
        <v>18995.0</v>
      </c>
      <c r="N196" s="34" t="s">
        <v>64</v>
      </c>
      <c r="O196" s="33" t="n">
        <f>17400</f>
        <v>17400.0</v>
      </c>
      <c r="P196" s="34" t="s">
        <v>76</v>
      </c>
      <c r="Q196" s="33" t="n">
        <f>17695</f>
        <v>17695.0</v>
      </c>
      <c r="R196" s="34" t="s">
        <v>49</v>
      </c>
      <c r="S196" s="35" t="n">
        <f>18430.79</f>
        <v>18430.79</v>
      </c>
      <c r="T196" s="32" t="n">
        <f>42757</f>
        <v>42757.0</v>
      </c>
      <c r="U196" s="32" t="n">
        <f>2</f>
        <v>2.0</v>
      </c>
      <c r="V196" s="32" t="n">
        <f>785064535</f>
        <v>7.85064535E8</v>
      </c>
      <c r="W196" s="32" t="n">
        <f>36340</f>
        <v>36340.0</v>
      </c>
      <c r="X196" s="36" t="n">
        <f>19</f>
        <v>19.0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594</v>
      </c>
      <c r="J197" s="32" t="n">
        <v>1.0</v>
      </c>
      <c r="K197" s="33" t="n">
        <f>4010</f>
        <v>4010.0</v>
      </c>
      <c r="L197" s="34" t="s">
        <v>48</v>
      </c>
      <c r="M197" s="33" t="n">
        <f>4200</f>
        <v>4200.0</v>
      </c>
      <c r="N197" s="34" t="s">
        <v>76</v>
      </c>
      <c r="O197" s="33" t="n">
        <f>3960</f>
        <v>3960.0</v>
      </c>
      <c r="P197" s="34" t="s">
        <v>399</v>
      </c>
      <c r="Q197" s="33" t="n">
        <f>4180</f>
        <v>4180.0</v>
      </c>
      <c r="R197" s="34" t="s">
        <v>49</v>
      </c>
      <c r="S197" s="35" t="n">
        <f>4078.82</f>
        <v>4078.82</v>
      </c>
      <c r="T197" s="32" t="n">
        <f>5683</f>
        <v>5683.0</v>
      </c>
      <c r="U197" s="32" t="str">
        <f>"－"</f>
        <v>－</v>
      </c>
      <c r="V197" s="32" t="n">
        <f>23152575</f>
        <v>2.3152575E7</v>
      </c>
      <c r="W197" s="32" t="str">
        <f>"－"</f>
        <v>－</v>
      </c>
      <c r="X197" s="36" t="n">
        <f>17</f>
        <v>17.0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594</v>
      </c>
      <c r="J198" s="32" t="n">
        <v>1.0</v>
      </c>
      <c r="K198" s="33" t="n">
        <f>14875</f>
        <v>14875.0</v>
      </c>
      <c r="L198" s="34" t="s">
        <v>48</v>
      </c>
      <c r="M198" s="33" t="n">
        <f>15785</f>
        <v>15785.0</v>
      </c>
      <c r="N198" s="34" t="s">
        <v>49</v>
      </c>
      <c r="O198" s="33" t="n">
        <f>14610</f>
        <v>14610.0</v>
      </c>
      <c r="P198" s="34" t="s">
        <v>80</v>
      </c>
      <c r="Q198" s="33" t="n">
        <f>15535</f>
        <v>15535.0</v>
      </c>
      <c r="R198" s="34" t="s">
        <v>49</v>
      </c>
      <c r="S198" s="35" t="n">
        <f>15256.07</f>
        <v>15256.07</v>
      </c>
      <c r="T198" s="32" t="n">
        <f>366</f>
        <v>366.0</v>
      </c>
      <c r="U198" s="32" t="str">
        <f>"－"</f>
        <v>－</v>
      </c>
      <c r="V198" s="32" t="n">
        <f>5511515</f>
        <v>5511515.0</v>
      </c>
      <c r="W198" s="32" t="str">
        <f>"－"</f>
        <v>－</v>
      </c>
      <c r="X198" s="36" t="n">
        <f>14</f>
        <v>14.0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594</v>
      </c>
      <c r="J199" s="32" t="n">
        <v>1.0</v>
      </c>
      <c r="K199" s="33" t="n">
        <f>12590</f>
        <v>12590.0</v>
      </c>
      <c r="L199" s="34" t="s">
        <v>56</v>
      </c>
      <c r="M199" s="33" t="n">
        <f>13045</f>
        <v>13045.0</v>
      </c>
      <c r="N199" s="34" t="s">
        <v>60</v>
      </c>
      <c r="O199" s="33" t="n">
        <f>12500</f>
        <v>12500.0</v>
      </c>
      <c r="P199" s="34" t="s">
        <v>80</v>
      </c>
      <c r="Q199" s="33" t="n">
        <f>13020</f>
        <v>13020.0</v>
      </c>
      <c r="R199" s="34" t="s">
        <v>60</v>
      </c>
      <c r="S199" s="35" t="n">
        <f>12694.38</f>
        <v>12694.38</v>
      </c>
      <c r="T199" s="32" t="n">
        <f>151</f>
        <v>151.0</v>
      </c>
      <c r="U199" s="32" t="str">
        <f>"－"</f>
        <v>－</v>
      </c>
      <c r="V199" s="32" t="n">
        <f>1957060</f>
        <v>1957060.0</v>
      </c>
      <c r="W199" s="32" t="str">
        <f>"－"</f>
        <v>－</v>
      </c>
      <c r="X199" s="36" t="n">
        <f>8</f>
        <v>8.0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594</v>
      </c>
      <c r="J200" s="32" t="n">
        <v>1.0</v>
      </c>
      <c r="K200" s="33" t="n">
        <f>17800</f>
        <v>17800.0</v>
      </c>
      <c r="L200" s="34" t="s">
        <v>48</v>
      </c>
      <c r="M200" s="33" t="n">
        <f>18140</f>
        <v>18140.0</v>
      </c>
      <c r="N200" s="34" t="s">
        <v>60</v>
      </c>
      <c r="O200" s="33" t="n">
        <f>17135</f>
        <v>17135.0</v>
      </c>
      <c r="P200" s="34" t="s">
        <v>80</v>
      </c>
      <c r="Q200" s="33" t="n">
        <f>18140</f>
        <v>18140.0</v>
      </c>
      <c r="R200" s="34" t="s">
        <v>60</v>
      </c>
      <c r="S200" s="35" t="n">
        <f>17804.55</f>
        <v>17804.55</v>
      </c>
      <c r="T200" s="32" t="n">
        <f>8678</f>
        <v>8678.0</v>
      </c>
      <c r="U200" s="32" t="str">
        <f>"－"</f>
        <v>－</v>
      </c>
      <c r="V200" s="32" t="n">
        <f>155266990</f>
        <v>1.5526699E8</v>
      </c>
      <c r="W200" s="32" t="str">
        <f>"－"</f>
        <v>－</v>
      </c>
      <c r="X200" s="36" t="n">
        <f>11</f>
        <v>11.0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594</v>
      </c>
      <c r="J201" s="32" t="n">
        <v>1.0</v>
      </c>
      <c r="K201" s="33" t="n">
        <f>16010</f>
        <v>16010.0</v>
      </c>
      <c r="L201" s="34" t="s">
        <v>48</v>
      </c>
      <c r="M201" s="33" t="n">
        <f>16010</f>
        <v>16010.0</v>
      </c>
      <c r="N201" s="34" t="s">
        <v>48</v>
      </c>
      <c r="O201" s="33" t="n">
        <f>14815</f>
        <v>14815.0</v>
      </c>
      <c r="P201" s="34" t="s">
        <v>113</v>
      </c>
      <c r="Q201" s="33" t="n">
        <f>14815</f>
        <v>14815.0</v>
      </c>
      <c r="R201" s="34" t="s">
        <v>113</v>
      </c>
      <c r="S201" s="35" t="n">
        <f>15491.67</f>
        <v>15491.67</v>
      </c>
      <c r="T201" s="32" t="n">
        <f>55</f>
        <v>55.0</v>
      </c>
      <c r="U201" s="32" t="str">
        <f>"－"</f>
        <v>－</v>
      </c>
      <c r="V201" s="32" t="n">
        <f>875410</f>
        <v>875410.0</v>
      </c>
      <c r="W201" s="32" t="str">
        <f>"－"</f>
        <v>－</v>
      </c>
      <c r="X201" s="36" t="n">
        <f>3</f>
        <v>3.0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594</v>
      </c>
      <c r="J202" s="32" t="n">
        <v>1.0</v>
      </c>
      <c r="K202" s="33" t="n">
        <f>12625</f>
        <v>12625.0</v>
      </c>
      <c r="L202" s="34" t="s">
        <v>70</v>
      </c>
      <c r="M202" s="33" t="n">
        <f>13280</f>
        <v>13280.0</v>
      </c>
      <c r="N202" s="34" t="s">
        <v>96</v>
      </c>
      <c r="O202" s="33" t="n">
        <f>12510</f>
        <v>12510.0</v>
      </c>
      <c r="P202" s="34" t="s">
        <v>399</v>
      </c>
      <c r="Q202" s="33" t="n">
        <f>13245</f>
        <v>13245.0</v>
      </c>
      <c r="R202" s="34" t="s">
        <v>49</v>
      </c>
      <c r="S202" s="35" t="n">
        <f>12920</f>
        <v>12920.0</v>
      </c>
      <c r="T202" s="32" t="n">
        <f>660</f>
        <v>660.0</v>
      </c>
      <c r="U202" s="32" t="str">
        <f>"－"</f>
        <v>－</v>
      </c>
      <c r="V202" s="32" t="n">
        <f>8529800</f>
        <v>8529800.0</v>
      </c>
      <c r="W202" s="32" t="str">
        <f>"－"</f>
        <v>－</v>
      </c>
      <c r="X202" s="36" t="n">
        <f>9</f>
        <v>9.0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594</v>
      </c>
      <c r="J203" s="32" t="n">
        <v>1.0</v>
      </c>
      <c r="K203" s="33" t="n">
        <f>15695</f>
        <v>15695.0</v>
      </c>
      <c r="L203" s="34" t="s">
        <v>100</v>
      </c>
      <c r="M203" s="33" t="n">
        <f>15700</f>
        <v>15700.0</v>
      </c>
      <c r="N203" s="34" t="s">
        <v>100</v>
      </c>
      <c r="O203" s="33" t="n">
        <f>15695</f>
        <v>15695.0</v>
      </c>
      <c r="P203" s="34" t="s">
        <v>100</v>
      </c>
      <c r="Q203" s="33" t="n">
        <f>15700</f>
        <v>15700.0</v>
      </c>
      <c r="R203" s="34" t="s">
        <v>100</v>
      </c>
      <c r="S203" s="35" t="n">
        <f>15700</f>
        <v>15700.0</v>
      </c>
      <c r="T203" s="32" t="n">
        <f>7</f>
        <v>7.0</v>
      </c>
      <c r="U203" s="32" t="str">
        <f>"－"</f>
        <v>－</v>
      </c>
      <c r="V203" s="32" t="n">
        <f>109870</f>
        <v>109870.0</v>
      </c>
      <c r="W203" s="32" t="str">
        <f>"－"</f>
        <v>－</v>
      </c>
      <c r="X203" s="36" t="n">
        <f>1</f>
        <v>1.0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594</v>
      </c>
      <c r="J204" s="32" t="n">
        <v>1.0</v>
      </c>
      <c r="K204" s="33" t="str">
        <f>"－"</f>
        <v>－</v>
      </c>
      <c r="L204" s="34"/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5" t="str">
        <f>"－"</f>
        <v>－</v>
      </c>
      <c r="T204" s="32" t="str">
        <f>"－"</f>
        <v>－</v>
      </c>
      <c r="U204" s="32" t="str">
        <f>"－"</f>
        <v>－</v>
      </c>
      <c r="V204" s="32" t="str">
        <f>"－"</f>
        <v>－</v>
      </c>
      <c r="W204" s="32" t="str">
        <f>"－"</f>
        <v>－</v>
      </c>
      <c r="X204" s="36" t="str">
        <f>"－"</f>
        <v>－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594</v>
      </c>
      <c r="J205" s="32" t="n">
        <v>1.0</v>
      </c>
      <c r="K205" s="33" t="n">
        <f>9197</f>
        <v>9197.0</v>
      </c>
      <c r="L205" s="34" t="s">
        <v>70</v>
      </c>
      <c r="M205" s="33" t="n">
        <f>9597</f>
        <v>9597.0</v>
      </c>
      <c r="N205" s="34" t="s">
        <v>100</v>
      </c>
      <c r="O205" s="33" t="n">
        <f>9197</f>
        <v>9197.0</v>
      </c>
      <c r="P205" s="34" t="s">
        <v>70</v>
      </c>
      <c r="Q205" s="33" t="n">
        <f>9496</f>
        <v>9496.0</v>
      </c>
      <c r="R205" s="34" t="s">
        <v>96</v>
      </c>
      <c r="S205" s="35" t="n">
        <f>9341</f>
        <v>9341.0</v>
      </c>
      <c r="T205" s="32" t="n">
        <f>760</f>
        <v>760.0</v>
      </c>
      <c r="U205" s="32" t="str">
        <f>"－"</f>
        <v>－</v>
      </c>
      <c r="V205" s="32" t="n">
        <f>7154290</f>
        <v>7154290.0</v>
      </c>
      <c r="W205" s="32" t="str">
        <f>"－"</f>
        <v>－</v>
      </c>
      <c r="X205" s="36" t="n">
        <f>7</f>
        <v>7.0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594</v>
      </c>
      <c r="J206" s="32" t="n">
        <v>1.0</v>
      </c>
      <c r="K206" s="33" t="n">
        <f>9647</f>
        <v>9647.0</v>
      </c>
      <c r="L206" s="34" t="s">
        <v>48</v>
      </c>
      <c r="M206" s="33" t="n">
        <f>10200</f>
        <v>10200.0</v>
      </c>
      <c r="N206" s="34" t="s">
        <v>60</v>
      </c>
      <c r="O206" s="33" t="n">
        <f>9533</f>
        <v>9533.0</v>
      </c>
      <c r="P206" s="34" t="s">
        <v>399</v>
      </c>
      <c r="Q206" s="33" t="n">
        <f>10125</f>
        <v>10125.0</v>
      </c>
      <c r="R206" s="34" t="s">
        <v>49</v>
      </c>
      <c r="S206" s="35" t="n">
        <f>9884.88</f>
        <v>9884.88</v>
      </c>
      <c r="T206" s="32" t="n">
        <f>9817</f>
        <v>9817.0</v>
      </c>
      <c r="U206" s="32" t="str">
        <f>"－"</f>
        <v>－</v>
      </c>
      <c r="V206" s="32" t="n">
        <f>97838992</f>
        <v>9.7838992E7</v>
      </c>
      <c r="W206" s="32" t="str">
        <f>"－"</f>
        <v>－</v>
      </c>
      <c r="X206" s="36" t="n">
        <f>17</f>
        <v>17.0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594</v>
      </c>
      <c r="J207" s="32" t="n">
        <v>1.0</v>
      </c>
      <c r="K207" s="33" t="n">
        <f>9891</f>
        <v>9891.0</v>
      </c>
      <c r="L207" s="34" t="s">
        <v>113</v>
      </c>
      <c r="M207" s="33" t="n">
        <f>10230</f>
        <v>10230.0</v>
      </c>
      <c r="N207" s="34" t="s">
        <v>49</v>
      </c>
      <c r="O207" s="33" t="n">
        <f>9891</f>
        <v>9891.0</v>
      </c>
      <c r="P207" s="34" t="s">
        <v>113</v>
      </c>
      <c r="Q207" s="33" t="n">
        <f>10230</f>
        <v>10230.0</v>
      </c>
      <c r="R207" s="34" t="s">
        <v>49</v>
      </c>
      <c r="S207" s="35" t="n">
        <f>10108</f>
        <v>10108.0</v>
      </c>
      <c r="T207" s="32" t="n">
        <f>3879</f>
        <v>3879.0</v>
      </c>
      <c r="U207" s="32" t="str">
        <f>"－"</f>
        <v>－</v>
      </c>
      <c r="V207" s="32" t="n">
        <f>39351770</f>
        <v>3.935177E7</v>
      </c>
      <c r="W207" s="32" t="str">
        <f>"－"</f>
        <v>－</v>
      </c>
      <c r="X207" s="36" t="n">
        <f>7</f>
        <v>7.0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594</v>
      </c>
      <c r="J208" s="32" t="n">
        <v>1.0</v>
      </c>
      <c r="K208" s="33" t="str">
        <f>"－"</f>
        <v>－</v>
      </c>
      <c r="L208" s="34"/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5" t="str">
        <f>"－"</f>
        <v>－</v>
      </c>
      <c r="T208" s="32" t="str">
        <f>"－"</f>
        <v>－</v>
      </c>
      <c r="U208" s="32" t="str">
        <f>"－"</f>
        <v>－</v>
      </c>
      <c r="V208" s="32" t="str">
        <f>"－"</f>
        <v>－</v>
      </c>
      <c r="W208" s="32" t="str">
        <f>"－"</f>
        <v>－</v>
      </c>
      <c r="X208" s="36" t="str">
        <f>"－"</f>
        <v>－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10.0</v>
      </c>
      <c r="K209" s="33" t="n">
        <f>1884.5</f>
        <v>1884.5</v>
      </c>
      <c r="L209" s="34" t="s">
        <v>48</v>
      </c>
      <c r="M209" s="33" t="n">
        <f>1952.5</f>
        <v>1952.5</v>
      </c>
      <c r="N209" s="34" t="s">
        <v>224</v>
      </c>
      <c r="O209" s="33" t="n">
        <f>1839.5</f>
        <v>1839.5</v>
      </c>
      <c r="P209" s="34" t="s">
        <v>113</v>
      </c>
      <c r="Q209" s="33" t="n">
        <f>1900</f>
        <v>1900.0</v>
      </c>
      <c r="R209" s="34" t="s">
        <v>49</v>
      </c>
      <c r="S209" s="35" t="n">
        <f>1900.13</f>
        <v>1900.13</v>
      </c>
      <c r="T209" s="32" t="n">
        <f>55210</f>
        <v>55210.0</v>
      </c>
      <c r="U209" s="32" t="str">
        <f>"－"</f>
        <v>－</v>
      </c>
      <c r="V209" s="32" t="n">
        <f>105035310</f>
        <v>1.0503531E8</v>
      </c>
      <c r="W209" s="32" t="str">
        <f>"－"</f>
        <v>－</v>
      </c>
      <c r="X209" s="36" t="n">
        <f>19</f>
        <v>19.0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679</v>
      </c>
      <c r="F210" s="29" t="s">
        <v>680</v>
      </c>
      <c r="G210" s="30" t="s">
        <v>681</v>
      </c>
      <c r="H210" s="31"/>
      <c r="I210" s="31" t="s">
        <v>47</v>
      </c>
      <c r="J210" s="32" t="n">
        <v>1.0</v>
      </c>
      <c r="K210" s="33" t="n">
        <f>993</f>
        <v>993.0</v>
      </c>
      <c r="L210" s="34" t="s">
        <v>440</v>
      </c>
      <c r="M210" s="33" t="n">
        <f>1009</f>
        <v>1009.0</v>
      </c>
      <c r="N210" s="34" t="s">
        <v>224</v>
      </c>
      <c r="O210" s="33" t="n">
        <f>943</f>
        <v>943.0</v>
      </c>
      <c r="P210" s="34" t="s">
        <v>113</v>
      </c>
      <c r="Q210" s="33" t="n">
        <f>967</f>
        <v>967.0</v>
      </c>
      <c r="R210" s="34" t="s">
        <v>49</v>
      </c>
      <c r="S210" s="35" t="n">
        <f>972.54</f>
        <v>972.54</v>
      </c>
      <c r="T210" s="32" t="n">
        <f>949109</f>
        <v>949109.0</v>
      </c>
      <c r="U210" s="32" t="n">
        <f>29</f>
        <v>29.0</v>
      </c>
      <c r="V210" s="32" t="n">
        <f>924279578</f>
        <v>9.24279578E8</v>
      </c>
      <c r="W210" s="32" t="n">
        <f>26065</f>
        <v>26065.0</v>
      </c>
      <c r="X210" s="36" t="n">
        <f>13</f>
        <v>13.0</v>
      </c>
    </row>
    <row r="211">
      <c r="A211" s="27" t="s">
        <v>42</v>
      </c>
      <c r="B211" s="27" t="s">
        <v>682</v>
      </c>
      <c r="C211" s="27" t="s">
        <v>683</v>
      </c>
      <c r="D211" s="27" t="s">
        <v>684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936.3</f>
        <v>936.3</v>
      </c>
      <c r="L211" s="34" t="s">
        <v>48</v>
      </c>
      <c r="M211" s="33" t="n">
        <f>950.1</f>
        <v>950.1</v>
      </c>
      <c r="N211" s="34" t="s">
        <v>160</v>
      </c>
      <c r="O211" s="33" t="n">
        <f>924</f>
        <v>924.0</v>
      </c>
      <c r="P211" s="34" t="s">
        <v>80</v>
      </c>
      <c r="Q211" s="33" t="n">
        <f>932.1</f>
        <v>932.1</v>
      </c>
      <c r="R211" s="34" t="s">
        <v>49</v>
      </c>
      <c r="S211" s="35" t="n">
        <f>934.3</f>
        <v>934.3</v>
      </c>
      <c r="T211" s="32" t="n">
        <f>2173420</f>
        <v>2173420.0</v>
      </c>
      <c r="U211" s="32" t="n">
        <f>1134970</f>
        <v>1134970.0</v>
      </c>
      <c r="V211" s="32" t="n">
        <f>2033558013</f>
        <v>2.033558013E9</v>
      </c>
      <c r="W211" s="32" t="n">
        <f>1062023872</f>
        <v>1.062023872E9</v>
      </c>
      <c r="X211" s="36" t="n">
        <f>19</f>
        <v>19.0</v>
      </c>
    </row>
    <row r="212">
      <c r="A212" s="27" t="s">
        <v>42</v>
      </c>
      <c r="B212" s="27" t="s">
        <v>685</v>
      </c>
      <c r="C212" s="27" t="s">
        <v>686</v>
      </c>
      <c r="D212" s="27" t="s">
        <v>687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970</f>
        <v>970.0</v>
      </c>
      <c r="L212" s="34" t="s">
        <v>48</v>
      </c>
      <c r="M212" s="33" t="n">
        <f>974</f>
        <v>974.0</v>
      </c>
      <c r="N212" s="34" t="s">
        <v>160</v>
      </c>
      <c r="O212" s="33" t="n">
        <f>941.5</f>
        <v>941.5</v>
      </c>
      <c r="P212" s="34" t="s">
        <v>48</v>
      </c>
      <c r="Q212" s="33" t="n">
        <f>959.2</f>
        <v>959.2</v>
      </c>
      <c r="R212" s="34" t="s">
        <v>49</v>
      </c>
      <c r="S212" s="35" t="n">
        <f>961.52</f>
        <v>961.52</v>
      </c>
      <c r="T212" s="32" t="n">
        <f>1038120</f>
        <v>1038120.0</v>
      </c>
      <c r="U212" s="32" t="n">
        <f>234890</f>
        <v>234890.0</v>
      </c>
      <c r="V212" s="32" t="n">
        <f>996793534</f>
        <v>9.96793534E8</v>
      </c>
      <c r="W212" s="32" t="n">
        <f>226122949</f>
        <v>2.26122949E8</v>
      </c>
      <c r="X212" s="36" t="n">
        <f>19</f>
        <v>19.0</v>
      </c>
    </row>
    <row r="213">
      <c r="A213" s="27" t="s">
        <v>42</v>
      </c>
      <c r="B213" s="27" t="s">
        <v>688</v>
      </c>
      <c r="C213" s="27" t="s">
        <v>689</v>
      </c>
      <c r="D213" s="27" t="s">
        <v>690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833.5</f>
        <v>833.5</v>
      </c>
      <c r="L213" s="34" t="s">
        <v>48</v>
      </c>
      <c r="M213" s="33" t="n">
        <f>861</f>
        <v>861.0</v>
      </c>
      <c r="N213" s="34" t="s">
        <v>224</v>
      </c>
      <c r="O213" s="33" t="n">
        <f>833.5</f>
        <v>833.5</v>
      </c>
      <c r="P213" s="34" t="s">
        <v>48</v>
      </c>
      <c r="Q213" s="33" t="n">
        <f>846.1</f>
        <v>846.1</v>
      </c>
      <c r="R213" s="34" t="s">
        <v>49</v>
      </c>
      <c r="S213" s="35" t="n">
        <f>848.22</f>
        <v>848.22</v>
      </c>
      <c r="T213" s="32" t="n">
        <f>1750080</f>
        <v>1750080.0</v>
      </c>
      <c r="U213" s="32" t="n">
        <f>1223270</f>
        <v>1223270.0</v>
      </c>
      <c r="V213" s="32" t="n">
        <f>1488924511</f>
        <v>1.488924511E9</v>
      </c>
      <c r="W213" s="32" t="n">
        <f>1039283324</f>
        <v>1.039283324E9</v>
      </c>
      <c r="X213" s="36" t="n">
        <f>19</f>
        <v>19.0</v>
      </c>
    </row>
    <row r="214">
      <c r="A214" s="27" t="s">
        <v>42</v>
      </c>
      <c r="B214" s="27" t="s">
        <v>691</v>
      </c>
      <c r="C214" s="27" t="s">
        <v>692</v>
      </c>
      <c r="D214" s="27" t="s">
        <v>693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1559.5</f>
        <v>1559.5</v>
      </c>
      <c r="L214" s="34" t="s">
        <v>48</v>
      </c>
      <c r="M214" s="33" t="n">
        <f>1652</f>
        <v>1652.0</v>
      </c>
      <c r="N214" s="34" t="s">
        <v>76</v>
      </c>
      <c r="O214" s="33" t="n">
        <f>1551</f>
        <v>1551.0</v>
      </c>
      <c r="P214" s="34" t="s">
        <v>48</v>
      </c>
      <c r="Q214" s="33" t="n">
        <f>1635</f>
        <v>1635.0</v>
      </c>
      <c r="R214" s="34" t="s">
        <v>49</v>
      </c>
      <c r="S214" s="35" t="n">
        <f>1612.42</f>
        <v>1612.42</v>
      </c>
      <c r="T214" s="32" t="n">
        <f>934990</f>
        <v>934990.0</v>
      </c>
      <c r="U214" s="32" t="n">
        <f>702720</f>
        <v>702720.0</v>
      </c>
      <c r="V214" s="32" t="n">
        <f>1516009640</f>
        <v>1.51600964E9</v>
      </c>
      <c r="W214" s="32" t="n">
        <f>1142897105</f>
        <v>1.142897105E9</v>
      </c>
      <c r="X214" s="36" t="n">
        <f>19</f>
        <v>19.0</v>
      </c>
    </row>
    <row r="215">
      <c r="A215" s="27" t="s">
        <v>42</v>
      </c>
      <c r="B215" s="27" t="s">
        <v>694</v>
      </c>
      <c r="C215" s="27" t="s">
        <v>695</v>
      </c>
      <c r="D215" s="27" t="s">
        <v>696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1276</f>
        <v>1276.0</v>
      </c>
      <c r="L215" s="34" t="s">
        <v>48</v>
      </c>
      <c r="M215" s="33" t="n">
        <f>1360</f>
        <v>1360.0</v>
      </c>
      <c r="N215" s="34" t="s">
        <v>64</v>
      </c>
      <c r="O215" s="33" t="n">
        <f>1276</f>
        <v>1276.0</v>
      </c>
      <c r="P215" s="34" t="s">
        <v>48</v>
      </c>
      <c r="Q215" s="33" t="n">
        <f>1336.5</f>
        <v>1336.5</v>
      </c>
      <c r="R215" s="34" t="s">
        <v>49</v>
      </c>
      <c r="S215" s="35" t="n">
        <f>1323.53</f>
        <v>1323.53</v>
      </c>
      <c r="T215" s="32" t="n">
        <f>452750</f>
        <v>452750.0</v>
      </c>
      <c r="U215" s="32" t="n">
        <f>165410</f>
        <v>165410.0</v>
      </c>
      <c r="V215" s="32" t="n">
        <f>602233454</f>
        <v>6.02233454E8</v>
      </c>
      <c r="W215" s="32" t="n">
        <f>221632079</f>
        <v>2.21632079E8</v>
      </c>
      <c r="X215" s="36" t="n">
        <f>19</f>
        <v>19.0</v>
      </c>
    </row>
    <row r="216">
      <c r="A216" s="27" t="s">
        <v>42</v>
      </c>
      <c r="B216" s="27" t="s">
        <v>697</v>
      </c>
      <c r="C216" s="27" t="s">
        <v>698</v>
      </c>
      <c r="D216" s="27" t="s">
        <v>699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1105.5</f>
        <v>1105.5</v>
      </c>
      <c r="L216" s="34" t="s">
        <v>48</v>
      </c>
      <c r="M216" s="33" t="n">
        <f>1203.5</f>
        <v>1203.5</v>
      </c>
      <c r="N216" s="34" t="s">
        <v>76</v>
      </c>
      <c r="O216" s="33" t="n">
        <f>1100</f>
        <v>1100.0</v>
      </c>
      <c r="P216" s="34" t="s">
        <v>48</v>
      </c>
      <c r="Q216" s="33" t="n">
        <f>1192.5</f>
        <v>1192.5</v>
      </c>
      <c r="R216" s="34" t="s">
        <v>49</v>
      </c>
      <c r="S216" s="35" t="n">
        <f>1157.58</f>
        <v>1157.58</v>
      </c>
      <c r="T216" s="32" t="n">
        <f>599890</f>
        <v>599890.0</v>
      </c>
      <c r="U216" s="32" t="n">
        <f>356140</f>
        <v>356140.0</v>
      </c>
      <c r="V216" s="32" t="n">
        <f>704413470</f>
        <v>7.0441347E8</v>
      </c>
      <c r="W216" s="32" t="n">
        <f>424265640</f>
        <v>4.2426564E8</v>
      </c>
      <c r="X216" s="36" t="n">
        <f>19</f>
        <v>19.0</v>
      </c>
    </row>
    <row r="217">
      <c r="A217" s="27" t="s">
        <v>42</v>
      </c>
      <c r="B217" s="27" t="s">
        <v>700</v>
      </c>
      <c r="C217" s="27" t="s">
        <v>701</v>
      </c>
      <c r="D217" s="27" t="s">
        <v>702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557.4</f>
        <v>557.4</v>
      </c>
      <c r="L217" s="34" t="s">
        <v>48</v>
      </c>
      <c r="M217" s="33" t="n">
        <f>604.7</f>
        <v>604.7</v>
      </c>
      <c r="N217" s="34" t="s">
        <v>60</v>
      </c>
      <c r="O217" s="33" t="n">
        <f>545.7</f>
        <v>545.7</v>
      </c>
      <c r="P217" s="34" t="s">
        <v>56</v>
      </c>
      <c r="Q217" s="33" t="n">
        <f>596.9</f>
        <v>596.9</v>
      </c>
      <c r="R217" s="34" t="s">
        <v>49</v>
      </c>
      <c r="S217" s="35" t="n">
        <f>576.81</f>
        <v>576.81</v>
      </c>
      <c r="T217" s="32" t="n">
        <f>23788330</f>
        <v>2.378833E7</v>
      </c>
      <c r="U217" s="32" t="n">
        <f>70770</f>
        <v>70770.0</v>
      </c>
      <c r="V217" s="32" t="n">
        <f>13706152003</f>
        <v>1.3706152003E10</v>
      </c>
      <c r="W217" s="32" t="n">
        <f>40521518</f>
        <v>4.0521518E7</v>
      </c>
      <c r="X217" s="36" t="n">
        <f>19</f>
        <v>19.0</v>
      </c>
    </row>
    <row r="218">
      <c r="A218" s="27" t="s">
        <v>42</v>
      </c>
      <c r="B218" s="27" t="s">
        <v>703</v>
      </c>
      <c r="C218" s="27" t="s">
        <v>704</v>
      </c>
      <c r="D218" s="27" t="s">
        <v>705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1129</f>
        <v>1129.0</v>
      </c>
      <c r="L218" s="34" t="s">
        <v>48</v>
      </c>
      <c r="M218" s="33" t="n">
        <f>1129</f>
        <v>1129.0</v>
      </c>
      <c r="N218" s="34" t="s">
        <v>48</v>
      </c>
      <c r="O218" s="33" t="n">
        <f>1065</f>
        <v>1065.0</v>
      </c>
      <c r="P218" s="34" t="s">
        <v>113</v>
      </c>
      <c r="Q218" s="33" t="n">
        <f>1100</f>
        <v>1100.0</v>
      </c>
      <c r="R218" s="34" t="s">
        <v>49</v>
      </c>
      <c r="S218" s="35" t="n">
        <f>1100.21</f>
        <v>1100.21</v>
      </c>
      <c r="T218" s="32" t="n">
        <f>1769490</f>
        <v>1769490.0</v>
      </c>
      <c r="U218" s="32" t="n">
        <f>710330</f>
        <v>710330.0</v>
      </c>
      <c r="V218" s="32" t="n">
        <f>1934946010</f>
        <v>1.93494601E9</v>
      </c>
      <c r="W218" s="32" t="n">
        <f>775247450</f>
        <v>7.7524745E8</v>
      </c>
      <c r="X218" s="36" t="n">
        <f>19</f>
        <v>19.0</v>
      </c>
    </row>
    <row r="219">
      <c r="A219" s="27" t="s">
        <v>42</v>
      </c>
      <c r="B219" s="27" t="s">
        <v>706</v>
      </c>
      <c r="C219" s="27" t="s">
        <v>707</v>
      </c>
      <c r="D219" s="27" t="s">
        <v>708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1034</f>
        <v>1034.0</v>
      </c>
      <c r="L219" s="34" t="s">
        <v>48</v>
      </c>
      <c r="M219" s="33" t="n">
        <f>1090</f>
        <v>1090.0</v>
      </c>
      <c r="N219" s="34" t="s">
        <v>60</v>
      </c>
      <c r="O219" s="33" t="n">
        <f>1025</f>
        <v>1025.0</v>
      </c>
      <c r="P219" s="34" t="s">
        <v>48</v>
      </c>
      <c r="Q219" s="33" t="n">
        <f>1078</f>
        <v>1078.0</v>
      </c>
      <c r="R219" s="34" t="s">
        <v>49</v>
      </c>
      <c r="S219" s="35" t="n">
        <f>1057.11</f>
        <v>1057.11</v>
      </c>
      <c r="T219" s="32" t="n">
        <f>190662</f>
        <v>190662.0</v>
      </c>
      <c r="U219" s="32" t="n">
        <f>2</f>
        <v>2.0</v>
      </c>
      <c r="V219" s="32" t="n">
        <f>201333267</f>
        <v>2.01333267E8</v>
      </c>
      <c r="W219" s="32" t="n">
        <f>2110</f>
        <v>2110.0</v>
      </c>
      <c r="X219" s="36" t="n">
        <f>19</f>
        <v>19.0</v>
      </c>
    </row>
    <row r="220">
      <c r="A220" s="27" t="s">
        <v>42</v>
      </c>
      <c r="B220" s="27" t="s">
        <v>709</v>
      </c>
      <c r="C220" s="27" t="s">
        <v>710</v>
      </c>
      <c r="D220" s="27" t="s">
        <v>711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898.9</f>
        <v>898.9</v>
      </c>
      <c r="L220" s="34" t="s">
        <v>48</v>
      </c>
      <c r="M220" s="33" t="n">
        <f>904.7</f>
        <v>904.7</v>
      </c>
      <c r="N220" s="34" t="s">
        <v>64</v>
      </c>
      <c r="O220" s="33" t="n">
        <f>878.3</f>
        <v>878.3</v>
      </c>
      <c r="P220" s="34" t="s">
        <v>56</v>
      </c>
      <c r="Q220" s="33" t="n">
        <f>900</f>
        <v>900.0</v>
      </c>
      <c r="R220" s="34" t="s">
        <v>49</v>
      </c>
      <c r="S220" s="35" t="n">
        <f>896.21</f>
        <v>896.21</v>
      </c>
      <c r="T220" s="32" t="n">
        <f>100230</f>
        <v>100230.0</v>
      </c>
      <c r="U220" s="32" t="n">
        <f>33910</f>
        <v>33910.0</v>
      </c>
      <c r="V220" s="32" t="n">
        <f>89606454</f>
        <v>8.9606454E7</v>
      </c>
      <c r="W220" s="32" t="n">
        <f>30417270</f>
        <v>3.041727E7</v>
      </c>
      <c r="X220" s="36" t="n">
        <f>19</f>
        <v>19.0</v>
      </c>
    </row>
    <row r="221">
      <c r="A221" s="27" t="s">
        <v>42</v>
      </c>
      <c r="B221" s="27" t="s">
        <v>712</v>
      </c>
      <c r="C221" s="27" t="s">
        <v>713</v>
      </c>
      <c r="D221" s="27" t="s">
        <v>714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1110</f>
        <v>1110.0</v>
      </c>
      <c r="L221" s="34" t="s">
        <v>48</v>
      </c>
      <c r="M221" s="33" t="n">
        <f>1210</f>
        <v>1210.0</v>
      </c>
      <c r="N221" s="34" t="s">
        <v>96</v>
      </c>
      <c r="O221" s="33" t="n">
        <f>1100</f>
        <v>1100.0</v>
      </c>
      <c r="P221" s="34" t="s">
        <v>56</v>
      </c>
      <c r="Q221" s="33" t="n">
        <f>1172.5</f>
        <v>1172.5</v>
      </c>
      <c r="R221" s="34" t="s">
        <v>49</v>
      </c>
      <c r="S221" s="35" t="n">
        <f>1170.87</f>
        <v>1170.87</v>
      </c>
      <c r="T221" s="32" t="n">
        <f>224010</f>
        <v>224010.0</v>
      </c>
      <c r="U221" s="32" t="n">
        <f>84360</f>
        <v>84360.0</v>
      </c>
      <c r="V221" s="32" t="n">
        <f>260891905</f>
        <v>2.60891905E8</v>
      </c>
      <c r="W221" s="32" t="n">
        <f>99297220</f>
        <v>9.929722E7</v>
      </c>
      <c r="X221" s="36" t="n">
        <f>19</f>
        <v>19.0</v>
      </c>
    </row>
    <row r="222">
      <c r="A222" s="27" t="s">
        <v>42</v>
      </c>
      <c r="B222" s="27" t="s">
        <v>715</v>
      </c>
      <c r="C222" s="27" t="s">
        <v>716</v>
      </c>
      <c r="D222" s="27" t="s">
        <v>717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1298</f>
        <v>1298.0</v>
      </c>
      <c r="L222" s="34" t="s">
        <v>48</v>
      </c>
      <c r="M222" s="33" t="n">
        <f>1359</f>
        <v>1359.0</v>
      </c>
      <c r="N222" s="34" t="s">
        <v>76</v>
      </c>
      <c r="O222" s="33" t="n">
        <f>1293</f>
        <v>1293.0</v>
      </c>
      <c r="P222" s="34" t="s">
        <v>56</v>
      </c>
      <c r="Q222" s="33" t="n">
        <f>1342</f>
        <v>1342.0</v>
      </c>
      <c r="R222" s="34" t="s">
        <v>49</v>
      </c>
      <c r="S222" s="35" t="n">
        <f>1332.55</f>
        <v>1332.55</v>
      </c>
      <c r="T222" s="32" t="n">
        <f>5531170</f>
        <v>5531170.0</v>
      </c>
      <c r="U222" s="32" t="n">
        <f>11540</f>
        <v>11540.0</v>
      </c>
      <c r="V222" s="32" t="n">
        <f>7399587649</f>
        <v>7.399587649E9</v>
      </c>
      <c r="W222" s="32" t="n">
        <f>15405164</f>
        <v>1.5405164E7</v>
      </c>
      <c r="X222" s="36" t="n">
        <f>19</f>
        <v>19.0</v>
      </c>
    </row>
    <row r="223">
      <c r="A223" s="27" t="s">
        <v>42</v>
      </c>
      <c r="B223" s="27" t="s">
        <v>718</v>
      </c>
      <c r="C223" s="27" t="s">
        <v>719</v>
      </c>
      <c r="D223" s="27" t="s">
        <v>720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3300</f>
        <v>3300.0</v>
      </c>
      <c r="L223" s="34" t="s">
        <v>48</v>
      </c>
      <c r="M223" s="33" t="n">
        <f>3660</f>
        <v>3660.0</v>
      </c>
      <c r="N223" s="34" t="s">
        <v>76</v>
      </c>
      <c r="O223" s="33" t="n">
        <f>3280</f>
        <v>3280.0</v>
      </c>
      <c r="P223" s="34" t="s">
        <v>48</v>
      </c>
      <c r="Q223" s="33" t="n">
        <f>3605</f>
        <v>3605.0</v>
      </c>
      <c r="R223" s="34" t="s">
        <v>49</v>
      </c>
      <c r="S223" s="35" t="n">
        <f>3505.79</f>
        <v>3505.79</v>
      </c>
      <c r="T223" s="32" t="n">
        <f>27188</f>
        <v>27188.0</v>
      </c>
      <c r="U223" s="32" t="str">
        <f>"－"</f>
        <v>－</v>
      </c>
      <c r="V223" s="32" t="n">
        <f>94449970</f>
        <v>9.444997E7</v>
      </c>
      <c r="W223" s="32" t="str">
        <f>"－"</f>
        <v>－</v>
      </c>
      <c r="X223" s="36" t="n">
        <f>19</f>
        <v>19.0</v>
      </c>
    </row>
    <row r="224">
      <c r="A224" s="27" t="s">
        <v>42</v>
      </c>
      <c r="B224" s="27" t="s">
        <v>721</v>
      </c>
      <c r="C224" s="27" t="s">
        <v>722</v>
      </c>
      <c r="D224" s="27" t="s">
        <v>723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1600</f>
        <v>1600.0</v>
      </c>
      <c r="L224" s="34" t="s">
        <v>70</v>
      </c>
      <c r="M224" s="33" t="n">
        <f>1645.5</f>
        <v>1645.5</v>
      </c>
      <c r="N224" s="34" t="s">
        <v>76</v>
      </c>
      <c r="O224" s="33" t="n">
        <f>1575.5</f>
        <v>1575.5</v>
      </c>
      <c r="P224" s="34" t="s">
        <v>224</v>
      </c>
      <c r="Q224" s="33" t="n">
        <f>1645.5</f>
        <v>1645.5</v>
      </c>
      <c r="R224" s="34" t="s">
        <v>76</v>
      </c>
      <c r="S224" s="35" t="n">
        <f>1608.21</f>
        <v>1608.21</v>
      </c>
      <c r="T224" s="32" t="n">
        <f>1530</f>
        <v>1530.0</v>
      </c>
      <c r="U224" s="32" t="str">
        <f>"－"</f>
        <v>－</v>
      </c>
      <c r="V224" s="32" t="n">
        <f>2467475</f>
        <v>2467475.0</v>
      </c>
      <c r="W224" s="32" t="str">
        <f>"－"</f>
        <v>－</v>
      </c>
      <c r="X224" s="36" t="n">
        <f>7</f>
        <v>7.0</v>
      </c>
    </row>
    <row r="225">
      <c r="A225" s="27" t="s">
        <v>42</v>
      </c>
      <c r="B225" s="27" t="s">
        <v>724</v>
      </c>
      <c r="C225" s="27" t="s">
        <v>725</v>
      </c>
      <c r="D225" s="27" t="s">
        <v>726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1928</f>
        <v>1928.0</v>
      </c>
      <c r="L225" s="34" t="s">
        <v>48</v>
      </c>
      <c r="M225" s="33" t="n">
        <f>2037</f>
        <v>2037.0</v>
      </c>
      <c r="N225" s="34" t="s">
        <v>60</v>
      </c>
      <c r="O225" s="33" t="n">
        <f>1913</f>
        <v>1913.0</v>
      </c>
      <c r="P225" s="34" t="s">
        <v>56</v>
      </c>
      <c r="Q225" s="33" t="n">
        <f>2031</f>
        <v>2031.0</v>
      </c>
      <c r="R225" s="34" t="s">
        <v>96</v>
      </c>
      <c r="S225" s="35" t="n">
        <f>1969.26</f>
        <v>1969.26</v>
      </c>
      <c r="T225" s="32" t="n">
        <f>2012190</f>
        <v>2012190.0</v>
      </c>
      <c r="U225" s="32" t="n">
        <f>1859740</f>
        <v>1859740.0</v>
      </c>
      <c r="V225" s="32" t="n">
        <f>3902035657</f>
        <v>3.902035657E9</v>
      </c>
      <c r="W225" s="32" t="n">
        <f>3601761452</f>
        <v>3.601761452E9</v>
      </c>
      <c r="X225" s="36" t="n">
        <f>17</f>
        <v>17.0</v>
      </c>
    </row>
    <row r="226">
      <c r="A226" s="27" t="s">
        <v>42</v>
      </c>
      <c r="B226" s="27" t="s">
        <v>727</v>
      </c>
      <c r="C226" s="27" t="s">
        <v>728</v>
      </c>
      <c r="D226" s="27" t="s">
        <v>729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26340</f>
        <v>26340.0</v>
      </c>
      <c r="L226" s="34" t="s">
        <v>48</v>
      </c>
      <c r="M226" s="33" t="n">
        <f>27945</f>
        <v>27945.0</v>
      </c>
      <c r="N226" s="34" t="s">
        <v>96</v>
      </c>
      <c r="O226" s="33" t="n">
        <f>26165</f>
        <v>26165.0</v>
      </c>
      <c r="P226" s="34" t="s">
        <v>48</v>
      </c>
      <c r="Q226" s="33" t="n">
        <f>27940</f>
        <v>27940.0</v>
      </c>
      <c r="R226" s="34" t="s">
        <v>49</v>
      </c>
      <c r="S226" s="35" t="n">
        <f>27024.67</f>
        <v>27024.67</v>
      </c>
      <c r="T226" s="32" t="n">
        <f>3402</f>
        <v>3402.0</v>
      </c>
      <c r="U226" s="32" t="str">
        <f>"－"</f>
        <v>－</v>
      </c>
      <c r="V226" s="32" t="n">
        <f>89528975</f>
        <v>8.9528975E7</v>
      </c>
      <c r="W226" s="32" t="str">
        <f>"－"</f>
        <v>－</v>
      </c>
      <c r="X226" s="36" t="n">
        <f>15</f>
        <v>15.0</v>
      </c>
    </row>
    <row r="227">
      <c r="A227" s="27" t="s">
        <v>42</v>
      </c>
      <c r="B227" s="27" t="s">
        <v>730</v>
      </c>
      <c r="C227" s="27" t="s">
        <v>731</v>
      </c>
      <c r="D227" s="27" t="s">
        <v>732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17100</f>
        <v>17100.0</v>
      </c>
      <c r="L227" s="34" t="s">
        <v>48</v>
      </c>
      <c r="M227" s="33" t="n">
        <f>18350</f>
        <v>18350.0</v>
      </c>
      <c r="N227" s="34" t="s">
        <v>49</v>
      </c>
      <c r="O227" s="33" t="n">
        <f>17100</f>
        <v>17100.0</v>
      </c>
      <c r="P227" s="34" t="s">
        <v>48</v>
      </c>
      <c r="Q227" s="33" t="n">
        <f>18325</f>
        <v>18325.0</v>
      </c>
      <c r="R227" s="34" t="s">
        <v>49</v>
      </c>
      <c r="S227" s="35" t="n">
        <f>17789.09</f>
        <v>17789.09</v>
      </c>
      <c r="T227" s="32" t="n">
        <f>31617</f>
        <v>31617.0</v>
      </c>
      <c r="U227" s="32" t="n">
        <f>16500</f>
        <v>16500.0</v>
      </c>
      <c r="V227" s="32" t="n">
        <f>547966215</f>
        <v>5.47966215E8</v>
      </c>
      <c r="W227" s="32" t="n">
        <f>285615600</f>
        <v>2.856156E8</v>
      </c>
      <c r="X227" s="36" t="n">
        <f>11</f>
        <v>11.0</v>
      </c>
    </row>
    <row r="228">
      <c r="A228" s="27" t="s">
        <v>42</v>
      </c>
      <c r="B228" s="27" t="s">
        <v>733</v>
      </c>
      <c r="C228" s="27" t="s">
        <v>734</v>
      </c>
      <c r="D228" s="27" t="s">
        <v>735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1137.5</f>
        <v>1137.5</v>
      </c>
      <c r="L228" s="34" t="s">
        <v>48</v>
      </c>
      <c r="M228" s="33" t="n">
        <f>1148.5</f>
        <v>1148.5</v>
      </c>
      <c r="N228" s="34" t="s">
        <v>415</v>
      </c>
      <c r="O228" s="33" t="n">
        <f>1070.5</f>
        <v>1070.5</v>
      </c>
      <c r="P228" s="34" t="s">
        <v>113</v>
      </c>
      <c r="Q228" s="33" t="n">
        <f>1094</f>
        <v>1094.0</v>
      </c>
      <c r="R228" s="34" t="s">
        <v>49</v>
      </c>
      <c r="S228" s="35" t="n">
        <f>1103.53</f>
        <v>1103.53</v>
      </c>
      <c r="T228" s="32" t="n">
        <f>821910</f>
        <v>821910.0</v>
      </c>
      <c r="U228" s="32" t="n">
        <f>438710</f>
        <v>438710.0</v>
      </c>
      <c r="V228" s="32" t="n">
        <f>918975686</f>
        <v>9.18975686E8</v>
      </c>
      <c r="W228" s="32" t="n">
        <f>492529336</f>
        <v>4.92529336E8</v>
      </c>
      <c r="X228" s="36" t="n">
        <f>19</f>
        <v>19.0</v>
      </c>
    </row>
    <row r="229">
      <c r="A229" s="27" t="s">
        <v>42</v>
      </c>
      <c r="B229" s="27" t="s">
        <v>736</v>
      </c>
      <c r="C229" s="27" t="s">
        <v>737</v>
      </c>
      <c r="D229" s="27" t="s">
        <v>738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1121</f>
        <v>1121.0</v>
      </c>
      <c r="L229" s="34" t="s">
        <v>48</v>
      </c>
      <c r="M229" s="33" t="n">
        <f>1121.5</f>
        <v>1121.5</v>
      </c>
      <c r="N229" s="34" t="s">
        <v>126</v>
      </c>
      <c r="O229" s="33" t="n">
        <f>1064</f>
        <v>1064.0</v>
      </c>
      <c r="P229" s="34" t="s">
        <v>113</v>
      </c>
      <c r="Q229" s="33" t="n">
        <f>1093</f>
        <v>1093.0</v>
      </c>
      <c r="R229" s="34" t="s">
        <v>49</v>
      </c>
      <c r="S229" s="35" t="n">
        <f>1095.39</f>
        <v>1095.39</v>
      </c>
      <c r="T229" s="32" t="n">
        <f>497040</f>
        <v>497040.0</v>
      </c>
      <c r="U229" s="32" t="str">
        <f>"－"</f>
        <v>－</v>
      </c>
      <c r="V229" s="32" t="n">
        <f>544057910</f>
        <v>5.4405791E8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739</v>
      </c>
      <c r="C230" s="27" t="s">
        <v>740</v>
      </c>
      <c r="D230" s="27" t="s">
        <v>741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1183</f>
        <v>1183.0</v>
      </c>
      <c r="L230" s="34" t="s">
        <v>48</v>
      </c>
      <c r="M230" s="33" t="n">
        <f>1220</f>
        <v>1220.0</v>
      </c>
      <c r="N230" s="34" t="s">
        <v>76</v>
      </c>
      <c r="O230" s="33" t="n">
        <f>1169</f>
        <v>1169.0</v>
      </c>
      <c r="P230" s="34" t="s">
        <v>80</v>
      </c>
      <c r="Q230" s="33" t="n">
        <f>1211</f>
        <v>1211.0</v>
      </c>
      <c r="R230" s="34" t="s">
        <v>49</v>
      </c>
      <c r="S230" s="35" t="n">
        <f>1199.58</f>
        <v>1199.58</v>
      </c>
      <c r="T230" s="32" t="n">
        <f>265598</f>
        <v>265598.0</v>
      </c>
      <c r="U230" s="32" t="n">
        <f>41233</f>
        <v>41233.0</v>
      </c>
      <c r="V230" s="32" t="n">
        <f>315843698</f>
        <v>3.15843698E8</v>
      </c>
      <c r="W230" s="32" t="n">
        <f>49806887</f>
        <v>4.9806887E7</v>
      </c>
      <c r="X230" s="36" t="n">
        <f>19</f>
        <v>19.0</v>
      </c>
    </row>
    <row r="231">
      <c r="A231" s="27" t="s">
        <v>42</v>
      </c>
      <c r="B231" s="27" t="s">
        <v>742</v>
      </c>
      <c r="C231" s="27" t="s">
        <v>743</v>
      </c>
      <c r="D231" s="27" t="s">
        <v>744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12630</f>
        <v>12630.0</v>
      </c>
      <c r="L231" s="34" t="s">
        <v>48</v>
      </c>
      <c r="M231" s="33" t="n">
        <f>14000</f>
        <v>14000.0</v>
      </c>
      <c r="N231" s="34" t="s">
        <v>96</v>
      </c>
      <c r="O231" s="33" t="n">
        <f>12370</f>
        <v>12370.0</v>
      </c>
      <c r="P231" s="34" t="s">
        <v>48</v>
      </c>
      <c r="Q231" s="33" t="n">
        <f>13785</f>
        <v>13785.0</v>
      </c>
      <c r="R231" s="34" t="s">
        <v>49</v>
      </c>
      <c r="S231" s="35" t="n">
        <f>13411.05</f>
        <v>13411.05</v>
      </c>
      <c r="T231" s="32" t="n">
        <f>1401</f>
        <v>1401.0</v>
      </c>
      <c r="U231" s="32" t="str">
        <f>"－"</f>
        <v>－</v>
      </c>
      <c r="V231" s="32" t="n">
        <f>18795970</f>
        <v>1.879597E7</v>
      </c>
      <c r="W231" s="32" t="str">
        <f>"－"</f>
        <v>－</v>
      </c>
      <c r="X231" s="36" t="n">
        <f>19</f>
        <v>19.0</v>
      </c>
    </row>
    <row r="232">
      <c r="A232" s="27" t="s">
        <v>42</v>
      </c>
      <c r="B232" s="27" t="s">
        <v>745</v>
      </c>
      <c r="C232" s="27" t="s">
        <v>746</v>
      </c>
      <c r="D232" s="27" t="s">
        <v>747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2057</f>
        <v>2057.0</v>
      </c>
      <c r="L232" s="34" t="s">
        <v>48</v>
      </c>
      <c r="M232" s="33" t="n">
        <f>2057</f>
        <v>2057.0</v>
      </c>
      <c r="N232" s="34" t="s">
        <v>48</v>
      </c>
      <c r="O232" s="33" t="n">
        <f>1915</f>
        <v>1915.0</v>
      </c>
      <c r="P232" s="34" t="s">
        <v>113</v>
      </c>
      <c r="Q232" s="33" t="n">
        <f>1984</f>
        <v>1984.0</v>
      </c>
      <c r="R232" s="34" t="s">
        <v>49</v>
      </c>
      <c r="S232" s="35" t="n">
        <f>1974.32</f>
        <v>1974.32</v>
      </c>
      <c r="T232" s="32" t="n">
        <f>269507</f>
        <v>269507.0</v>
      </c>
      <c r="U232" s="32" t="n">
        <f>250000</f>
        <v>250000.0</v>
      </c>
      <c r="V232" s="32" t="n">
        <f>521990991</f>
        <v>5.21990991E8</v>
      </c>
      <c r="W232" s="32" t="n">
        <f>483525000</f>
        <v>4.83525E8</v>
      </c>
      <c r="X232" s="36" t="n">
        <f>19</f>
        <v>19.0</v>
      </c>
    </row>
    <row r="233">
      <c r="A233" s="27" t="s">
        <v>42</v>
      </c>
      <c r="B233" s="27" t="s">
        <v>748</v>
      </c>
      <c r="C233" s="27" t="s">
        <v>749</v>
      </c>
      <c r="D233" s="27" t="s">
        <v>750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1508.5</f>
        <v>1508.5</v>
      </c>
      <c r="L233" s="34" t="s">
        <v>48</v>
      </c>
      <c r="M233" s="33" t="n">
        <f>1683.5</f>
        <v>1683.5</v>
      </c>
      <c r="N233" s="34" t="s">
        <v>65</v>
      </c>
      <c r="O233" s="33" t="n">
        <f>1508.5</f>
        <v>1508.5</v>
      </c>
      <c r="P233" s="34" t="s">
        <v>48</v>
      </c>
      <c r="Q233" s="33" t="n">
        <f>1682.5</f>
        <v>1682.5</v>
      </c>
      <c r="R233" s="34" t="s">
        <v>96</v>
      </c>
      <c r="S233" s="35" t="n">
        <f>1604.73</f>
        <v>1604.73</v>
      </c>
      <c r="T233" s="32" t="n">
        <f>1820</f>
        <v>1820.0</v>
      </c>
      <c r="U233" s="32" t="str">
        <f>"－"</f>
        <v>－</v>
      </c>
      <c r="V233" s="32" t="n">
        <f>2925410</f>
        <v>2925410.0</v>
      </c>
      <c r="W233" s="32" t="str">
        <f>"－"</f>
        <v>－</v>
      </c>
      <c r="X233" s="36" t="n">
        <f>15</f>
        <v>15.0</v>
      </c>
    </row>
    <row r="234">
      <c r="A234" s="27" t="s">
        <v>42</v>
      </c>
      <c r="B234" s="27" t="s">
        <v>751</v>
      </c>
      <c r="C234" s="27" t="s">
        <v>752</v>
      </c>
      <c r="D234" s="27" t="s">
        <v>753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846</f>
        <v>846.0</v>
      </c>
      <c r="L234" s="34" t="s">
        <v>48</v>
      </c>
      <c r="M234" s="33" t="n">
        <f>882</f>
        <v>882.0</v>
      </c>
      <c r="N234" s="34" t="s">
        <v>126</v>
      </c>
      <c r="O234" s="33" t="n">
        <f>846</f>
        <v>846.0</v>
      </c>
      <c r="P234" s="34" t="s">
        <v>48</v>
      </c>
      <c r="Q234" s="33" t="n">
        <f>860.8</f>
        <v>860.8</v>
      </c>
      <c r="R234" s="34" t="s">
        <v>49</v>
      </c>
      <c r="S234" s="35" t="n">
        <f>859.36</f>
        <v>859.36</v>
      </c>
      <c r="T234" s="32" t="n">
        <f>518610</f>
        <v>518610.0</v>
      </c>
      <c r="U234" s="32" t="n">
        <f>325650</f>
        <v>325650.0</v>
      </c>
      <c r="V234" s="32" t="n">
        <f>446105524</f>
        <v>4.46105524E8</v>
      </c>
      <c r="W234" s="32" t="n">
        <f>280743993</f>
        <v>2.80743993E8</v>
      </c>
      <c r="X234" s="36" t="n">
        <f>19</f>
        <v>19.0</v>
      </c>
    </row>
    <row r="235">
      <c r="A235" s="27" t="s">
        <v>42</v>
      </c>
      <c r="B235" s="27" t="s">
        <v>754</v>
      </c>
      <c r="C235" s="27" t="s">
        <v>755</v>
      </c>
      <c r="D235" s="27" t="s">
        <v>756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1938.5</f>
        <v>1938.5</v>
      </c>
      <c r="L235" s="34" t="s">
        <v>48</v>
      </c>
      <c r="M235" s="33" t="n">
        <f>1938.5</f>
        <v>1938.5</v>
      </c>
      <c r="N235" s="34" t="s">
        <v>48</v>
      </c>
      <c r="O235" s="33" t="n">
        <f>1822</f>
        <v>1822.0</v>
      </c>
      <c r="P235" s="34" t="s">
        <v>113</v>
      </c>
      <c r="Q235" s="33" t="n">
        <f>1864</f>
        <v>1864.0</v>
      </c>
      <c r="R235" s="34" t="s">
        <v>49</v>
      </c>
      <c r="S235" s="35" t="n">
        <f>1878.55</f>
        <v>1878.55</v>
      </c>
      <c r="T235" s="32" t="n">
        <f>3062720</f>
        <v>3062720.0</v>
      </c>
      <c r="U235" s="32" t="n">
        <f>3036330</f>
        <v>3036330.0</v>
      </c>
      <c r="V235" s="32" t="n">
        <f>5754908300</f>
        <v>5.7549083E9</v>
      </c>
      <c r="W235" s="32" t="n">
        <f>5705171940</f>
        <v>5.70517194E9</v>
      </c>
      <c r="X235" s="36" t="n">
        <f>19</f>
        <v>19.0</v>
      </c>
    </row>
    <row r="236">
      <c r="A236" s="27" t="s">
        <v>42</v>
      </c>
      <c r="B236" s="27" t="s">
        <v>757</v>
      </c>
      <c r="C236" s="27" t="s">
        <v>758</v>
      </c>
      <c r="D236" s="27" t="s">
        <v>759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1940.5</f>
        <v>1940.5</v>
      </c>
      <c r="L236" s="34" t="s">
        <v>48</v>
      </c>
      <c r="M236" s="33" t="n">
        <f>1945.5</f>
        <v>1945.5</v>
      </c>
      <c r="N236" s="34" t="s">
        <v>48</v>
      </c>
      <c r="O236" s="33" t="n">
        <f>1819</f>
        <v>1819.0</v>
      </c>
      <c r="P236" s="34" t="s">
        <v>113</v>
      </c>
      <c r="Q236" s="33" t="n">
        <f>1868.5</f>
        <v>1868.5</v>
      </c>
      <c r="R236" s="34" t="s">
        <v>49</v>
      </c>
      <c r="S236" s="35" t="n">
        <f>1875.18</f>
        <v>1875.18</v>
      </c>
      <c r="T236" s="32" t="n">
        <f>685650</f>
        <v>685650.0</v>
      </c>
      <c r="U236" s="32" t="n">
        <f>505090</f>
        <v>505090.0</v>
      </c>
      <c r="V236" s="32" t="n">
        <f>1285739918</f>
        <v>1.285739918E9</v>
      </c>
      <c r="W236" s="32" t="n">
        <f>946919483</f>
        <v>9.46919483E8</v>
      </c>
      <c r="X236" s="36" t="n">
        <f>19</f>
        <v>19.0</v>
      </c>
    </row>
    <row r="237">
      <c r="A237" s="27" t="s">
        <v>42</v>
      </c>
      <c r="B237" s="27" t="s">
        <v>760</v>
      </c>
      <c r="C237" s="27" t="s">
        <v>761</v>
      </c>
      <c r="D237" s="27" t="s">
        <v>762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1882</f>
        <v>1882.0</v>
      </c>
      <c r="L237" s="34" t="s">
        <v>48</v>
      </c>
      <c r="M237" s="33" t="n">
        <f>1996</f>
        <v>1996.0</v>
      </c>
      <c r="N237" s="34" t="s">
        <v>60</v>
      </c>
      <c r="O237" s="33" t="n">
        <f>1878</f>
        <v>1878.0</v>
      </c>
      <c r="P237" s="34" t="s">
        <v>48</v>
      </c>
      <c r="Q237" s="33" t="n">
        <f>1996</f>
        <v>1996.0</v>
      </c>
      <c r="R237" s="34" t="s">
        <v>60</v>
      </c>
      <c r="S237" s="35" t="n">
        <f>1929.05</f>
        <v>1929.05</v>
      </c>
      <c r="T237" s="32" t="n">
        <f>1630</f>
        <v>1630.0</v>
      </c>
      <c r="U237" s="32" t="str">
        <f>"－"</f>
        <v>－</v>
      </c>
      <c r="V237" s="32" t="n">
        <f>3121545</f>
        <v>3121545.0</v>
      </c>
      <c r="W237" s="32" t="str">
        <f>"－"</f>
        <v>－</v>
      </c>
      <c r="X237" s="36" t="n">
        <f>11</f>
        <v>11.0</v>
      </c>
    </row>
    <row r="238">
      <c r="A238" s="27" t="s">
        <v>42</v>
      </c>
      <c r="B238" s="27" t="s">
        <v>763</v>
      </c>
      <c r="C238" s="27" t="s">
        <v>764</v>
      </c>
      <c r="D238" s="27" t="s">
        <v>765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14415</f>
        <v>14415.0</v>
      </c>
      <c r="L238" s="34" t="s">
        <v>48</v>
      </c>
      <c r="M238" s="33" t="n">
        <f>15205</f>
        <v>15205.0</v>
      </c>
      <c r="N238" s="34" t="s">
        <v>76</v>
      </c>
      <c r="O238" s="33" t="n">
        <f>14340</f>
        <v>14340.0</v>
      </c>
      <c r="P238" s="34" t="s">
        <v>48</v>
      </c>
      <c r="Q238" s="33" t="n">
        <f>15020</f>
        <v>15020.0</v>
      </c>
      <c r="R238" s="34" t="s">
        <v>49</v>
      </c>
      <c r="S238" s="35" t="n">
        <f>14816.58</f>
        <v>14816.58</v>
      </c>
      <c r="T238" s="32" t="n">
        <f>1074508</f>
        <v>1074508.0</v>
      </c>
      <c r="U238" s="32" t="n">
        <f>13610</f>
        <v>13610.0</v>
      </c>
      <c r="V238" s="32" t="n">
        <f>15911010743</f>
        <v>1.5911010743E10</v>
      </c>
      <c r="W238" s="32" t="n">
        <f>199929258</f>
        <v>1.99929258E8</v>
      </c>
      <c r="X238" s="36" t="n">
        <f>19</f>
        <v>19.0</v>
      </c>
    </row>
    <row r="239">
      <c r="A239" s="27" t="s">
        <v>42</v>
      </c>
      <c r="B239" s="27" t="s">
        <v>766</v>
      </c>
      <c r="C239" s="27" t="s">
        <v>767</v>
      </c>
      <c r="D239" s="27" t="s">
        <v>768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13410</f>
        <v>13410.0</v>
      </c>
      <c r="L239" s="34" t="s">
        <v>48</v>
      </c>
      <c r="M239" s="33" t="n">
        <f>13900</f>
        <v>13900.0</v>
      </c>
      <c r="N239" s="34" t="s">
        <v>96</v>
      </c>
      <c r="O239" s="33" t="n">
        <f>13340</f>
        <v>13340.0</v>
      </c>
      <c r="P239" s="34" t="s">
        <v>48</v>
      </c>
      <c r="Q239" s="33" t="n">
        <f>13775</f>
        <v>13775.0</v>
      </c>
      <c r="R239" s="34" t="s">
        <v>49</v>
      </c>
      <c r="S239" s="35" t="n">
        <f>13712.37</f>
        <v>13712.37</v>
      </c>
      <c r="T239" s="32" t="n">
        <f>127641</f>
        <v>127641.0</v>
      </c>
      <c r="U239" s="32" t="n">
        <f>3602</f>
        <v>3602.0</v>
      </c>
      <c r="V239" s="32" t="n">
        <f>1744411759</f>
        <v>1.744411759E9</v>
      </c>
      <c r="W239" s="32" t="n">
        <f>49754454</f>
        <v>4.9754454E7</v>
      </c>
      <c r="X239" s="36" t="n">
        <f>19</f>
        <v>19.0</v>
      </c>
    </row>
    <row r="240">
      <c r="A240" s="27" t="s">
        <v>42</v>
      </c>
      <c r="B240" s="27" t="s">
        <v>769</v>
      </c>
      <c r="C240" s="27" t="s">
        <v>770</v>
      </c>
      <c r="D240" s="27" t="s">
        <v>771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25200</f>
        <v>25200.0</v>
      </c>
      <c r="L240" s="34" t="s">
        <v>70</v>
      </c>
      <c r="M240" s="33" t="n">
        <f>26340</f>
        <v>26340.0</v>
      </c>
      <c r="N240" s="34" t="s">
        <v>100</v>
      </c>
      <c r="O240" s="33" t="n">
        <f>25200</f>
        <v>25200.0</v>
      </c>
      <c r="P240" s="34" t="s">
        <v>70</v>
      </c>
      <c r="Q240" s="33" t="n">
        <f>26340</f>
        <v>26340.0</v>
      </c>
      <c r="R240" s="34" t="s">
        <v>100</v>
      </c>
      <c r="S240" s="35" t="n">
        <f>25898.33</f>
        <v>25898.33</v>
      </c>
      <c r="T240" s="32" t="n">
        <f>14</f>
        <v>14.0</v>
      </c>
      <c r="U240" s="32" t="str">
        <f>"－"</f>
        <v>－</v>
      </c>
      <c r="V240" s="32" t="n">
        <f>364230</f>
        <v>364230.0</v>
      </c>
      <c r="W240" s="32" t="str">
        <f>"－"</f>
        <v>－</v>
      </c>
      <c r="X240" s="36" t="n">
        <f>3</f>
        <v>3.0</v>
      </c>
    </row>
    <row r="241">
      <c r="A241" s="27" t="s">
        <v>42</v>
      </c>
      <c r="B241" s="27" t="s">
        <v>772</v>
      </c>
      <c r="C241" s="27" t="s">
        <v>773</v>
      </c>
      <c r="D241" s="27" t="s">
        <v>774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2461</f>
        <v>2461.0</v>
      </c>
      <c r="L241" s="34" t="s">
        <v>48</v>
      </c>
      <c r="M241" s="33" t="n">
        <f>2493</f>
        <v>2493.0</v>
      </c>
      <c r="N241" s="34" t="s">
        <v>60</v>
      </c>
      <c r="O241" s="33" t="n">
        <f>2432</f>
        <v>2432.0</v>
      </c>
      <c r="P241" s="34" t="s">
        <v>440</v>
      </c>
      <c r="Q241" s="33" t="n">
        <f>2456</f>
        <v>2456.0</v>
      </c>
      <c r="R241" s="34" t="s">
        <v>49</v>
      </c>
      <c r="S241" s="35" t="n">
        <f>2468.58</f>
        <v>2468.58</v>
      </c>
      <c r="T241" s="32" t="n">
        <f>199120</f>
        <v>199120.0</v>
      </c>
      <c r="U241" s="32" t="n">
        <f>14719</f>
        <v>14719.0</v>
      </c>
      <c r="V241" s="32" t="n">
        <f>492047177</f>
        <v>4.92047177E8</v>
      </c>
      <c r="W241" s="32" t="n">
        <f>36476633</f>
        <v>3.6476633E7</v>
      </c>
      <c r="X241" s="36" t="n">
        <f>19</f>
        <v>19.0</v>
      </c>
    </row>
    <row r="242">
      <c r="A242" s="27" t="s">
        <v>42</v>
      </c>
      <c r="B242" s="27" t="s">
        <v>775</v>
      </c>
      <c r="C242" s="27" t="s">
        <v>776</v>
      </c>
      <c r="D242" s="27" t="s">
        <v>777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2778.5</f>
        <v>2778.5</v>
      </c>
      <c r="L242" s="34" t="s">
        <v>48</v>
      </c>
      <c r="M242" s="33" t="n">
        <f>2864</f>
        <v>2864.0</v>
      </c>
      <c r="N242" s="34" t="s">
        <v>80</v>
      </c>
      <c r="O242" s="33" t="n">
        <f>2752.5</f>
        <v>2752.5</v>
      </c>
      <c r="P242" s="34" t="s">
        <v>56</v>
      </c>
      <c r="Q242" s="33" t="n">
        <f>2801</f>
        <v>2801.0</v>
      </c>
      <c r="R242" s="34" t="s">
        <v>49</v>
      </c>
      <c r="S242" s="35" t="n">
        <f>2805.39</f>
        <v>2805.39</v>
      </c>
      <c r="T242" s="32" t="n">
        <f>823490</f>
        <v>823490.0</v>
      </c>
      <c r="U242" s="32" t="str">
        <f>"－"</f>
        <v>－</v>
      </c>
      <c r="V242" s="32" t="n">
        <f>2305356570</f>
        <v>2.30535657E9</v>
      </c>
      <c r="W242" s="32" t="str">
        <f>"－"</f>
        <v>－</v>
      </c>
      <c r="X242" s="36" t="n">
        <f>19</f>
        <v>19.0</v>
      </c>
    </row>
    <row r="243">
      <c r="A243" s="27" t="s">
        <v>42</v>
      </c>
      <c r="B243" s="27" t="s">
        <v>778</v>
      </c>
      <c r="C243" s="27" t="s">
        <v>779</v>
      </c>
      <c r="D243" s="27" t="s">
        <v>780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241.8</f>
        <v>241.8</v>
      </c>
      <c r="L243" s="34" t="s">
        <v>48</v>
      </c>
      <c r="M243" s="33" t="n">
        <f>255.9</f>
        <v>255.9</v>
      </c>
      <c r="N243" s="34" t="s">
        <v>76</v>
      </c>
      <c r="O243" s="33" t="n">
        <f>240.9</f>
        <v>240.9</v>
      </c>
      <c r="P243" s="34" t="s">
        <v>56</v>
      </c>
      <c r="Q243" s="33" t="n">
        <f>252.6</f>
        <v>252.6</v>
      </c>
      <c r="R243" s="34" t="s">
        <v>49</v>
      </c>
      <c r="S243" s="35" t="n">
        <f>249.47</f>
        <v>249.47</v>
      </c>
      <c r="T243" s="32" t="n">
        <f>51586950</f>
        <v>5.158695E7</v>
      </c>
      <c r="U243" s="32" t="n">
        <f>4472510</f>
        <v>4472510.0</v>
      </c>
      <c r="V243" s="32" t="n">
        <f>12940503979</f>
        <v>1.2940503979E10</v>
      </c>
      <c r="W243" s="32" t="n">
        <f>1126404557</f>
        <v>1.126404557E9</v>
      </c>
      <c r="X243" s="36" t="n">
        <f>19</f>
        <v>19.0</v>
      </c>
    </row>
    <row r="244">
      <c r="A244" s="27" t="s">
        <v>42</v>
      </c>
      <c r="B244" s="27" t="s">
        <v>781</v>
      </c>
      <c r="C244" s="27" t="s">
        <v>782</v>
      </c>
      <c r="D244" s="27" t="s">
        <v>783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2049</f>
        <v>2049.0</v>
      </c>
      <c r="L244" s="34" t="s">
        <v>48</v>
      </c>
      <c r="M244" s="33" t="n">
        <f>2124</f>
        <v>2124.0</v>
      </c>
      <c r="N244" s="34" t="s">
        <v>60</v>
      </c>
      <c r="O244" s="33" t="n">
        <f>1984</f>
        <v>1984.0</v>
      </c>
      <c r="P244" s="34" t="s">
        <v>126</v>
      </c>
      <c r="Q244" s="33" t="n">
        <f>2110</f>
        <v>2110.0</v>
      </c>
      <c r="R244" s="34" t="s">
        <v>49</v>
      </c>
      <c r="S244" s="35" t="n">
        <f>2064.42</f>
        <v>2064.42</v>
      </c>
      <c r="T244" s="32" t="n">
        <f>2500704</f>
        <v>2500704.0</v>
      </c>
      <c r="U244" s="32" t="str">
        <f>"－"</f>
        <v>－</v>
      </c>
      <c r="V244" s="32" t="n">
        <f>5114906694</f>
        <v>5.114906694E9</v>
      </c>
      <c r="W244" s="32" t="str">
        <f>"－"</f>
        <v>－</v>
      </c>
      <c r="X244" s="36" t="n">
        <f>19</f>
        <v>19.0</v>
      </c>
    </row>
    <row r="245">
      <c r="A245" s="27" t="s">
        <v>42</v>
      </c>
      <c r="B245" s="27" t="s">
        <v>784</v>
      </c>
      <c r="C245" s="27" t="s">
        <v>785</v>
      </c>
      <c r="D245" s="27" t="s">
        <v>786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1016</f>
        <v>1016.0</v>
      </c>
      <c r="L245" s="34" t="s">
        <v>48</v>
      </c>
      <c r="M245" s="33" t="n">
        <f>1016</f>
        <v>1016.0</v>
      </c>
      <c r="N245" s="34" t="s">
        <v>48</v>
      </c>
      <c r="O245" s="33" t="n">
        <f>950</f>
        <v>950.0</v>
      </c>
      <c r="P245" s="34" t="s">
        <v>113</v>
      </c>
      <c r="Q245" s="33" t="n">
        <f>978</f>
        <v>978.0</v>
      </c>
      <c r="R245" s="34" t="s">
        <v>49</v>
      </c>
      <c r="S245" s="35" t="n">
        <f>976.05</f>
        <v>976.05</v>
      </c>
      <c r="T245" s="32" t="n">
        <f>312479</f>
        <v>312479.0</v>
      </c>
      <c r="U245" s="32" t="n">
        <f>142225</f>
        <v>142225.0</v>
      </c>
      <c r="V245" s="32" t="n">
        <f>304176602</f>
        <v>3.04176602E8</v>
      </c>
      <c r="W245" s="32" t="n">
        <f>138128938</f>
        <v>1.38128938E8</v>
      </c>
      <c r="X245" s="36" t="n">
        <f>19</f>
        <v>19.0</v>
      </c>
    </row>
    <row r="246">
      <c r="A246" s="27" t="s">
        <v>42</v>
      </c>
      <c r="B246" s="27" t="s">
        <v>787</v>
      </c>
      <c r="C246" s="27" t="s">
        <v>788</v>
      </c>
      <c r="D246" s="27" t="s">
        <v>789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1070.5</f>
        <v>1070.5</v>
      </c>
      <c r="L246" s="34" t="s">
        <v>48</v>
      </c>
      <c r="M246" s="33" t="n">
        <f>1070.5</f>
        <v>1070.5</v>
      </c>
      <c r="N246" s="34" t="s">
        <v>48</v>
      </c>
      <c r="O246" s="33" t="n">
        <f>1001</f>
        <v>1001.0</v>
      </c>
      <c r="P246" s="34" t="s">
        <v>113</v>
      </c>
      <c r="Q246" s="33" t="n">
        <f>1029.5</f>
        <v>1029.5</v>
      </c>
      <c r="R246" s="34" t="s">
        <v>49</v>
      </c>
      <c r="S246" s="35" t="n">
        <f>1032.58</f>
        <v>1032.58</v>
      </c>
      <c r="T246" s="32" t="n">
        <f>168060</f>
        <v>168060.0</v>
      </c>
      <c r="U246" s="32" t="n">
        <f>140790</f>
        <v>140790.0</v>
      </c>
      <c r="V246" s="32" t="n">
        <f>178419304</f>
        <v>1.78419304E8</v>
      </c>
      <c r="W246" s="32" t="n">
        <f>149894224</f>
        <v>1.49894224E8</v>
      </c>
      <c r="X246" s="36" t="n">
        <f>19</f>
        <v>19.0</v>
      </c>
    </row>
    <row r="247">
      <c r="A247" s="27" t="s">
        <v>42</v>
      </c>
      <c r="B247" s="27" t="s">
        <v>790</v>
      </c>
      <c r="C247" s="27" t="s">
        <v>791</v>
      </c>
      <c r="D247" s="27" t="s">
        <v>792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249.7</f>
        <v>249.7</v>
      </c>
      <c r="L247" s="34" t="s">
        <v>48</v>
      </c>
      <c r="M247" s="33" t="n">
        <f>252</f>
        <v>252.0</v>
      </c>
      <c r="N247" s="34" t="s">
        <v>64</v>
      </c>
      <c r="O247" s="33" t="n">
        <f>240</f>
        <v>240.0</v>
      </c>
      <c r="P247" s="34" t="s">
        <v>56</v>
      </c>
      <c r="Q247" s="33" t="n">
        <f>250.1</f>
        <v>250.1</v>
      </c>
      <c r="R247" s="34" t="s">
        <v>49</v>
      </c>
      <c r="S247" s="35" t="n">
        <f>247.02</f>
        <v>247.02</v>
      </c>
      <c r="T247" s="32" t="n">
        <f>2800</f>
        <v>2800.0</v>
      </c>
      <c r="U247" s="32" t="str">
        <f>"－"</f>
        <v>－</v>
      </c>
      <c r="V247" s="32" t="n">
        <f>690939</f>
        <v>690939.0</v>
      </c>
      <c r="W247" s="32" t="str">
        <f>"－"</f>
        <v>－</v>
      </c>
      <c r="X247" s="36" t="n">
        <f>17</f>
        <v>17.0</v>
      </c>
    </row>
    <row r="248">
      <c r="A248" s="27" t="s">
        <v>42</v>
      </c>
      <c r="B248" s="27" t="s">
        <v>793</v>
      </c>
      <c r="C248" s="27" t="s">
        <v>794</v>
      </c>
      <c r="D248" s="27" t="s">
        <v>795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2461</f>
        <v>2461.0</v>
      </c>
      <c r="L248" s="34" t="s">
        <v>48</v>
      </c>
      <c r="M248" s="33" t="n">
        <f>2718</f>
        <v>2718.0</v>
      </c>
      <c r="N248" s="34" t="s">
        <v>76</v>
      </c>
      <c r="O248" s="33" t="n">
        <f>2450</f>
        <v>2450.0</v>
      </c>
      <c r="P248" s="34" t="s">
        <v>48</v>
      </c>
      <c r="Q248" s="33" t="n">
        <f>2654.5</f>
        <v>2654.5</v>
      </c>
      <c r="R248" s="34" t="s">
        <v>49</v>
      </c>
      <c r="S248" s="35" t="n">
        <f>2570.16</f>
        <v>2570.16</v>
      </c>
      <c r="T248" s="32" t="n">
        <f>2054350</f>
        <v>2054350.0</v>
      </c>
      <c r="U248" s="32" t="n">
        <f>10</f>
        <v>10.0</v>
      </c>
      <c r="V248" s="32" t="n">
        <f>5270139880</f>
        <v>5.27013988E9</v>
      </c>
      <c r="W248" s="32" t="n">
        <f>24825</f>
        <v>24825.0</v>
      </c>
      <c r="X248" s="36" t="n">
        <f>19</f>
        <v>19.0</v>
      </c>
    </row>
    <row r="249">
      <c r="A249" s="27" t="s">
        <v>42</v>
      </c>
      <c r="B249" s="27" t="s">
        <v>796</v>
      </c>
      <c r="C249" s="27" t="s">
        <v>797</v>
      </c>
      <c r="D249" s="27" t="s">
        <v>798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1881.5</f>
        <v>1881.5</v>
      </c>
      <c r="L249" s="34" t="s">
        <v>48</v>
      </c>
      <c r="M249" s="33" t="n">
        <f>2092.5</f>
        <v>2092.5</v>
      </c>
      <c r="N249" s="34" t="s">
        <v>76</v>
      </c>
      <c r="O249" s="33" t="n">
        <f>1858</f>
        <v>1858.0</v>
      </c>
      <c r="P249" s="34" t="s">
        <v>56</v>
      </c>
      <c r="Q249" s="33" t="n">
        <f>2043</f>
        <v>2043.0</v>
      </c>
      <c r="R249" s="34" t="s">
        <v>49</v>
      </c>
      <c r="S249" s="35" t="n">
        <f>1977.84</f>
        <v>1977.84</v>
      </c>
      <c r="T249" s="32" t="n">
        <f>4699690</f>
        <v>4699690.0</v>
      </c>
      <c r="U249" s="32" t="n">
        <f>691040</f>
        <v>691040.0</v>
      </c>
      <c r="V249" s="32" t="n">
        <f>9342471253</f>
        <v>9.342471253E9</v>
      </c>
      <c r="W249" s="32" t="n">
        <f>1387656293</f>
        <v>1.387656293E9</v>
      </c>
      <c r="X249" s="36" t="n">
        <f>19</f>
        <v>19.0</v>
      </c>
    </row>
    <row r="250">
      <c r="A250" s="27" t="s">
        <v>42</v>
      </c>
      <c r="B250" s="27" t="s">
        <v>799</v>
      </c>
      <c r="C250" s="27" t="s">
        <v>800</v>
      </c>
      <c r="D250" s="27" t="s">
        <v>801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293.5</f>
        <v>293.5</v>
      </c>
      <c r="L250" s="34" t="s">
        <v>48</v>
      </c>
      <c r="M250" s="33" t="n">
        <f>298.1</f>
        <v>298.1</v>
      </c>
      <c r="N250" s="34" t="s">
        <v>56</v>
      </c>
      <c r="O250" s="33" t="n">
        <f>283.4</f>
        <v>283.4</v>
      </c>
      <c r="P250" s="34" t="s">
        <v>80</v>
      </c>
      <c r="Q250" s="33" t="n">
        <f>289.6</f>
        <v>289.6</v>
      </c>
      <c r="R250" s="34" t="s">
        <v>49</v>
      </c>
      <c r="S250" s="35" t="n">
        <f>290.21</f>
        <v>290.21</v>
      </c>
      <c r="T250" s="32" t="n">
        <f>21478250</f>
        <v>2.147825E7</v>
      </c>
      <c r="U250" s="32" t="n">
        <f>18957380</f>
        <v>1.895738E7</v>
      </c>
      <c r="V250" s="32" t="n">
        <f>6264647650</f>
        <v>6.26464765E9</v>
      </c>
      <c r="W250" s="32" t="n">
        <f>5534103876</f>
        <v>5.534103876E9</v>
      </c>
      <c r="X250" s="36" t="n">
        <f>19</f>
        <v>19.0</v>
      </c>
    </row>
    <row r="251">
      <c r="A251" s="27" t="s">
        <v>42</v>
      </c>
      <c r="B251" s="27" t="s">
        <v>802</v>
      </c>
      <c r="C251" s="27" t="s">
        <v>803</v>
      </c>
      <c r="D251" s="27" t="s">
        <v>804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1510</f>
        <v>1510.0</v>
      </c>
      <c r="L251" s="34" t="s">
        <v>48</v>
      </c>
      <c r="M251" s="33" t="n">
        <f>1580</f>
        <v>1580.0</v>
      </c>
      <c r="N251" s="34" t="s">
        <v>224</v>
      </c>
      <c r="O251" s="33" t="n">
        <f>1483</f>
        <v>1483.0</v>
      </c>
      <c r="P251" s="34" t="s">
        <v>48</v>
      </c>
      <c r="Q251" s="33" t="n">
        <f>1535</f>
        <v>1535.0</v>
      </c>
      <c r="R251" s="34" t="s">
        <v>49</v>
      </c>
      <c r="S251" s="35" t="n">
        <f>1532.47</f>
        <v>1532.47</v>
      </c>
      <c r="T251" s="32" t="n">
        <f>9225674</f>
        <v>9225674.0</v>
      </c>
      <c r="U251" s="32" t="n">
        <f>38002</f>
        <v>38002.0</v>
      </c>
      <c r="V251" s="32" t="n">
        <f>14126012710</f>
        <v>1.412601271E10</v>
      </c>
      <c r="W251" s="32" t="n">
        <f>57443856</f>
        <v>5.7443856E7</v>
      </c>
      <c r="X251" s="36" t="n">
        <f>19</f>
        <v>19.0</v>
      </c>
    </row>
    <row r="252">
      <c r="A252" s="27" t="s">
        <v>42</v>
      </c>
      <c r="B252" s="27" t="s">
        <v>805</v>
      </c>
      <c r="C252" s="27" t="s">
        <v>806</v>
      </c>
      <c r="D252" s="27" t="s">
        <v>807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1842</f>
        <v>1842.0</v>
      </c>
      <c r="L252" s="34" t="s">
        <v>48</v>
      </c>
      <c r="M252" s="33" t="n">
        <f>1943</f>
        <v>1943.0</v>
      </c>
      <c r="N252" s="34" t="s">
        <v>71</v>
      </c>
      <c r="O252" s="33" t="n">
        <f>1842</f>
        <v>1842.0</v>
      </c>
      <c r="P252" s="34" t="s">
        <v>48</v>
      </c>
      <c r="Q252" s="33" t="n">
        <f>1873</f>
        <v>1873.0</v>
      </c>
      <c r="R252" s="34" t="s">
        <v>49</v>
      </c>
      <c r="S252" s="35" t="n">
        <f>1882.26</f>
        <v>1882.26</v>
      </c>
      <c r="T252" s="32" t="n">
        <f>44599</f>
        <v>44599.0</v>
      </c>
      <c r="U252" s="32" t="n">
        <f>3</f>
        <v>3.0</v>
      </c>
      <c r="V252" s="32" t="n">
        <f>83929509</f>
        <v>8.3929509E7</v>
      </c>
      <c r="W252" s="32" t="n">
        <f>5607</f>
        <v>5607.0</v>
      </c>
      <c r="X252" s="36" t="n">
        <f>19</f>
        <v>19.0</v>
      </c>
    </row>
    <row r="253">
      <c r="A253" s="27" t="s">
        <v>42</v>
      </c>
      <c r="B253" s="27" t="s">
        <v>808</v>
      </c>
      <c r="C253" s="27" t="s">
        <v>809</v>
      </c>
      <c r="D253" s="27" t="s">
        <v>810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2183</f>
        <v>2183.0</v>
      </c>
      <c r="L253" s="34" t="s">
        <v>48</v>
      </c>
      <c r="M253" s="33" t="n">
        <f>2220</f>
        <v>2220.0</v>
      </c>
      <c r="N253" s="34" t="s">
        <v>76</v>
      </c>
      <c r="O253" s="33" t="n">
        <f>2133</f>
        <v>2133.0</v>
      </c>
      <c r="P253" s="34" t="s">
        <v>48</v>
      </c>
      <c r="Q253" s="33" t="n">
        <f>2158</f>
        <v>2158.0</v>
      </c>
      <c r="R253" s="34" t="s">
        <v>49</v>
      </c>
      <c r="S253" s="35" t="n">
        <f>2159.33</f>
        <v>2159.33</v>
      </c>
      <c r="T253" s="32" t="n">
        <f>1619</f>
        <v>1619.0</v>
      </c>
      <c r="U253" s="32" t="str">
        <f>"－"</f>
        <v>－</v>
      </c>
      <c r="V253" s="32" t="n">
        <f>3501067</f>
        <v>3501067.0</v>
      </c>
      <c r="W253" s="32" t="str">
        <f>"－"</f>
        <v>－</v>
      </c>
      <c r="X253" s="36" t="n">
        <f>18</f>
        <v>18.0</v>
      </c>
    </row>
    <row r="254">
      <c r="A254" s="27" t="s">
        <v>42</v>
      </c>
      <c r="B254" s="27" t="s">
        <v>811</v>
      </c>
      <c r="C254" s="27" t="s">
        <v>812</v>
      </c>
      <c r="D254" s="27" t="s">
        <v>813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2604</f>
        <v>2604.0</v>
      </c>
      <c r="L254" s="34" t="s">
        <v>48</v>
      </c>
      <c r="M254" s="33" t="n">
        <f>2761</f>
        <v>2761.0</v>
      </c>
      <c r="N254" s="34" t="s">
        <v>60</v>
      </c>
      <c r="O254" s="33" t="n">
        <f>2581</f>
        <v>2581.0</v>
      </c>
      <c r="P254" s="34" t="s">
        <v>48</v>
      </c>
      <c r="Q254" s="33" t="n">
        <f>2743</f>
        <v>2743.0</v>
      </c>
      <c r="R254" s="34" t="s">
        <v>49</v>
      </c>
      <c r="S254" s="35" t="n">
        <f>2672.63</f>
        <v>2672.63</v>
      </c>
      <c r="T254" s="32" t="n">
        <f>523355</f>
        <v>523355.0</v>
      </c>
      <c r="U254" s="32" t="n">
        <f>380000</f>
        <v>380000.0</v>
      </c>
      <c r="V254" s="32" t="n">
        <f>1385606770</f>
        <v>1.38560677E9</v>
      </c>
      <c r="W254" s="32" t="n">
        <f>1009216000</f>
        <v>1.009216E9</v>
      </c>
      <c r="X254" s="36" t="n">
        <f>19</f>
        <v>19.0</v>
      </c>
    </row>
    <row r="255">
      <c r="A255" s="27" t="s">
        <v>42</v>
      </c>
      <c r="B255" s="27" t="s">
        <v>814</v>
      </c>
      <c r="C255" s="27" t="s">
        <v>815</v>
      </c>
      <c r="D255" s="27" t="s">
        <v>816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1887</f>
        <v>1887.0</v>
      </c>
      <c r="L255" s="34" t="s">
        <v>48</v>
      </c>
      <c r="M255" s="33" t="n">
        <f>1994</f>
        <v>1994.0</v>
      </c>
      <c r="N255" s="34" t="s">
        <v>49</v>
      </c>
      <c r="O255" s="33" t="n">
        <f>1866</f>
        <v>1866.0</v>
      </c>
      <c r="P255" s="34" t="s">
        <v>56</v>
      </c>
      <c r="Q255" s="33" t="n">
        <f>1978</f>
        <v>1978.0</v>
      </c>
      <c r="R255" s="34" t="s">
        <v>49</v>
      </c>
      <c r="S255" s="35" t="n">
        <f>1929.47</f>
        <v>1929.47</v>
      </c>
      <c r="T255" s="32" t="n">
        <f>209142</f>
        <v>209142.0</v>
      </c>
      <c r="U255" s="32" t="n">
        <f>1</f>
        <v>1.0</v>
      </c>
      <c r="V255" s="32" t="n">
        <f>404849125</f>
        <v>4.04849125E8</v>
      </c>
      <c r="W255" s="32" t="n">
        <f>1906</f>
        <v>1906.0</v>
      </c>
      <c r="X255" s="36" t="n">
        <f>19</f>
        <v>19.0</v>
      </c>
    </row>
    <row r="256">
      <c r="A256" s="27" t="s">
        <v>42</v>
      </c>
      <c r="B256" s="27" t="s">
        <v>817</v>
      </c>
      <c r="C256" s="27" t="s">
        <v>818</v>
      </c>
      <c r="D256" s="27" t="s">
        <v>819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1791</f>
        <v>1791.0</v>
      </c>
      <c r="L256" s="34" t="s">
        <v>48</v>
      </c>
      <c r="M256" s="33" t="n">
        <f>1874</f>
        <v>1874.0</v>
      </c>
      <c r="N256" s="34" t="s">
        <v>96</v>
      </c>
      <c r="O256" s="33" t="n">
        <f>1772</f>
        <v>1772.0</v>
      </c>
      <c r="P256" s="34" t="s">
        <v>56</v>
      </c>
      <c r="Q256" s="33" t="n">
        <f>1860</f>
        <v>1860.0</v>
      </c>
      <c r="R256" s="34" t="s">
        <v>49</v>
      </c>
      <c r="S256" s="35" t="n">
        <f>1819.95</f>
        <v>1819.95</v>
      </c>
      <c r="T256" s="32" t="n">
        <f>24104</f>
        <v>24104.0</v>
      </c>
      <c r="U256" s="32" t="str">
        <f>"－"</f>
        <v>－</v>
      </c>
      <c r="V256" s="32" t="n">
        <f>43857708</f>
        <v>4.3857708E7</v>
      </c>
      <c r="W256" s="32" t="str">
        <f>"－"</f>
        <v>－</v>
      </c>
      <c r="X256" s="36" t="n">
        <f>19</f>
        <v>19.0</v>
      </c>
    </row>
    <row r="257">
      <c r="A257" s="27" t="s">
        <v>42</v>
      </c>
      <c r="B257" s="27" t="s">
        <v>820</v>
      </c>
      <c r="C257" s="27" t="s">
        <v>821</v>
      </c>
      <c r="D257" s="27" t="s">
        <v>822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1402</f>
        <v>1402.0</v>
      </c>
      <c r="L257" s="34" t="s">
        <v>48</v>
      </c>
      <c r="M257" s="33" t="n">
        <f>1485</f>
        <v>1485.0</v>
      </c>
      <c r="N257" s="34" t="s">
        <v>76</v>
      </c>
      <c r="O257" s="33" t="n">
        <f>1380</f>
        <v>1380.0</v>
      </c>
      <c r="P257" s="34" t="s">
        <v>48</v>
      </c>
      <c r="Q257" s="33" t="n">
        <f>1454</f>
        <v>1454.0</v>
      </c>
      <c r="R257" s="34" t="s">
        <v>49</v>
      </c>
      <c r="S257" s="35" t="n">
        <f>1435.58</f>
        <v>1435.58</v>
      </c>
      <c r="T257" s="32" t="n">
        <f>59644</f>
        <v>59644.0</v>
      </c>
      <c r="U257" s="32" t="str">
        <f>"－"</f>
        <v>－</v>
      </c>
      <c r="V257" s="32" t="n">
        <f>82615148</f>
        <v>8.2615148E7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823</v>
      </c>
      <c r="C258" s="27" t="s">
        <v>824</v>
      </c>
      <c r="D258" s="27" t="s">
        <v>825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1912</f>
        <v>1912.0</v>
      </c>
      <c r="L258" s="34" t="s">
        <v>48</v>
      </c>
      <c r="M258" s="33" t="n">
        <f>2098</f>
        <v>2098.0</v>
      </c>
      <c r="N258" s="34" t="s">
        <v>76</v>
      </c>
      <c r="O258" s="33" t="n">
        <f>1881</f>
        <v>1881.0</v>
      </c>
      <c r="P258" s="34" t="s">
        <v>48</v>
      </c>
      <c r="Q258" s="33" t="n">
        <f>2000</f>
        <v>2000.0</v>
      </c>
      <c r="R258" s="34" t="s">
        <v>49</v>
      </c>
      <c r="S258" s="35" t="n">
        <f>1987.11</f>
        <v>1987.11</v>
      </c>
      <c r="T258" s="32" t="n">
        <f>43052</f>
        <v>43052.0</v>
      </c>
      <c r="U258" s="32" t="str">
        <f>"－"</f>
        <v>－</v>
      </c>
      <c r="V258" s="32" t="n">
        <f>85112635</f>
        <v>8.5112635E7</v>
      </c>
      <c r="W258" s="32" t="str">
        <f>"－"</f>
        <v>－</v>
      </c>
      <c r="X258" s="36" t="n">
        <f>19</f>
        <v>19.0</v>
      </c>
    </row>
    <row r="259">
      <c r="A259" s="27" t="s">
        <v>42</v>
      </c>
      <c r="B259" s="27" t="s">
        <v>826</v>
      </c>
      <c r="C259" s="27" t="s">
        <v>827</v>
      </c>
      <c r="D259" s="27" t="s">
        <v>828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2460</f>
        <v>2460.0</v>
      </c>
      <c r="L259" s="34" t="s">
        <v>48</v>
      </c>
      <c r="M259" s="33" t="n">
        <f>2661</f>
        <v>2661.0</v>
      </c>
      <c r="N259" s="34" t="s">
        <v>96</v>
      </c>
      <c r="O259" s="33" t="n">
        <f>2385</f>
        <v>2385.0</v>
      </c>
      <c r="P259" s="34" t="s">
        <v>48</v>
      </c>
      <c r="Q259" s="33" t="n">
        <f>2553</f>
        <v>2553.0</v>
      </c>
      <c r="R259" s="34" t="s">
        <v>49</v>
      </c>
      <c r="S259" s="35" t="n">
        <f>2550</f>
        <v>2550.0</v>
      </c>
      <c r="T259" s="32" t="n">
        <f>3414</f>
        <v>3414.0</v>
      </c>
      <c r="U259" s="32" t="str">
        <f>"－"</f>
        <v>－</v>
      </c>
      <c r="V259" s="32" t="n">
        <f>8740657</f>
        <v>8740657.0</v>
      </c>
      <c r="W259" s="32" t="str">
        <f>"－"</f>
        <v>－</v>
      </c>
      <c r="X259" s="36" t="n">
        <f>19</f>
        <v>19.0</v>
      </c>
    </row>
    <row r="260">
      <c r="A260" s="27" t="s">
        <v>42</v>
      </c>
      <c r="B260" s="27" t="s">
        <v>829</v>
      </c>
      <c r="C260" s="27" t="s">
        <v>830</v>
      </c>
      <c r="D260" s="27" t="s">
        <v>831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9531</f>
        <v>9531.0</v>
      </c>
      <c r="L260" s="34" t="s">
        <v>48</v>
      </c>
      <c r="M260" s="33" t="n">
        <f>10090</f>
        <v>10090.0</v>
      </c>
      <c r="N260" s="34" t="s">
        <v>76</v>
      </c>
      <c r="O260" s="33" t="n">
        <f>9488</f>
        <v>9488.0</v>
      </c>
      <c r="P260" s="34" t="s">
        <v>56</v>
      </c>
      <c r="Q260" s="33" t="n">
        <f>9952</f>
        <v>9952.0</v>
      </c>
      <c r="R260" s="34" t="s">
        <v>49</v>
      </c>
      <c r="S260" s="35" t="n">
        <f>9833.42</f>
        <v>9833.42</v>
      </c>
      <c r="T260" s="32" t="n">
        <f>255556</f>
        <v>255556.0</v>
      </c>
      <c r="U260" s="32" t="str">
        <f>"－"</f>
        <v>－</v>
      </c>
      <c r="V260" s="32" t="n">
        <f>2513133520</f>
        <v>2.51313352E9</v>
      </c>
      <c r="W260" s="32" t="str">
        <f>"－"</f>
        <v>－</v>
      </c>
      <c r="X260" s="36" t="n">
        <f>19</f>
        <v>19.0</v>
      </c>
    </row>
    <row r="261">
      <c r="A261" s="27" t="s">
        <v>42</v>
      </c>
      <c r="B261" s="27" t="s">
        <v>832</v>
      </c>
      <c r="C261" s="27" t="s">
        <v>833</v>
      </c>
      <c r="D261" s="27" t="s">
        <v>834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10260</f>
        <v>10260.0</v>
      </c>
      <c r="L261" s="34" t="s">
        <v>48</v>
      </c>
      <c r="M261" s="33" t="n">
        <f>11370</f>
        <v>11370.0</v>
      </c>
      <c r="N261" s="34" t="s">
        <v>76</v>
      </c>
      <c r="O261" s="33" t="n">
        <f>10205</f>
        <v>10205.0</v>
      </c>
      <c r="P261" s="34" t="s">
        <v>48</v>
      </c>
      <c r="Q261" s="33" t="n">
        <f>11105</f>
        <v>11105.0</v>
      </c>
      <c r="R261" s="34" t="s">
        <v>49</v>
      </c>
      <c r="S261" s="35" t="n">
        <f>10747.37</f>
        <v>10747.37</v>
      </c>
      <c r="T261" s="32" t="n">
        <f>669069</f>
        <v>669069.0</v>
      </c>
      <c r="U261" s="32" t="n">
        <f>4</f>
        <v>4.0</v>
      </c>
      <c r="V261" s="32" t="n">
        <f>7223675755</f>
        <v>7.223675755E9</v>
      </c>
      <c r="W261" s="32" t="n">
        <f>44760</f>
        <v>44760.0</v>
      </c>
      <c r="X261" s="36" t="n">
        <f>19</f>
        <v>19.0</v>
      </c>
    </row>
    <row r="262">
      <c r="A262" s="27" t="s">
        <v>42</v>
      </c>
      <c r="B262" s="27" t="s">
        <v>835</v>
      </c>
      <c r="C262" s="27" t="s">
        <v>836</v>
      </c>
      <c r="D262" s="27" t="s">
        <v>837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7857</f>
        <v>7857.0</v>
      </c>
      <c r="L262" s="34" t="s">
        <v>48</v>
      </c>
      <c r="M262" s="33" t="n">
        <f>8751</f>
        <v>8751.0</v>
      </c>
      <c r="N262" s="34" t="s">
        <v>76</v>
      </c>
      <c r="O262" s="33" t="n">
        <f>7776</f>
        <v>7776.0</v>
      </c>
      <c r="P262" s="34" t="s">
        <v>56</v>
      </c>
      <c r="Q262" s="33" t="n">
        <f>8542</f>
        <v>8542.0</v>
      </c>
      <c r="R262" s="34" t="s">
        <v>49</v>
      </c>
      <c r="S262" s="35" t="n">
        <f>8277.89</f>
        <v>8277.89</v>
      </c>
      <c r="T262" s="32" t="n">
        <f>722698</f>
        <v>722698.0</v>
      </c>
      <c r="U262" s="32" t="n">
        <f>188309</f>
        <v>188309.0</v>
      </c>
      <c r="V262" s="32" t="n">
        <f>5967131745</f>
        <v>5.967131745E9</v>
      </c>
      <c r="W262" s="32" t="n">
        <f>1510438999</f>
        <v>1.510438999E9</v>
      </c>
      <c r="X262" s="36" t="n">
        <f>19</f>
        <v>19.0</v>
      </c>
    </row>
    <row r="263">
      <c r="A263" s="27" t="s">
        <v>42</v>
      </c>
      <c r="B263" s="27" t="s">
        <v>838</v>
      </c>
      <c r="C263" s="27" t="s">
        <v>839</v>
      </c>
      <c r="D263" s="27" t="s">
        <v>840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2322.5</f>
        <v>2322.5</v>
      </c>
      <c r="L263" s="34" t="s">
        <v>48</v>
      </c>
      <c r="M263" s="33" t="n">
        <f>2450</f>
        <v>2450.0</v>
      </c>
      <c r="N263" s="34" t="s">
        <v>76</v>
      </c>
      <c r="O263" s="33" t="n">
        <f>2310</f>
        <v>2310.0</v>
      </c>
      <c r="P263" s="34" t="s">
        <v>48</v>
      </c>
      <c r="Q263" s="33" t="n">
        <f>2418.5</f>
        <v>2418.5</v>
      </c>
      <c r="R263" s="34" t="s">
        <v>49</v>
      </c>
      <c r="S263" s="35" t="n">
        <f>2387.32</f>
        <v>2387.32</v>
      </c>
      <c r="T263" s="32" t="n">
        <f>1716710</f>
        <v>1716710.0</v>
      </c>
      <c r="U263" s="32" t="str">
        <f>"－"</f>
        <v>－</v>
      </c>
      <c r="V263" s="32" t="n">
        <f>4091777875</f>
        <v>4.091777875E9</v>
      </c>
      <c r="W263" s="32" t="str">
        <f>"－"</f>
        <v>－</v>
      </c>
      <c r="X263" s="36" t="n">
        <f>19</f>
        <v>19.0</v>
      </c>
    </row>
    <row r="264">
      <c r="A264" s="27" t="s">
        <v>42</v>
      </c>
      <c r="B264" s="27" t="s">
        <v>841</v>
      </c>
      <c r="C264" s="27" t="s">
        <v>842</v>
      </c>
      <c r="D264" s="27" t="s">
        <v>843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1879</f>
        <v>1879.0</v>
      </c>
      <c r="L264" s="34" t="s">
        <v>48</v>
      </c>
      <c r="M264" s="33" t="n">
        <f>1989</f>
        <v>1989.0</v>
      </c>
      <c r="N264" s="34" t="s">
        <v>76</v>
      </c>
      <c r="O264" s="33" t="n">
        <f>1869</f>
        <v>1869.0</v>
      </c>
      <c r="P264" s="34" t="s">
        <v>56</v>
      </c>
      <c r="Q264" s="33" t="n">
        <f>1963</f>
        <v>1963.0</v>
      </c>
      <c r="R264" s="34" t="s">
        <v>49</v>
      </c>
      <c r="S264" s="35" t="n">
        <f>1937.68</f>
        <v>1937.68</v>
      </c>
      <c r="T264" s="32" t="n">
        <f>2088360</f>
        <v>2088360.0</v>
      </c>
      <c r="U264" s="32" t="n">
        <f>60000</f>
        <v>60000.0</v>
      </c>
      <c r="V264" s="32" t="n">
        <f>4063031010</f>
        <v>4.06303101E9</v>
      </c>
      <c r="W264" s="32" t="n">
        <f>117084000</f>
        <v>1.17084E8</v>
      </c>
      <c r="X264" s="36" t="n">
        <f>19</f>
        <v>19.0</v>
      </c>
    </row>
    <row r="265">
      <c r="A265" s="27" t="s">
        <v>42</v>
      </c>
      <c r="B265" s="27" t="s">
        <v>844</v>
      </c>
      <c r="C265" s="27" t="s">
        <v>845</v>
      </c>
      <c r="D265" s="27" t="s">
        <v>846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2410</f>
        <v>2410.0</v>
      </c>
      <c r="L265" s="34" t="s">
        <v>48</v>
      </c>
      <c r="M265" s="33" t="n">
        <f>2534</f>
        <v>2534.0</v>
      </c>
      <c r="N265" s="34" t="s">
        <v>49</v>
      </c>
      <c r="O265" s="33" t="n">
        <f>2385</f>
        <v>2385.0</v>
      </c>
      <c r="P265" s="34" t="s">
        <v>48</v>
      </c>
      <c r="Q265" s="33" t="n">
        <f>2503</f>
        <v>2503.0</v>
      </c>
      <c r="R265" s="34" t="s">
        <v>49</v>
      </c>
      <c r="S265" s="35" t="n">
        <f>2464.32</f>
        <v>2464.32</v>
      </c>
      <c r="T265" s="32" t="n">
        <f>18490</f>
        <v>18490.0</v>
      </c>
      <c r="U265" s="32" t="n">
        <f>40</f>
        <v>40.0</v>
      </c>
      <c r="V265" s="32" t="n">
        <f>45297190</f>
        <v>4.529719E7</v>
      </c>
      <c r="W265" s="32" t="n">
        <f>97885</f>
        <v>97885.0</v>
      </c>
      <c r="X265" s="36" t="n">
        <f>19</f>
        <v>19.0</v>
      </c>
    </row>
    <row r="266">
      <c r="A266" s="27" t="s">
        <v>42</v>
      </c>
      <c r="B266" s="27" t="s">
        <v>847</v>
      </c>
      <c r="C266" s="27" t="s">
        <v>848</v>
      </c>
      <c r="D266" s="27" t="s">
        <v>849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2393</f>
        <v>2393.0</v>
      </c>
      <c r="L266" s="34" t="s">
        <v>48</v>
      </c>
      <c r="M266" s="33" t="n">
        <f>2553</f>
        <v>2553.0</v>
      </c>
      <c r="N266" s="34" t="s">
        <v>100</v>
      </c>
      <c r="O266" s="33" t="n">
        <f>2367</f>
        <v>2367.0</v>
      </c>
      <c r="P266" s="34" t="s">
        <v>48</v>
      </c>
      <c r="Q266" s="33" t="n">
        <f>2534</f>
        <v>2534.0</v>
      </c>
      <c r="R266" s="34" t="s">
        <v>49</v>
      </c>
      <c r="S266" s="35" t="n">
        <f>2469.68</f>
        <v>2469.68</v>
      </c>
      <c r="T266" s="32" t="n">
        <f>3371</f>
        <v>3371.0</v>
      </c>
      <c r="U266" s="32" t="str">
        <f>"－"</f>
        <v>－</v>
      </c>
      <c r="V266" s="32" t="n">
        <f>8344148</f>
        <v>8344148.0</v>
      </c>
      <c r="W266" s="32" t="str">
        <f>"－"</f>
        <v>－</v>
      </c>
      <c r="X266" s="36" t="n">
        <f>19</f>
        <v>19.0</v>
      </c>
    </row>
    <row r="267">
      <c r="A267" s="27" t="s">
        <v>42</v>
      </c>
      <c r="B267" s="27" t="s">
        <v>850</v>
      </c>
      <c r="C267" s="27" t="s">
        <v>851</v>
      </c>
      <c r="D267" s="27" t="s">
        <v>852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1454</f>
        <v>1454.0</v>
      </c>
      <c r="L267" s="34" t="s">
        <v>48</v>
      </c>
      <c r="M267" s="33" t="n">
        <f>1596</f>
        <v>1596.0</v>
      </c>
      <c r="N267" s="34" t="s">
        <v>100</v>
      </c>
      <c r="O267" s="33" t="n">
        <f>1435</f>
        <v>1435.0</v>
      </c>
      <c r="P267" s="34" t="s">
        <v>48</v>
      </c>
      <c r="Q267" s="33" t="n">
        <f>1585</f>
        <v>1585.0</v>
      </c>
      <c r="R267" s="34" t="s">
        <v>49</v>
      </c>
      <c r="S267" s="35" t="n">
        <f>1532.47</f>
        <v>1532.47</v>
      </c>
      <c r="T267" s="32" t="n">
        <f>34793</f>
        <v>34793.0</v>
      </c>
      <c r="U267" s="32" t="n">
        <f>2</f>
        <v>2.0</v>
      </c>
      <c r="V267" s="32" t="n">
        <f>53287815</f>
        <v>5.3287815E7</v>
      </c>
      <c r="W267" s="32" t="n">
        <f>3087</f>
        <v>3087.0</v>
      </c>
      <c r="X267" s="36" t="n">
        <f>19</f>
        <v>19.0</v>
      </c>
    </row>
    <row r="268">
      <c r="A268" s="27" t="s">
        <v>42</v>
      </c>
      <c r="B268" s="27" t="s">
        <v>853</v>
      </c>
      <c r="C268" s="27" t="s">
        <v>854</v>
      </c>
      <c r="D268" s="27" t="s">
        <v>855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1753</f>
        <v>1753.0</v>
      </c>
      <c r="L268" s="34" t="s">
        <v>48</v>
      </c>
      <c r="M268" s="33" t="n">
        <f>1985</f>
        <v>1985.0</v>
      </c>
      <c r="N268" s="34" t="s">
        <v>76</v>
      </c>
      <c r="O268" s="33" t="n">
        <f>1726</f>
        <v>1726.0</v>
      </c>
      <c r="P268" s="34" t="s">
        <v>56</v>
      </c>
      <c r="Q268" s="33" t="n">
        <f>1972</f>
        <v>1972.0</v>
      </c>
      <c r="R268" s="34" t="s">
        <v>49</v>
      </c>
      <c r="S268" s="35" t="n">
        <f>1865.42</f>
        <v>1865.42</v>
      </c>
      <c r="T268" s="32" t="n">
        <f>49672</f>
        <v>49672.0</v>
      </c>
      <c r="U268" s="32" t="str">
        <f>"－"</f>
        <v>－</v>
      </c>
      <c r="V268" s="32" t="n">
        <f>92869829</f>
        <v>9.2869829E7</v>
      </c>
      <c r="W268" s="32" t="str">
        <f>"－"</f>
        <v>－</v>
      </c>
      <c r="X268" s="36" t="n">
        <f>19</f>
        <v>19.0</v>
      </c>
    </row>
    <row r="269">
      <c r="A269" s="27" t="s">
        <v>42</v>
      </c>
      <c r="B269" s="27" t="s">
        <v>856</v>
      </c>
      <c r="C269" s="27" t="s">
        <v>857</v>
      </c>
      <c r="D269" s="27" t="s">
        <v>858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1514</f>
        <v>1514.0</v>
      </c>
      <c r="L269" s="34" t="s">
        <v>48</v>
      </c>
      <c r="M269" s="33" t="n">
        <f>1557</f>
        <v>1557.0</v>
      </c>
      <c r="N269" s="34" t="s">
        <v>60</v>
      </c>
      <c r="O269" s="33" t="n">
        <f>1453</f>
        <v>1453.0</v>
      </c>
      <c r="P269" s="34" t="s">
        <v>56</v>
      </c>
      <c r="Q269" s="33" t="n">
        <f>1520</f>
        <v>1520.0</v>
      </c>
      <c r="R269" s="34" t="s">
        <v>49</v>
      </c>
      <c r="S269" s="35" t="n">
        <f>1502.63</f>
        <v>1502.63</v>
      </c>
      <c r="T269" s="32" t="n">
        <f>79976</f>
        <v>79976.0</v>
      </c>
      <c r="U269" s="32" t="str">
        <f>"－"</f>
        <v>－</v>
      </c>
      <c r="V269" s="32" t="n">
        <f>119134396</f>
        <v>1.19134396E8</v>
      </c>
      <c r="W269" s="32" t="str">
        <f>"－"</f>
        <v>－</v>
      </c>
      <c r="X269" s="36" t="n">
        <f>19</f>
        <v>19.0</v>
      </c>
    </row>
    <row r="270">
      <c r="A270" s="27" t="s">
        <v>42</v>
      </c>
      <c r="B270" s="27" t="s">
        <v>859</v>
      </c>
      <c r="C270" s="27" t="s">
        <v>860</v>
      </c>
      <c r="D270" s="27" t="s">
        <v>861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2507</f>
        <v>2507.0</v>
      </c>
      <c r="L270" s="34" t="s">
        <v>48</v>
      </c>
      <c r="M270" s="33" t="n">
        <f>2602</f>
        <v>2602.0</v>
      </c>
      <c r="N270" s="34" t="s">
        <v>96</v>
      </c>
      <c r="O270" s="33" t="n">
        <f>2422</f>
        <v>2422.0</v>
      </c>
      <c r="P270" s="34" t="s">
        <v>80</v>
      </c>
      <c r="Q270" s="33" t="n">
        <f>2574</f>
        <v>2574.0</v>
      </c>
      <c r="R270" s="34" t="s">
        <v>49</v>
      </c>
      <c r="S270" s="35" t="n">
        <f>2516.63</f>
        <v>2516.63</v>
      </c>
      <c r="T270" s="32" t="n">
        <f>17331</f>
        <v>17331.0</v>
      </c>
      <c r="U270" s="32" t="str">
        <f>"－"</f>
        <v>－</v>
      </c>
      <c r="V270" s="32" t="n">
        <f>43534929</f>
        <v>4.3534929E7</v>
      </c>
      <c r="W270" s="32" t="str">
        <f>"－"</f>
        <v>－</v>
      </c>
      <c r="X270" s="36" t="n">
        <f>19</f>
        <v>19.0</v>
      </c>
    </row>
    <row r="271">
      <c r="A271" s="27" t="s">
        <v>42</v>
      </c>
      <c r="B271" s="27" t="s">
        <v>862</v>
      </c>
      <c r="C271" s="27" t="s">
        <v>863</v>
      </c>
      <c r="D271" s="27" t="s">
        <v>864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1927</f>
        <v>1927.0</v>
      </c>
      <c r="L271" s="34" t="s">
        <v>48</v>
      </c>
      <c r="M271" s="33" t="n">
        <f>2043</f>
        <v>2043.0</v>
      </c>
      <c r="N271" s="34" t="s">
        <v>60</v>
      </c>
      <c r="O271" s="33" t="n">
        <f>1914</f>
        <v>1914.0</v>
      </c>
      <c r="P271" s="34" t="s">
        <v>48</v>
      </c>
      <c r="Q271" s="33" t="n">
        <f>2014</f>
        <v>2014.0</v>
      </c>
      <c r="R271" s="34" t="s">
        <v>49</v>
      </c>
      <c r="S271" s="35" t="n">
        <f>1982.37</f>
        <v>1982.37</v>
      </c>
      <c r="T271" s="32" t="n">
        <f>48604</f>
        <v>48604.0</v>
      </c>
      <c r="U271" s="32" t="n">
        <f>4</f>
        <v>4.0</v>
      </c>
      <c r="V271" s="32" t="n">
        <f>94694425</f>
        <v>9.4694425E7</v>
      </c>
      <c r="W271" s="32" t="n">
        <f>7826</f>
        <v>7826.0</v>
      </c>
      <c r="X271" s="36" t="n">
        <f>19</f>
        <v>19.0</v>
      </c>
    </row>
    <row r="272">
      <c r="A272" s="27" t="s">
        <v>42</v>
      </c>
      <c r="B272" s="27" t="s">
        <v>865</v>
      </c>
      <c r="C272" s="27" t="s">
        <v>866</v>
      </c>
      <c r="D272" s="27" t="s">
        <v>867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24970</f>
        <v>24970.0</v>
      </c>
      <c r="L272" s="34" t="s">
        <v>48</v>
      </c>
      <c r="M272" s="33" t="n">
        <f>26080</f>
        <v>26080.0</v>
      </c>
      <c r="N272" s="34" t="s">
        <v>100</v>
      </c>
      <c r="O272" s="33" t="n">
        <f>24880</f>
        <v>24880.0</v>
      </c>
      <c r="P272" s="34" t="s">
        <v>70</v>
      </c>
      <c r="Q272" s="33" t="n">
        <f>26080</f>
        <v>26080.0</v>
      </c>
      <c r="R272" s="34" t="s">
        <v>100</v>
      </c>
      <c r="S272" s="35" t="n">
        <f>25305.71</f>
        <v>25305.71</v>
      </c>
      <c r="T272" s="32" t="n">
        <f>26</f>
        <v>26.0</v>
      </c>
      <c r="U272" s="32" t="str">
        <f>"－"</f>
        <v>－</v>
      </c>
      <c r="V272" s="32" t="n">
        <f>668045</f>
        <v>668045.0</v>
      </c>
      <c r="W272" s="32" t="str">
        <f>"－"</f>
        <v>－</v>
      </c>
      <c r="X272" s="36" t="n">
        <f>7</f>
        <v>7.0</v>
      </c>
    </row>
    <row r="273">
      <c r="A273" s="27" t="s">
        <v>42</v>
      </c>
      <c r="B273" s="27" t="s">
        <v>868</v>
      </c>
      <c r="C273" s="27" t="s">
        <v>869</v>
      </c>
      <c r="D273" s="27" t="s">
        <v>870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1936</f>
        <v>1936.0</v>
      </c>
      <c r="L273" s="34" t="s">
        <v>48</v>
      </c>
      <c r="M273" s="33" t="n">
        <f>2050</f>
        <v>2050.0</v>
      </c>
      <c r="N273" s="34" t="s">
        <v>60</v>
      </c>
      <c r="O273" s="33" t="n">
        <f>1920</f>
        <v>1920.0</v>
      </c>
      <c r="P273" s="34" t="s">
        <v>56</v>
      </c>
      <c r="Q273" s="33" t="n">
        <f>2033</f>
        <v>2033.0</v>
      </c>
      <c r="R273" s="34" t="s">
        <v>49</v>
      </c>
      <c r="S273" s="35" t="n">
        <f>1987.78</f>
        <v>1987.78</v>
      </c>
      <c r="T273" s="32" t="n">
        <f>1136</f>
        <v>1136.0</v>
      </c>
      <c r="U273" s="32" t="str">
        <f>"－"</f>
        <v>－</v>
      </c>
      <c r="V273" s="32" t="n">
        <f>2268641</f>
        <v>2268641.0</v>
      </c>
      <c r="W273" s="32" t="str">
        <f>"－"</f>
        <v>－</v>
      </c>
      <c r="X273" s="36" t="n">
        <f>18</f>
        <v>18.0</v>
      </c>
    </row>
    <row r="274">
      <c r="A274" s="27" t="s">
        <v>42</v>
      </c>
      <c r="B274" s="27" t="s">
        <v>871</v>
      </c>
      <c r="C274" s="27" t="s">
        <v>872</v>
      </c>
      <c r="D274" s="27" t="s">
        <v>873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2037</f>
        <v>2037.0</v>
      </c>
      <c r="L274" s="34" t="s">
        <v>48</v>
      </c>
      <c r="M274" s="33" t="n">
        <f>2316</f>
        <v>2316.0</v>
      </c>
      <c r="N274" s="34" t="s">
        <v>64</v>
      </c>
      <c r="O274" s="33" t="n">
        <f>1995</f>
        <v>1995.0</v>
      </c>
      <c r="P274" s="34" t="s">
        <v>48</v>
      </c>
      <c r="Q274" s="33" t="n">
        <f>2268</f>
        <v>2268.0</v>
      </c>
      <c r="R274" s="34" t="s">
        <v>49</v>
      </c>
      <c r="S274" s="35" t="n">
        <f>2188.89</f>
        <v>2188.89</v>
      </c>
      <c r="T274" s="32" t="n">
        <f>261476</f>
        <v>261476.0</v>
      </c>
      <c r="U274" s="32" t="str">
        <f>"－"</f>
        <v>－</v>
      </c>
      <c r="V274" s="32" t="n">
        <f>573121961</f>
        <v>5.73121961E8</v>
      </c>
      <c r="W274" s="32" t="str">
        <f>"－"</f>
        <v>－</v>
      </c>
      <c r="X274" s="36" t="n">
        <f>19</f>
        <v>19.0</v>
      </c>
    </row>
    <row r="275">
      <c r="A275" s="27" t="s">
        <v>42</v>
      </c>
      <c r="B275" s="27" t="s">
        <v>874</v>
      </c>
      <c r="C275" s="27" t="s">
        <v>875</v>
      </c>
      <c r="D275" s="27" t="s">
        <v>876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1729</f>
        <v>1729.0</v>
      </c>
      <c r="L275" s="34" t="s">
        <v>48</v>
      </c>
      <c r="M275" s="33" t="n">
        <f>1806</f>
        <v>1806.0</v>
      </c>
      <c r="N275" s="34" t="s">
        <v>60</v>
      </c>
      <c r="O275" s="33" t="n">
        <f>1695</f>
        <v>1695.0</v>
      </c>
      <c r="P275" s="34" t="s">
        <v>80</v>
      </c>
      <c r="Q275" s="33" t="n">
        <f>1793</f>
        <v>1793.0</v>
      </c>
      <c r="R275" s="34" t="s">
        <v>49</v>
      </c>
      <c r="S275" s="35" t="n">
        <f>1748.16</f>
        <v>1748.16</v>
      </c>
      <c r="T275" s="32" t="n">
        <f>6017</f>
        <v>6017.0</v>
      </c>
      <c r="U275" s="32" t="str">
        <f>"－"</f>
        <v>－</v>
      </c>
      <c r="V275" s="32" t="n">
        <f>10706359</f>
        <v>1.0706359E7</v>
      </c>
      <c r="W275" s="32" t="str">
        <f>"－"</f>
        <v>－</v>
      </c>
      <c r="X275" s="36" t="n">
        <f>19</f>
        <v>19.0</v>
      </c>
    </row>
    <row r="276">
      <c r="A276" s="27" t="s">
        <v>42</v>
      </c>
      <c r="B276" s="27" t="s">
        <v>877</v>
      </c>
      <c r="C276" s="27" t="s">
        <v>878</v>
      </c>
      <c r="D276" s="27" t="s">
        <v>879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1353</f>
        <v>1353.0</v>
      </c>
      <c r="L276" s="34" t="s">
        <v>48</v>
      </c>
      <c r="M276" s="33" t="n">
        <f>1473</f>
        <v>1473.0</v>
      </c>
      <c r="N276" s="34" t="s">
        <v>96</v>
      </c>
      <c r="O276" s="33" t="n">
        <f>1325</f>
        <v>1325.0</v>
      </c>
      <c r="P276" s="34" t="s">
        <v>56</v>
      </c>
      <c r="Q276" s="33" t="n">
        <f>1461</f>
        <v>1461.0</v>
      </c>
      <c r="R276" s="34" t="s">
        <v>49</v>
      </c>
      <c r="S276" s="35" t="n">
        <f>1413.58</f>
        <v>1413.58</v>
      </c>
      <c r="T276" s="32" t="n">
        <f>4840</f>
        <v>4840.0</v>
      </c>
      <c r="U276" s="32" t="str">
        <f>"－"</f>
        <v>－</v>
      </c>
      <c r="V276" s="32" t="n">
        <f>6851929</f>
        <v>6851929.0</v>
      </c>
      <c r="W276" s="32" t="str">
        <f>"－"</f>
        <v>－</v>
      </c>
      <c r="X276" s="36" t="n">
        <f>19</f>
        <v>19.0</v>
      </c>
    </row>
    <row r="277">
      <c r="A277" s="27" t="s">
        <v>42</v>
      </c>
      <c r="B277" s="27" t="s">
        <v>880</v>
      </c>
      <c r="C277" s="27" t="s">
        <v>881</v>
      </c>
      <c r="D277" s="27" t="s">
        <v>882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5119</f>
        <v>5119.0</v>
      </c>
      <c r="L277" s="34" t="s">
        <v>48</v>
      </c>
      <c r="M277" s="33" t="n">
        <f>5119</f>
        <v>5119.0</v>
      </c>
      <c r="N277" s="34" t="s">
        <v>48</v>
      </c>
      <c r="O277" s="33" t="n">
        <f>4897</f>
        <v>4897.0</v>
      </c>
      <c r="P277" s="34" t="s">
        <v>80</v>
      </c>
      <c r="Q277" s="33" t="n">
        <f>5001</f>
        <v>5001.0</v>
      </c>
      <c r="R277" s="34" t="s">
        <v>49</v>
      </c>
      <c r="S277" s="35" t="n">
        <f>4993.64</f>
        <v>4993.64</v>
      </c>
      <c r="T277" s="32" t="n">
        <f>121930</f>
        <v>121930.0</v>
      </c>
      <c r="U277" s="32" t="str">
        <f>"－"</f>
        <v>－</v>
      </c>
      <c r="V277" s="32" t="n">
        <f>609676070</f>
        <v>6.0967607E8</v>
      </c>
      <c r="W277" s="32" t="str">
        <f>"－"</f>
        <v>－</v>
      </c>
      <c r="X277" s="36" t="n">
        <f>14</f>
        <v>14.0</v>
      </c>
    </row>
    <row r="278">
      <c r="A278" s="27" t="s">
        <v>42</v>
      </c>
      <c r="B278" s="27" t="s">
        <v>883</v>
      </c>
      <c r="C278" s="27" t="s">
        <v>884</v>
      </c>
      <c r="D278" s="27" t="s">
        <v>885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4240</f>
        <v>4240.0</v>
      </c>
      <c r="L278" s="34" t="s">
        <v>48</v>
      </c>
      <c r="M278" s="33" t="n">
        <f>4271</f>
        <v>4271.0</v>
      </c>
      <c r="N278" s="34" t="s">
        <v>415</v>
      </c>
      <c r="O278" s="33" t="n">
        <f>4124</f>
        <v>4124.0</v>
      </c>
      <c r="P278" s="34" t="s">
        <v>48</v>
      </c>
      <c r="Q278" s="33" t="n">
        <f>4200</f>
        <v>4200.0</v>
      </c>
      <c r="R278" s="34" t="s">
        <v>49</v>
      </c>
      <c r="S278" s="35" t="n">
        <f>4198.44</f>
        <v>4198.44</v>
      </c>
      <c r="T278" s="32" t="n">
        <f>79290</f>
        <v>79290.0</v>
      </c>
      <c r="U278" s="32" t="n">
        <f>25000</f>
        <v>25000.0</v>
      </c>
      <c r="V278" s="32" t="n">
        <f>336812800</f>
        <v>3.368128E8</v>
      </c>
      <c r="W278" s="32" t="n">
        <f>105477500</f>
        <v>1.054775E8</v>
      </c>
      <c r="X278" s="36" t="n">
        <f>18</f>
        <v>18.0</v>
      </c>
    </row>
    <row r="279">
      <c r="A279" s="27" t="s">
        <v>42</v>
      </c>
      <c r="B279" s="27" t="s">
        <v>886</v>
      </c>
      <c r="C279" s="27" t="s">
        <v>887</v>
      </c>
      <c r="D279" s="27" t="s">
        <v>888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718</f>
        <v>718.0</v>
      </c>
      <c r="L279" s="34" t="s">
        <v>48</v>
      </c>
      <c r="M279" s="33" t="n">
        <f>718</f>
        <v>718.0</v>
      </c>
      <c r="N279" s="34" t="s">
        <v>48</v>
      </c>
      <c r="O279" s="33" t="n">
        <f>686.6</f>
        <v>686.6</v>
      </c>
      <c r="P279" s="34" t="s">
        <v>126</v>
      </c>
      <c r="Q279" s="33" t="n">
        <f>705</f>
        <v>705.0</v>
      </c>
      <c r="R279" s="34" t="s">
        <v>49</v>
      </c>
      <c r="S279" s="35" t="n">
        <f>705.6</f>
        <v>705.6</v>
      </c>
      <c r="T279" s="32" t="n">
        <f>1090</f>
        <v>1090.0</v>
      </c>
      <c r="U279" s="32" t="str">
        <f>"－"</f>
        <v>－</v>
      </c>
      <c r="V279" s="32" t="n">
        <f>772463</f>
        <v>772463.0</v>
      </c>
      <c r="W279" s="32" t="str">
        <f>"－"</f>
        <v>－</v>
      </c>
      <c r="X279" s="36" t="n">
        <f>14</f>
        <v>14.0</v>
      </c>
    </row>
    <row r="280">
      <c r="A280" s="27" t="s">
        <v>42</v>
      </c>
      <c r="B280" s="27" t="s">
        <v>889</v>
      </c>
      <c r="C280" s="27" t="s">
        <v>890</v>
      </c>
      <c r="D280" s="27" t="s">
        <v>891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2051</f>
        <v>2051.0</v>
      </c>
      <c r="L280" s="34" t="s">
        <v>48</v>
      </c>
      <c r="M280" s="33" t="n">
        <f>2200</f>
        <v>2200.0</v>
      </c>
      <c r="N280" s="34" t="s">
        <v>96</v>
      </c>
      <c r="O280" s="33" t="n">
        <f>2018</f>
        <v>2018.0</v>
      </c>
      <c r="P280" s="34" t="s">
        <v>48</v>
      </c>
      <c r="Q280" s="33" t="n">
        <f>2194</f>
        <v>2194.0</v>
      </c>
      <c r="R280" s="34" t="s">
        <v>76</v>
      </c>
      <c r="S280" s="35" t="n">
        <f>2112.65</f>
        <v>2112.65</v>
      </c>
      <c r="T280" s="32" t="n">
        <f>10763</f>
        <v>10763.0</v>
      </c>
      <c r="U280" s="32" t="str">
        <f>"－"</f>
        <v>－</v>
      </c>
      <c r="V280" s="32" t="n">
        <f>22818608</f>
        <v>2.2818608E7</v>
      </c>
      <c r="W280" s="32" t="str">
        <f>"－"</f>
        <v>－</v>
      </c>
      <c r="X280" s="36" t="n">
        <f>17</f>
        <v>17.0</v>
      </c>
    </row>
    <row r="281">
      <c r="A281" s="27" t="s">
        <v>42</v>
      </c>
      <c r="B281" s="27" t="s">
        <v>892</v>
      </c>
      <c r="C281" s="27" t="s">
        <v>893</v>
      </c>
      <c r="D281" s="27" t="s">
        <v>894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1829</f>
        <v>1829.0</v>
      </c>
      <c r="L281" s="34" t="s">
        <v>48</v>
      </c>
      <c r="M281" s="33" t="n">
        <f>1973</f>
        <v>1973.0</v>
      </c>
      <c r="N281" s="34" t="s">
        <v>60</v>
      </c>
      <c r="O281" s="33" t="n">
        <f>1803</f>
        <v>1803.0</v>
      </c>
      <c r="P281" s="34" t="s">
        <v>48</v>
      </c>
      <c r="Q281" s="33" t="n">
        <f>1925</f>
        <v>1925.0</v>
      </c>
      <c r="R281" s="34" t="s">
        <v>76</v>
      </c>
      <c r="S281" s="35" t="n">
        <f>1890</f>
        <v>1890.0</v>
      </c>
      <c r="T281" s="32" t="n">
        <f>23887</f>
        <v>23887.0</v>
      </c>
      <c r="U281" s="32" t="str">
        <f>"－"</f>
        <v>－</v>
      </c>
      <c r="V281" s="32" t="n">
        <f>45779847</f>
        <v>4.5779847E7</v>
      </c>
      <c r="W281" s="32" t="str">
        <f>"－"</f>
        <v>－</v>
      </c>
      <c r="X281" s="36" t="n">
        <f>17</f>
        <v>17.0</v>
      </c>
    </row>
    <row r="282">
      <c r="A282" s="27" t="s">
        <v>42</v>
      </c>
      <c r="B282" s="27" t="s">
        <v>895</v>
      </c>
      <c r="C282" s="27" t="s">
        <v>896</v>
      </c>
      <c r="D282" s="27" t="s">
        <v>897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7473</f>
        <v>7473.0</v>
      </c>
      <c r="L282" s="34" t="s">
        <v>48</v>
      </c>
      <c r="M282" s="33" t="n">
        <f>7663</f>
        <v>7663.0</v>
      </c>
      <c r="N282" s="34" t="s">
        <v>415</v>
      </c>
      <c r="O282" s="33" t="n">
        <f>7306</f>
        <v>7306.0</v>
      </c>
      <c r="P282" s="34" t="s">
        <v>160</v>
      </c>
      <c r="Q282" s="33" t="n">
        <f>7464</f>
        <v>7464.0</v>
      </c>
      <c r="R282" s="34" t="s">
        <v>49</v>
      </c>
      <c r="S282" s="35" t="n">
        <f>7458.47</f>
        <v>7458.47</v>
      </c>
      <c r="T282" s="32" t="n">
        <f>70667</f>
        <v>70667.0</v>
      </c>
      <c r="U282" s="32" t="str">
        <f>"－"</f>
        <v>－</v>
      </c>
      <c r="V282" s="32" t="n">
        <f>526277409</f>
        <v>5.26277409E8</v>
      </c>
      <c r="W282" s="32" t="str">
        <f>"－"</f>
        <v>－</v>
      </c>
      <c r="X282" s="36" t="n">
        <f>19</f>
        <v>19.0</v>
      </c>
    </row>
    <row r="283">
      <c r="A283" s="27" t="s">
        <v>42</v>
      </c>
      <c r="B283" s="27" t="s">
        <v>898</v>
      </c>
      <c r="C283" s="27" t="s">
        <v>899</v>
      </c>
      <c r="D283" s="27" t="s">
        <v>900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6119</f>
        <v>6119.0</v>
      </c>
      <c r="L283" s="34" t="s">
        <v>48</v>
      </c>
      <c r="M283" s="33" t="n">
        <f>6355</f>
        <v>6355.0</v>
      </c>
      <c r="N283" s="34" t="s">
        <v>76</v>
      </c>
      <c r="O283" s="33" t="n">
        <f>6119</f>
        <v>6119.0</v>
      </c>
      <c r="P283" s="34" t="s">
        <v>48</v>
      </c>
      <c r="Q283" s="33" t="n">
        <f>6247</f>
        <v>6247.0</v>
      </c>
      <c r="R283" s="34" t="s">
        <v>49</v>
      </c>
      <c r="S283" s="35" t="n">
        <f>6253.78</f>
        <v>6253.78</v>
      </c>
      <c r="T283" s="32" t="n">
        <f>113508</f>
        <v>113508.0</v>
      </c>
      <c r="U283" s="32" t="n">
        <f>80000</f>
        <v>80000.0</v>
      </c>
      <c r="V283" s="32" t="n">
        <f>711288489</f>
        <v>7.11288489E8</v>
      </c>
      <c r="W283" s="32" t="n">
        <f>498648784</f>
        <v>4.98648784E8</v>
      </c>
      <c r="X283" s="36" t="n">
        <f>18</f>
        <v>18.0</v>
      </c>
    </row>
    <row r="284">
      <c r="A284" s="27" t="s">
        <v>42</v>
      </c>
      <c r="B284" s="27" t="s">
        <v>901</v>
      </c>
      <c r="C284" s="27" t="s">
        <v>902</v>
      </c>
      <c r="D284" s="27" t="s">
        <v>903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13460</f>
        <v>13460.0</v>
      </c>
      <c r="L284" s="34" t="s">
        <v>48</v>
      </c>
      <c r="M284" s="33" t="n">
        <f>14910</f>
        <v>14910.0</v>
      </c>
      <c r="N284" s="34" t="s">
        <v>76</v>
      </c>
      <c r="O284" s="33" t="n">
        <f>13400</f>
        <v>13400.0</v>
      </c>
      <c r="P284" s="34" t="s">
        <v>48</v>
      </c>
      <c r="Q284" s="33" t="n">
        <f>14575</f>
        <v>14575.0</v>
      </c>
      <c r="R284" s="34" t="s">
        <v>49</v>
      </c>
      <c r="S284" s="35" t="n">
        <f>14100.53</f>
        <v>14100.53</v>
      </c>
      <c r="T284" s="32" t="n">
        <f>867363</f>
        <v>867363.0</v>
      </c>
      <c r="U284" s="32" t="n">
        <f>1</f>
        <v>1.0</v>
      </c>
      <c r="V284" s="32" t="n">
        <f>12139528765</f>
        <v>1.2139528765E10</v>
      </c>
      <c r="W284" s="32" t="n">
        <f>13915</f>
        <v>13915.0</v>
      </c>
      <c r="X284" s="36" t="n">
        <f>19</f>
        <v>19.0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7420</f>
        <v>7420.0</v>
      </c>
      <c r="L285" s="34" t="s">
        <v>48</v>
      </c>
      <c r="M285" s="33" t="n">
        <f>8258</f>
        <v>8258.0</v>
      </c>
      <c r="N285" s="34" t="s">
        <v>76</v>
      </c>
      <c r="O285" s="33" t="n">
        <f>7336</f>
        <v>7336.0</v>
      </c>
      <c r="P285" s="34" t="s">
        <v>56</v>
      </c>
      <c r="Q285" s="33" t="n">
        <f>8063</f>
        <v>8063.0</v>
      </c>
      <c r="R285" s="34" t="s">
        <v>49</v>
      </c>
      <c r="S285" s="35" t="n">
        <f>7809.79</f>
        <v>7809.79</v>
      </c>
      <c r="T285" s="32" t="n">
        <f>1154262</f>
        <v>1154262.0</v>
      </c>
      <c r="U285" s="32" t="str">
        <f>"－"</f>
        <v>－</v>
      </c>
      <c r="V285" s="32" t="n">
        <f>9005735954</f>
        <v>9.005735954E9</v>
      </c>
      <c r="W285" s="32" t="str">
        <f>"－"</f>
        <v>－</v>
      </c>
      <c r="X285" s="36" t="n">
        <f>19</f>
        <v>19.0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33660</f>
        <v>33660.0</v>
      </c>
      <c r="L286" s="34" t="s">
        <v>48</v>
      </c>
      <c r="M286" s="33" t="n">
        <f>33960</f>
        <v>33960.0</v>
      </c>
      <c r="N286" s="34" t="s">
        <v>56</v>
      </c>
      <c r="O286" s="33" t="n">
        <f>30010</f>
        <v>30010.0</v>
      </c>
      <c r="P286" s="34" t="s">
        <v>76</v>
      </c>
      <c r="Q286" s="33" t="n">
        <f>30750</f>
        <v>30750.0</v>
      </c>
      <c r="R286" s="34" t="s">
        <v>49</v>
      </c>
      <c r="S286" s="35" t="n">
        <f>31880.53</f>
        <v>31880.53</v>
      </c>
      <c r="T286" s="32" t="n">
        <f>322080</f>
        <v>322080.0</v>
      </c>
      <c r="U286" s="32" t="n">
        <f>46374</f>
        <v>46374.0</v>
      </c>
      <c r="V286" s="32" t="n">
        <f>10354571304</f>
        <v>1.0354571304E10</v>
      </c>
      <c r="W286" s="32" t="n">
        <f>1541043564</f>
        <v>1.541043564E9</v>
      </c>
      <c r="X286" s="36" t="n">
        <f>19</f>
        <v>19.0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4404</f>
        <v>4404.0</v>
      </c>
      <c r="L287" s="34" t="s">
        <v>415</v>
      </c>
      <c r="M287" s="33" t="n">
        <f>4533</f>
        <v>4533.0</v>
      </c>
      <c r="N287" s="34" t="s">
        <v>100</v>
      </c>
      <c r="O287" s="33" t="n">
        <f>4404</f>
        <v>4404.0</v>
      </c>
      <c r="P287" s="34" t="s">
        <v>415</v>
      </c>
      <c r="Q287" s="33" t="n">
        <f>4473</f>
        <v>4473.0</v>
      </c>
      <c r="R287" s="34" t="s">
        <v>96</v>
      </c>
      <c r="S287" s="35" t="n">
        <f>4495</f>
        <v>4495.0</v>
      </c>
      <c r="T287" s="32" t="n">
        <f>150</f>
        <v>150.0</v>
      </c>
      <c r="U287" s="32" t="str">
        <f>"－"</f>
        <v>－</v>
      </c>
      <c r="V287" s="32" t="n">
        <f>673390</f>
        <v>673390.0</v>
      </c>
      <c r="W287" s="32" t="str">
        <f>"－"</f>
        <v>－</v>
      </c>
      <c r="X287" s="36" t="n">
        <f>7</f>
        <v>7.0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4734</f>
        <v>4734.0</v>
      </c>
      <c r="L288" s="34" t="s">
        <v>48</v>
      </c>
      <c r="M288" s="33" t="n">
        <f>5135</f>
        <v>5135.0</v>
      </c>
      <c r="N288" s="34" t="s">
        <v>100</v>
      </c>
      <c r="O288" s="33" t="n">
        <f>4708</f>
        <v>4708.0</v>
      </c>
      <c r="P288" s="34" t="s">
        <v>48</v>
      </c>
      <c r="Q288" s="33" t="n">
        <f>5077</f>
        <v>5077.0</v>
      </c>
      <c r="R288" s="34" t="s">
        <v>49</v>
      </c>
      <c r="S288" s="35" t="n">
        <f>4991.6</f>
        <v>4991.6</v>
      </c>
      <c r="T288" s="32" t="n">
        <f>19840</f>
        <v>19840.0</v>
      </c>
      <c r="U288" s="32" t="str">
        <f>"－"</f>
        <v>－</v>
      </c>
      <c r="V288" s="32" t="n">
        <f>98766500</f>
        <v>9.87665E7</v>
      </c>
      <c r="W288" s="32" t="str">
        <f>"－"</f>
        <v>－</v>
      </c>
      <c r="X288" s="36" t="n">
        <f>15</f>
        <v>15.0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1544.5</f>
        <v>1544.5</v>
      </c>
      <c r="L289" s="34" t="s">
        <v>48</v>
      </c>
      <c r="M289" s="33" t="n">
        <f>1724</f>
        <v>1724.0</v>
      </c>
      <c r="N289" s="34" t="s">
        <v>76</v>
      </c>
      <c r="O289" s="33" t="n">
        <f>1525</f>
        <v>1525.0</v>
      </c>
      <c r="P289" s="34" t="s">
        <v>48</v>
      </c>
      <c r="Q289" s="33" t="n">
        <f>1682.5</f>
        <v>1682.5</v>
      </c>
      <c r="R289" s="34" t="s">
        <v>49</v>
      </c>
      <c r="S289" s="35" t="n">
        <f>1630.5</f>
        <v>1630.5</v>
      </c>
      <c r="T289" s="32" t="n">
        <f>2073020</f>
        <v>2073020.0</v>
      </c>
      <c r="U289" s="32" t="n">
        <f>121700</f>
        <v>121700.0</v>
      </c>
      <c r="V289" s="32" t="n">
        <f>3397222265</f>
        <v>3.397222265E9</v>
      </c>
      <c r="W289" s="32" t="n">
        <f>204942800</f>
        <v>2.049428E8</v>
      </c>
      <c r="X289" s="36" t="n">
        <f>19</f>
        <v>19.0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1923</f>
        <v>1923.0</v>
      </c>
      <c r="L290" s="34" t="s">
        <v>48</v>
      </c>
      <c r="M290" s="33" t="n">
        <f>1982.5</f>
        <v>1982.5</v>
      </c>
      <c r="N290" s="34" t="s">
        <v>80</v>
      </c>
      <c r="O290" s="33" t="n">
        <f>1906</f>
        <v>1906.0</v>
      </c>
      <c r="P290" s="34" t="s">
        <v>56</v>
      </c>
      <c r="Q290" s="33" t="n">
        <f>1941</f>
        <v>1941.0</v>
      </c>
      <c r="R290" s="34" t="s">
        <v>49</v>
      </c>
      <c r="S290" s="35" t="n">
        <f>1942.11</f>
        <v>1942.11</v>
      </c>
      <c r="T290" s="32" t="n">
        <f>759290</f>
        <v>759290.0</v>
      </c>
      <c r="U290" s="32" t="n">
        <f>10</f>
        <v>10.0</v>
      </c>
      <c r="V290" s="32" t="n">
        <f>1470335265</f>
        <v>1.470335265E9</v>
      </c>
      <c r="W290" s="32" t="n">
        <f>19340</f>
        <v>19340.0</v>
      </c>
      <c r="X290" s="36" t="n">
        <f>19</f>
        <v>19.0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1483</f>
        <v>1483.0</v>
      </c>
      <c r="L291" s="34" t="s">
        <v>48</v>
      </c>
      <c r="M291" s="33" t="n">
        <f>1553</f>
        <v>1553.0</v>
      </c>
      <c r="N291" s="34" t="s">
        <v>76</v>
      </c>
      <c r="O291" s="33" t="n">
        <f>1472</f>
        <v>1472.0</v>
      </c>
      <c r="P291" s="34" t="s">
        <v>56</v>
      </c>
      <c r="Q291" s="33" t="n">
        <f>1553</f>
        <v>1553.0</v>
      </c>
      <c r="R291" s="34" t="s">
        <v>76</v>
      </c>
      <c r="S291" s="35" t="n">
        <f>1509.89</f>
        <v>1509.89</v>
      </c>
      <c r="T291" s="32" t="n">
        <f>1697</f>
        <v>1697.0</v>
      </c>
      <c r="U291" s="32" t="str">
        <f>"－"</f>
        <v>－</v>
      </c>
      <c r="V291" s="32" t="n">
        <f>2528571</f>
        <v>2528571.0</v>
      </c>
      <c r="W291" s="32" t="str">
        <f>"－"</f>
        <v>－</v>
      </c>
      <c r="X291" s="36" t="n">
        <f>18</f>
        <v>18.0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1481</f>
        <v>1481.0</v>
      </c>
      <c r="L292" s="34" t="s">
        <v>48</v>
      </c>
      <c r="M292" s="33" t="n">
        <f>1565</f>
        <v>1565.0</v>
      </c>
      <c r="N292" s="34" t="s">
        <v>76</v>
      </c>
      <c r="O292" s="33" t="n">
        <f>1469</f>
        <v>1469.0</v>
      </c>
      <c r="P292" s="34" t="s">
        <v>56</v>
      </c>
      <c r="Q292" s="33" t="n">
        <f>1561</f>
        <v>1561.0</v>
      </c>
      <c r="R292" s="34" t="s">
        <v>76</v>
      </c>
      <c r="S292" s="35" t="n">
        <f>1516.82</f>
        <v>1516.82</v>
      </c>
      <c r="T292" s="32" t="n">
        <f>43337</f>
        <v>43337.0</v>
      </c>
      <c r="U292" s="32" t="str">
        <f>"－"</f>
        <v>－</v>
      </c>
      <c r="V292" s="32" t="n">
        <f>65390756</f>
        <v>6.5390756E7</v>
      </c>
      <c r="W292" s="32" t="str">
        <f>"－"</f>
        <v>－</v>
      </c>
      <c r="X292" s="36" t="n">
        <f>17</f>
        <v>17.0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3075</f>
        <v>3075.0</v>
      </c>
      <c r="L293" s="34" t="s">
        <v>48</v>
      </c>
      <c r="M293" s="33" t="n">
        <f>3215</f>
        <v>3215.0</v>
      </c>
      <c r="N293" s="34" t="s">
        <v>100</v>
      </c>
      <c r="O293" s="33" t="n">
        <f>3050</f>
        <v>3050.0</v>
      </c>
      <c r="P293" s="34" t="s">
        <v>48</v>
      </c>
      <c r="Q293" s="33" t="n">
        <f>3190</f>
        <v>3190.0</v>
      </c>
      <c r="R293" s="34" t="s">
        <v>49</v>
      </c>
      <c r="S293" s="35" t="n">
        <f>3130</f>
        <v>3130.0</v>
      </c>
      <c r="T293" s="32" t="n">
        <f>6746</f>
        <v>6746.0</v>
      </c>
      <c r="U293" s="32" t="str">
        <f>"－"</f>
        <v>－</v>
      </c>
      <c r="V293" s="32" t="n">
        <f>21048740</f>
        <v>2.104874E7</v>
      </c>
      <c r="W293" s="32" t="str">
        <f>"－"</f>
        <v>－</v>
      </c>
      <c r="X293" s="36" t="n">
        <f>19</f>
        <v>19.0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1909.5</f>
        <v>1909.5</v>
      </c>
      <c r="L294" s="34" t="s">
        <v>440</v>
      </c>
      <c r="M294" s="33" t="n">
        <f>1991.5</f>
        <v>1991.5</v>
      </c>
      <c r="N294" s="34" t="s">
        <v>96</v>
      </c>
      <c r="O294" s="33" t="n">
        <f>1909.5</f>
        <v>1909.5</v>
      </c>
      <c r="P294" s="34" t="s">
        <v>440</v>
      </c>
      <c r="Q294" s="33" t="n">
        <f>1990.5</f>
        <v>1990.5</v>
      </c>
      <c r="R294" s="34" t="s">
        <v>96</v>
      </c>
      <c r="S294" s="35" t="n">
        <f>1945.67</f>
        <v>1945.67</v>
      </c>
      <c r="T294" s="32" t="n">
        <f>340</f>
        <v>340.0</v>
      </c>
      <c r="U294" s="32" t="str">
        <f>"－"</f>
        <v>－</v>
      </c>
      <c r="V294" s="32" t="n">
        <f>665805</f>
        <v>665805.0</v>
      </c>
      <c r="W294" s="32" t="str">
        <f>"－"</f>
        <v>－</v>
      </c>
      <c r="X294" s="36" t="n">
        <f>3</f>
        <v>3.0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197</f>
        <v>197.0</v>
      </c>
      <c r="L295" s="34" t="s">
        <v>48</v>
      </c>
      <c r="M295" s="33" t="n">
        <f>205</f>
        <v>205.0</v>
      </c>
      <c r="N295" s="34" t="s">
        <v>100</v>
      </c>
      <c r="O295" s="33" t="n">
        <f>188.3</f>
        <v>188.3</v>
      </c>
      <c r="P295" s="34" t="s">
        <v>80</v>
      </c>
      <c r="Q295" s="33" t="n">
        <f>204.1</f>
        <v>204.1</v>
      </c>
      <c r="R295" s="34" t="s">
        <v>49</v>
      </c>
      <c r="S295" s="35" t="n">
        <f>199.48</f>
        <v>199.48</v>
      </c>
      <c r="T295" s="32" t="n">
        <f>2030</f>
        <v>2030.0</v>
      </c>
      <c r="U295" s="32" t="str">
        <f>"－"</f>
        <v>－</v>
      </c>
      <c r="V295" s="32" t="n">
        <f>397643</f>
        <v>397643.0</v>
      </c>
      <c r="W295" s="32" t="str">
        <f>"－"</f>
        <v>－</v>
      </c>
      <c r="X295" s="36" t="n">
        <f>19</f>
        <v>19.0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195</f>
        <v>195.0</v>
      </c>
      <c r="L296" s="34" t="s">
        <v>48</v>
      </c>
      <c r="M296" s="33" t="n">
        <f>195</f>
        <v>195.0</v>
      </c>
      <c r="N296" s="34" t="s">
        <v>48</v>
      </c>
      <c r="O296" s="33" t="n">
        <f>183.4</f>
        <v>183.4</v>
      </c>
      <c r="P296" s="34" t="s">
        <v>60</v>
      </c>
      <c r="Q296" s="33" t="n">
        <f>184.9</f>
        <v>184.9</v>
      </c>
      <c r="R296" s="34" t="s">
        <v>49</v>
      </c>
      <c r="S296" s="35" t="n">
        <f>189.06</f>
        <v>189.06</v>
      </c>
      <c r="T296" s="32" t="n">
        <f>1092070</f>
        <v>1092070.0</v>
      </c>
      <c r="U296" s="32" t="n">
        <f>1071910</f>
        <v>1071910.0</v>
      </c>
      <c r="V296" s="32" t="n">
        <f>203895961</f>
        <v>2.03895961E8</v>
      </c>
      <c r="W296" s="32" t="n">
        <f>200125597</f>
        <v>2.00125597E8</v>
      </c>
      <c r="X296" s="36" t="n">
        <f>19</f>
        <v>19.0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713.5</f>
        <v>713.5</v>
      </c>
      <c r="L297" s="34" t="s">
        <v>48</v>
      </c>
      <c r="M297" s="33" t="n">
        <f>731.3</f>
        <v>731.3</v>
      </c>
      <c r="N297" s="34" t="s">
        <v>224</v>
      </c>
      <c r="O297" s="33" t="n">
        <f>712.3</f>
        <v>712.3</v>
      </c>
      <c r="P297" s="34" t="s">
        <v>65</v>
      </c>
      <c r="Q297" s="33" t="n">
        <f>721.6</f>
        <v>721.6</v>
      </c>
      <c r="R297" s="34" t="s">
        <v>49</v>
      </c>
      <c r="S297" s="35" t="n">
        <f>723.7</f>
        <v>723.7</v>
      </c>
      <c r="T297" s="32" t="n">
        <f>1560</f>
        <v>1560.0</v>
      </c>
      <c r="U297" s="32" t="str">
        <f>"－"</f>
        <v>－</v>
      </c>
      <c r="V297" s="32" t="n">
        <f>1126883</f>
        <v>1126883.0</v>
      </c>
      <c r="W297" s="32" t="str">
        <f>"－"</f>
        <v>－</v>
      </c>
      <c r="X297" s="36" t="n">
        <f>12</f>
        <v>12.0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967</f>
        <v>967.0</v>
      </c>
      <c r="L298" s="34" t="s">
        <v>48</v>
      </c>
      <c r="M298" s="33" t="n">
        <f>1070</f>
        <v>1070.0</v>
      </c>
      <c r="N298" s="34" t="s">
        <v>76</v>
      </c>
      <c r="O298" s="33" t="n">
        <f>962</f>
        <v>962.0</v>
      </c>
      <c r="P298" s="34" t="s">
        <v>48</v>
      </c>
      <c r="Q298" s="33" t="n">
        <f>1057</f>
        <v>1057.0</v>
      </c>
      <c r="R298" s="34" t="s">
        <v>49</v>
      </c>
      <c r="S298" s="35" t="n">
        <f>1028.47</f>
        <v>1028.47</v>
      </c>
      <c r="T298" s="32" t="n">
        <f>265847</f>
        <v>265847.0</v>
      </c>
      <c r="U298" s="32" t="n">
        <f>200000</f>
        <v>200000.0</v>
      </c>
      <c r="V298" s="32" t="n">
        <f>281025049</f>
        <v>2.81025049E8</v>
      </c>
      <c r="W298" s="32" t="n">
        <f>212900000</f>
        <v>2.129E8</v>
      </c>
      <c r="X298" s="36" t="n">
        <f>19</f>
        <v>19.0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983</f>
        <v>983.0</v>
      </c>
      <c r="L299" s="34" t="s">
        <v>48</v>
      </c>
      <c r="M299" s="33" t="n">
        <f>985</f>
        <v>985.0</v>
      </c>
      <c r="N299" s="34" t="s">
        <v>48</v>
      </c>
      <c r="O299" s="33" t="n">
        <f>925</f>
        <v>925.0</v>
      </c>
      <c r="P299" s="34" t="s">
        <v>113</v>
      </c>
      <c r="Q299" s="33" t="n">
        <f>950</f>
        <v>950.0</v>
      </c>
      <c r="R299" s="34" t="s">
        <v>49</v>
      </c>
      <c r="S299" s="35" t="n">
        <f>952.42</f>
        <v>952.42</v>
      </c>
      <c r="T299" s="32" t="n">
        <f>162409</f>
        <v>162409.0</v>
      </c>
      <c r="U299" s="32" t="n">
        <f>60000</f>
        <v>60000.0</v>
      </c>
      <c r="V299" s="32" t="n">
        <f>155359214</f>
        <v>1.55359214E8</v>
      </c>
      <c r="W299" s="32" t="n">
        <f>57658000</f>
        <v>5.7658E7</v>
      </c>
      <c r="X299" s="36" t="n">
        <f>19</f>
        <v>19.0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781</f>
        <v>781.0</v>
      </c>
      <c r="L300" s="34" t="s">
        <v>48</v>
      </c>
      <c r="M300" s="33" t="n">
        <f>781</f>
        <v>781.0</v>
      </c>
      <c r="N300" s="34" t="s">
        <v>48</v>
      </c>
      <c r="O300" s="33" t="n">
        <f>757</f>
        <v>757.0</v>
      </c>
      <c r="P300" s="34" t="s">
        <v>56</v>
      </c>
      <c r="Q300" s="33" t="n">
        <f>760</f>
        <v>760.0</v>
      </c>
      <c r="R300" s="34" t="s">
        <v>49</v>
      </c>
      <c r="S300" s="35" t="n">
        <f>762.84</f>
        <v>762.84</v>
      </c>
      <c r="T300" s="32" t="n">
        <f>4009120</f>
        <v>4009120.0</v>
      </c>
      <c r="U300" s="32" t="n">
        <f>3935680</f>
        <v>3935680.0</v>
      </c>
      <c r="V300" s="32" t="n">
        <f>3055812837</f>
        <v>3.055812837E9</v>
      </c>
      <c r="W300" s="32" t="n">
        <f>2999775296</f>
        <v>2.999775296E9</v>
      </c>
      <c r="X300" s="36" t="n">
        <f>19</f>
        <v>19.0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714</f>
        <v>714.0</v>
      </c>
      <c r="L301" s="34" t="s">
        <v>48</v>
      </c>
      <c r="M301" s="33" t="n">
        <f>743.3</f>
        <v>743.3</v>
      </c>
      <c r="N301" s="34" t="s">
        <v>224</v>
      </c>
      <c r="O301" s="33" t="n">
        <f>714</f>
        <v>714.0</v>
      </c>
      <c r="P301" s="34" t="s">
        <v>48</v>
      </c>
      <c r="Q301" s="33" t="n">
        <f>728.8</f>
        <v>728.8</v>
      </c>
      <c r="R301" s="34" t="s">
        <v>49</v>
      </c>
      <c r="S301" s="35" t="n">
        <f>731.77</f>
        <v>731.77</v>
      </c>
      <c r="T301" s="32" t="n">
        <f>302010</f>
        <v>302010.0</v>
      </c>
      <c r="U301" s="32" t="n">
        <f>150000</f>
        <v>150000.0</v>
      </c>
      <c r="V301" s="32" t="n">
        <f>220423501</f>
        <v>2.20423501E8</v>
      </c>
      <c r="W301" s="32" t="n">
        <f>109500000</f>
        <v>1.095E8</v>
      </c>
      <c r="X301" s="36" t="n">
        <f>11</f>
        <v>11.0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991</f>
        <v>991.0</v>
      </c>
      <c r="L302" s="34" t="s">
        <v>48</v>
      </c>
      <c r="M302" s="33" t="n">
        <f>1023</f>
        <v>1023.0</v>
      </c>
      <c r="N302" s="34" t="s">
        <v>64</v>
      </c>
      <c r="O302" s="33" t="n">
        <f>975</f>
        <v>975.0</v>
      </c>
      <c r="P302" s="34" t="s">
        <v>48</v>
      </c>
      <c r="Q302" s="33" t="n">
        <f>1020</f>
        <v>1020.0</v>
      </c>
      <c r="R302" s="34" t="s">
        <v>49</v>
      </c>
      <c r="S302" s="35" t="n">
        <f>1005.11</f>
        <v>1005.11</v>
      </c>
      <c r="T302" s="32" t="n">
        <f>45926</f>
        <v>45926.0</v>
      </c>
      <c r="U302" s="32" t="str">
        <f>"－"</f>
        <v>－</v>
      </c>
      <c r="V302" s="32" t="n">
        <f>45819688</f>
        <v>4.5819688E7</v>
      </c>
      <c r="W302" s="32" t="str">
        <f>"－"</f>
        <v>－</v>
      </c>
      <c r="X302" s="36" t="n">
        <f>19</f>
        <v>19.0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2161.5</f>
        <v>2161.5</v>
      </c>
      <c r="L303" s="34" t="s">
        <v>48</v>
      </c>
      <c r="M303" s="33" t="n">
        <f>2364</f>
        <v>2364.0</v>
      </c>
      <c r="N303" s="34" t="s">
        <v>76</v>
      </c>
      <c r="O303" s="33" t="n">
        <f>2161</f>
        <v>2161.0</v>
      </c>
      <c r="P303" s="34" t="s">
        <v>48</v>
      </c>
      <c r="Q303" s="33" t="n">
        <f>2300</f>
        <v>2300.0</v>
      </c>
      <c r="R303" s="34" t="s">
        <v>49</v>
      </c>
      <c r="S303" s="35" t="n">
        <f>2282.66</f>
        <v>2282.66</v>
      </c>
      <c r="T303" s="32" t="n">
        <f>11480</f>
        <v>11480.0</v>
      </c>
      <c r="U303" s="32" t="str">
        <f>"－"</f>
        <v>－</v>
      </c>
      <c r="V303" s="32" t="n">
        <f>26196060</f>
        <v>2.619606E7</v>
      </c>
      <c r="W303" s="32" t="str">
        <f>"－"</f>
        <v>－</v>
      </c>
      <c r="X303" s="36" t="n">
        <f>19</f>
        <v>19.0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2167</f>
        <v>2167.0</v>
      </c>
      <c r="L304" s="34" t="s">
        <v>48</v>
      </c>
      <c r="M304" s="33" t="n">
        <f>2349.5</f>
        <v>2349.5</v>
      </c>
      <c r="N304" s="34" t="s">
        <v>96</v>
      </c>
      <c r="O304" s="33" t="n">
        <f>2163</f>
        <v>2163.0</v>
      </c>
      <c r="P304" s="34" t="s">
        <v>48</v>
      </c>
      <c r="Q304" s="33" t="n">
        <f>2290</f>
        <v>2290.0</v>
      </c>
      <c r="R304" s="34" t="s">
        <v>49</v>
      </c>
      <c r="S304" s="35" t="n">
        <f>2278.61</f>
        <v>2278.61</v>
      </c>
      <c r="T304" s="32" t="n">
        <f>244680</f>
        <v>244680.0</v>
      </c>
      <c r="U304" s="32" t="n">
        <f>229000</f>
        <v>229000.0</v>
      </c>
      <c r="V304" s="32" t="n">
        <f>561257640</f>
        <v>5.6125764E8</v>
      </c>
      <c r="W304" s="32" t="n">
        <f>525234400</f>
        <v>5.252344E8</v>
      </c>
      <c r="X304" s="36" t="n">
        <f>18</f>
        <v>18.0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4598</f>
        <v>4598.0</v>
      </c>
      <c r="L305" s="34" t="s">
        <v>48</v>
      </c>
      <c r="M305" s="33" t="n">
        <f>4786</f>
        <v>4786.0</v>
      </c>
      <c r="N305" s="34" t="s">
        <v>415</v>
      </c>
      <c r="O305" s="33" t="n">
        <f>4598</f>
        <v>4598.0</v>
      </c>
      <c r="P305" s="34" t="s">
        <v>48</v>
      </c>
      <c r="Q305" s="33" t="n">
        <f>4699</f>
        <v>4699.0</v>
      </c>
      <c r="R305" s="34" t="s">
        <v>160</v>
      </c>
      <c r="S305" s="35" t="n">
        <f>4697.8</f>
        <v>4697.8</v>
      </c>
      <c r="T305" s="32" t="n">
        <f>330</f>
        <v>330.0</v>
      </c>
      <c r="U305" s="32" t="str">
        <f>"－"</f>
        <v>－</v>
      </c>
      <c r="V305" s="32" t="n">
        <f>1551230</f>
        <v>1551230.0</v>
      </c>
      <c r="W305" s="32" t="str">
        <f>"－"</f>
        <v>－</v>
      </c>
      <c r="X305" s="36" t="n">
        <f>5</f>
        <v>5.0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4486</f>
        <v>4486.0</v>
      </c>
      <c r="L306" s="34" t="s">
        <v>56</v>
      </c>
      <c r="M306" s="33" t="n">
        <f>4613</f>
        <v>4613.0</v>
      </c>
      <c r="N306" s="34" t="s">
        <v>160</v>
      </c>
      <c r="O306" s="33" t="n">
        <f>4471</f>
        <v>4471.0</v>
      </c>
      <c r="P306" s="34" t="s">
        <v>56</v>
      </c>
      <c r="Q306" s="33" t="n">
        <f>4495</f>
        <v>4495.0</v>
      </c>
      <c r="R306" s="34" t="s">
        <v>49</v>
      </c>
      <c r="S306" s="35" t="n">
        <f>4541.75</f>
        <v>4541.75</v>
      </c>
      <c r="T306" s="32" t="n">
        <f>1030</f>
        <v>1030.0</v>
      </c>
      <c r="U306" s="32" t="str">
        <f>"－"</f>
        <v>－</v>
      </c>
      <c r="V306" s="32" t="n">
        <f>4615460</f>
        <v>4615460.0</v>
      </c>
      <c r="W306" s="32" t="str">
        <f>"－"</f>
        <v>－</v>
      </c>
      <c r="X306" s="36" t="n">
        <f>4</f>
        <v>4.0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1970</f>
        <v>1970.0</v>
      </c>
      <c r="L307" s="34" t="s">
        <v>48</v>
      </c>
      <c r="M307" s="33" t="n">
        <f>1998</f>
        <v>1998.0</v>
      </c>
      <c r="N307" s="34" t="s">
        <v>440</v>
      </c>
      <c r="O307" s="33" t="n">
        <f>1960</f>
        <v>1960.0</v>
      </c>
      <c r="P307" s="34" t="s">
        <v>415</v>
      </c>
      <c r="Q307" s="33" t="n">
        <f>1988</f>
        <v>1988.0</v>
      </c>
      <c r="R307" s="34" t="s">
        <v>96</v>
      </c>
      <c r="S307" s="35" t="n">
        <f>1980.38</f>
        <v>1980.38</v>
      </c>
      <c r="T307" s="32" t="n">
        <f>1470</f>
        <v>1470.0</v>
      </c>
      <c r="U307" s="32" t="str">
        <f>"－"</f>
        <v>－</v>
      </c>
      <c r="V307" s="32" t="n">
        <f>2920690</f>
        <v>2920690.0</v>
      </c>
      <c r="W307" s="32" t="str">
        <f>"－"</f>
        <v>－</v>
      </c>
      <c r="X307" s="36" t="n">
        <f>8</f>
        <v>8.0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1002</f>
        <v>1002.0</v>
      </c>
      <c r="L308" s="34" t="s">
        <v>48</v>
      </c>
      <c r="M308" s="33" t="n">
        <f>1138</f>
        <v>1138.0</v>
      </c>
      <c r="N308" s="34" t="s">
        <v>76</v>
      </c>
      <c r="O308" s="33" t="n">
        <f>992</f>
        <v>992.0</v>
      </c>
      <c r="P308" s="34" t="s">
        <v>48</v>
      </c>
      <c r="Q308" s="33" t="n">
        <f>1120</f>
        <v>1120.0</v>
      </c>
      <c r="R308" s="34" t="s">
        <v>49</v>
      </c>
      <c r="S308" s="35" t="n">
        <f>1068.63</f>
        <v>1068.63</v>
      </c>
      <c r="T308" s="32" t="n">
        <f>4598</f>
        <v>4598.0</v>
      </c>
      <c r="U308" s="32" t="str">
        <f>"－"</f>
        <v>－</v>
      </c>
      <c r="V308" s="32" t="n">
        <f>4952923</f>
        <v>4952923.0</v>
      </c>
      <c r="W308" s="32" t="str">
        <f>"－"</f>
        <v>－</v>
      </c>
      <c r="X308" s="36" t="n">
        <f>19</f>
        <v>19.0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905</f>
        <v>905.0</v>
      </c>
      <c r="L309" s="34" t="s">
        <v>48</v>
      </c>
      <c r="M309" s="33" t="n">
        <f>953</f>
        <v>953.0</v>
      </c>
      <c r="N309" s="34" t="s">
        <v>76</v>
      </c>
      <c r="O309" s="33" t="n">
        <f>899</f>
        <v>899.0</v>
      </c>
      <c r="P309" s="34" t="s">
        <v>48</v>
      </c>
      <c r="Q309" s="33" t="n">
        <f>949</f>
        <v>949.0</v>
      </c>
      <c r="R309" s="34" t="s">
        <v>49</v>
      </c>
      <c r="S309" s="35" t="n">
        <f>927.53</f>
        <v>927.53</v>
      </c>
      <c r="T309" s="32" t="n">
        <f>1176070</f>
        <v>1176070.0</v>
      </c>
      <c r="U309" s="32" t="str">
        <f>"－"</f>
        <v>－</v>
      </c>
      <c r="V309" s="32" t="n">
        <f>1089503330</f>
        <v>1.08950333E9</v>
      </c>
      <c r="W309" s="32" t="str">
        <f>"－"</f>
        <v>－</v>
      </c>
      <c r="X309" s="36" t="n">
        <f>19</f>
        <v>19.0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875</f>
        <v>875.0</v>
      </c>
      <c r="L310" s="34" t="s">
        <v>48</v>
      </c>
      <c r="M310" s="33" t="n">
        <f>944</f>
        <v>944.0</v>
      </c>
      <c r="N310" s="34" t="s">
        <v>49</v>
      </c>
      <c r="O310" s="33" t="n">
        <f>865</f>
        <v>865.0</v>
      </c>
      <c r="P310" s="34" t="s">
        <v>48</v>
      </c>
      <c r="Q310" s="33" t="n">
        <f>938</f>
        <v>938.0</v>
      </c>
      <c r="R310" s="34" t="s">
        <v>49</v>
      </c>
      <c r="S310" s="35" t="n">
        <f>919</f>
        <v>919.0</v>
      </c>
      <c r="T310" s="32" t="n">
        <f>439117</f>
        <v>439117.0</v>
      </c>
      <c r="U310" s="32" t="n">
        <f>16</f>
        <v>16.0</v>
      </c>
      <c r="V310" s="32" t="n">
        <f>400134484</f>
        <v>4.00134484E8</v>
      </c>
      <c r="W310" s="32" t="n">
        <f>15476</f>
        <v>15476.0</v>
      </c>
      <c r="X310" s="36" t="n">
        <f>19</f>
        <v>19.0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834</f>
        <v>834.0</v>
      </c>
      <c r="L311" s="34" t="s">
        <v>48</v>
      </c>
      <c r="M311" s="33" t="n">
        <f>988</f>
        <v>988.0</v>
      </c>
      <c r="N311" s="34" t="s">
        <v>76</v>
      </c>
      <c r="O311" s="33" t="n">
        <f>832</f>
        <v>832.0</v>
      </c>
      <c r="P311" s="34" t="s">
        <v>48</v>
      </c>
      <c r="Q311" s="33" t="n">
        <f>961</f>
        <v>961.0</v>
      </c>
      <c r="R311" s="34" t="s">
        <v>49</v>
      </c>
      <c r="S311" s="35" t="n">
        <f>919.11</f>
        <v>919.11</v>
      </c>
      <c r="T311" s="32" t="n">
        <f>243380</f>
        <v>243380.0</v>
      </c>
      <c r="U311" s="32" t="str">
        <f>"－"</f>
        <v>－</v>
      </c>
      <c r="V311" s="32" t="n">
        <f>228207685</f>
        <v>2.28207685E8</v>
      </c>
      <c r="W311" s="32" t="str">
        <f>"－"</f>
        <v>－</v>
      </c>
      <c r="X311" s="36" t="n">
        <f>19</f>
        <v>19.0</v>
      </c>
    </row>
    <row r="312">
      <c r="A312" s="27" t="s">
        <v>42</v>
      </c>
      <c r="B312" s="27" t="s">
        <v>985</v>
      </c>
      <c r="C312" s="27" t="s">
        <v>986</v>
      </c>
      <c r="D312" s="27" t="s">
        <v>987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902</f>
        <v>902.0</v>
      </c>
      <c r="L312" s="34" t="s">
        <v>48</v>
      </c>
      <c r="M312" s="33" t="n">
        <f>928</f>
        <v>928.0</v>
      </c>
      <c r="N312" s="34" t="s">
        <v>48</v>
      </c>
      <c r="O312" s="33" t="n">
        <f>875</f>
        <v>875.0</v>
      </c>
      <c r="P312" s="34" t="s">
        <v>80</v>
      </c>
      <c r="Q312" s="33" t="n">
        <f>907</f>
        <v>907.0</v>
      </c>
      <c r="R312" s="34" t="s">
        <v>49</v>
      </c>
      <c r="S312" s="35" t="n">
        <f>898.58</f>
        <v>898.58</v>
      </c>
      <c r="T312" s="32" t="n">
        <f>443608</f>
        <v>443608.0</v>
      </c>
      <c r="U312" s="32" t="n">
        <f>1</f>
        <v>1.0</v>
      </c>
      <c r="V312" s="32" t="n">
        <f>398064194</f>
        <v>3.98064194E8</v>
      </c>
      <c r="W312" s="32" t="n">
        <f>909</f>
        <v>909.0</v>
      </c>
      <c r="X312" s="36" t="n">
        <f>19</f>
        <v>19.0</v>
      </c>
    </row>
    <row r="313">
      <c r="A313" s="27" t="s">
        <v>42</v>
      </c>
      <c r="B313" s="27" t="s">
        <v>988</v>
      </c>
      <c r="C313" s="27" t="s">
        <v>989</v>
      </c>
      <c r="D313" s="27" t="s">
        <v>990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16550</f>
        <v>16550.0</v>
      </c>
      <c r="L313" s="34" t="s">
        <v>48</v>
      </c>
      <c r="M313" s="33" t="n">
        <f>20705</f>
        <v>20705.0</v>
      </c>
      <c r="N313" s="34" t="s">
        <v>76</v>
      </c>
      <c r="O313" s="33" t="n">
        <f>16375</f>
        <v>16375.0</v>
      </c>
      <c r="P313" s="34" t="s">
        <v>56</v>
      </c>
      <c r="Q313" s="33" t="n">
        <f>19705</f>
        <v>19705.0</v>
      </c>
      <c r="R313" s="34" t="s">
        <v>49</v>
      </c>
      <c r="S313" s="35" t="n">
        <f>18544.74</f>
        <v>18544.74</v>
      </c>
      <c r="T313" s="32" t="n">
        <f>226808</f>
        <v>226808.0</v>
      </c>
      <c r="U313" s="32" t="n">
        <f>1</f>
        <v>1.0</v>
      </c>
      <c r="V313" s="32" t="n">
        <f>4254394895</f>
        <v>4.254394895E9</v>
      </c>
      <c r="W313" s="32" t="n">
        <f>19415</f>
        <v>19415.0</v>
      </c>
      <c r="X313" s="36" t="n">
        <f>19</f>
        <v>19.0</v>
      </c>
    </row>
    <row r="314">
      <c r="A314" s="27" t="s">
        <v>42</v>
      </c>
      <c r="B314" s="27" t="s">
        <v>991</v>
      </c>
      <c r="C314" s="27" t="s">
        <v>992</v>
      </c>
      <c r="D314" s="27" t="s">
        <v>993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67810</f>
        <v>67810.0</v>
      </c>
      <c r="L314" s="34" t="s">
        <v>48</v>
      </c>
      <c r="M314" s="33" t="n">
        <f>69320</f>
        <v>69320.0</v>
      </c>
      <c r="N314" s="34" t="s">
        <v>56</v>
      </c>
      <c r="O314" s="33" t="n">
        <f>53950</f>
        <v>53950.0</v>
      </c>
      <c r="P314" s="34" t="s">
        <v>76</v>
      </c>
      <c r="Q314" s="33" t="n">
        <f>56580</f>
        <v>56580.0</v>
      </c>
      <c r="R314" s="34" t="s">
        <v>49</v>
      </c>
      <c r="S314" s="35" t="n">
        <f>61032.11</f>
        <v>61032.11</v>
      </c>
      <c r="T314" s="32" t="n">
        <f>84936</f>
        <v>84936.0</v>
      </c>
      <c r="U314" s="32" t="str">
        <f>"－"</f>
        <v>－</v>
      </c>
      <c r="V314" s="32" t="n">
        <f>5213308080</f>
        <v>5.21330808E9</v>
      </c>
      <c r="W314" s="32" t="str">
        <f>"－"</f>
        <v>－</v>
      </c>
      <c r="X314" s="36" t="n">
        <f>19</f>
        <v>19.0</v>
      </c>
    </row>
    <row r="315">
      <c r="A315" s="27" t="s">
        <v>42</v>
      </c>
      <c r="B315" s="27" t="s">
        <v>994</v>
      </c>
      <c r="C315" s="27" t="s">
        <v>995</v>
      </c>
      <c r="D315" s="27" t="s">
        <v>996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118500</f>
        <v>118500.0</v>
      </c>
      <c r="L315" s="34" t="s">
        <v>48</v>
      </c>
      <c r="M315" s="33" t="n">
        <f>122000</f>
        <v>122000.0</v>
      </c>
      <c r="N315" s="34" t="s">
        <v>100</v>
      </c>
      <c r="O315" s="33" t="n">
        <f>115100</f>
        <v>115100.0</v>
      </c>
      <c r="P315" s="34" t="s">
        <v>49</v>
      </c>
      <c r="Q315" s="33" t="n">
        <f>115200</f>
        <v>115200.0</v>
      </c>
      <c r="R315" s="34" t="s">
        <v>49</v>
      </c>
      <c r="S315" s="35" t="n">
        <f>118800</f>
        <v>118800.0</v>
      </c>
      <c r="T315" s="32" t="n">
        <f>44174</f>
        <v>44174.0</v>
      </c>
      <c r="U315" s="32" t="n">
        <f>3289</f>
        <v>3289.0</v>
      </c>
      <c r="V315" s="32" t="n">
        <f>5255952578</f>
        <v>5.255952578E9</v>
      </c>
      <c r="W315" s="32" t="n">
        <f>390772578</f>
        <v>3.90772578E8</v>
      </c>
      <c r="X315" s="36" t="n">
        <f>19</f>
        <v>19.0</v>
      </c>
    </row>
    <row r="316">
      <c r="A316" s="27" t="s">
        <v>42</v>
      </c>
      <c r="B316" s="27" t="s">
        <v>997</v>
      </c>
      <c r="C316" s="27" t="s">
        <v>998</v>
      </c>
      <c r="D316" s="27" t="s">
        <v>999</v>
      </c>
      <c r="E316" s="28" t="s">
        <v>46</v>
      </c>
      <c r="F316" s="29" t="s">
        <v>46</v>
      </c>
      <c r="G316" s="30" t="s">
        <v>46</v>
      </c>
      <c r="H316" s="31"/>
      <c r="I316" s="31" t="s">
        <v>594</v>
      </c>
      <c r="J316" s="32" t="n">
        <v>1.0</v>
      </c>
      <c r="K316" s="33" t="n">
        <f>89100</f>
        <v>89100.0</v>
      </c>
      <c r="L316" s="34" t="s">
        <v>48</v>
      </c>
      <c r="M316" s="33" t="n">
        <f>90700</f>
        <v>90700.0</v>
      </c>
      <c r="N316" s="34" t="s">
        <v>100</v>
      </c>
      <c r="O316" s="33" t="n">
        <f>86400</f>
        <v>86400.0</v>
      </c>
      <c r="P316" s="34" t="s">
        <v>56</v>
      </c>
      <c r="Q316" s="33" t="n">
        <f>88500</f>
        <v>88500.0</v>
      </c>
      <c r="R316" s="34" t="s">
        <v>49</v>
      </c>
      <c r="S316" s="35" t="n">
        <f>88121.05</f>
        <v>88121.05</v>
      </c>
      <c r="T316" s="32" t="n">
        <f>39877</f>
        <v>39877.0</v>
      </c>
      <c r="U316" s="32" t="n">
        <f>5090</f>
        <v>5090.0</v>
      </c>
      <c r="V316" s="32" t="n">
        <f>3510116152</f>
        <v>3.510116152E9</v>
      </c>
      <c r="W316" s="32" t="n">
        <f>447525652</f>
        <v>4.47525652E8</v>
      </c>
      <c r="X316" s="36" t="n">
        <f>19</f>
        <v>19.0</v>
      </c>
    </row>
    <row r="317">
      <c r="A317" s="27" t="s">
        <v>42</v>
      </c>
      <c r="B317" s="27" t="s">
        <v>1000</v>
      </c>
      <c r="C317" s="27" t="s">
        <v>1001</v>
      </c>
      <c r="D317" s="27" t="s">
        <v>1002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136200</f>
        <v>136200.0</v>
      </c>
      <c r="L317" s="34" t="s">
        <v>48</v>
      </c>
      <c r="M317" s="33" t="n">
        <f>136500</f>
        <v>136500.0</v>
      </c>
      <c r="N317" s="34" t="s">
        <v>48</v>
      </c>
      <c r="O317" s="33" t="n">
        <f>127800</f>
        <v>127800.0</v>
      </c>
      <c r="P317" s="34" t="s">
        <v>60</v>
      </c>
      <c r="Q317" s="33" t="n">
        <f>129300</f>
        <v>129300.0</v>
      </c>
      <c r="R317" s="34" t="s">
        <v>49</v>
      </c>
      <c r="S317" s="35" t="n">
        <f>131652.63</f>
        <v>131652.63</v>
      </c>
      <c r="T317" s="32" t="n">
        <f>52031</f>
        <v>52031.0</v>
      </c>
      <c r="U317" s="32" t="n">
        <f>11125</f>
        <v>11125.0</v>
      </c>
      <c r="V317" s="32" t="n">
        <f>6841643359</f>
        <v>6.841643359E9</v>
      </c>
      <c r="W317" s="32" t="n">
        <f>1460419459</f>
        <v>1.460419459E9</v>
      </c>
      <c r="X317" s="36" t="n">
        <f>19</f>
        <v>19.0</v>
      </c>
    </row>
    <row r="318">
      <c r="A318" s="27" t="s">
        <v>42</v>
      </c>
      <c r="B318" s="27" t="s">
        <v>1003</v>
      </c>
      <c r="C318" s="27" t="s">
        <v>1004</v>
      </c>
      <c r="D318" s="27" t="s">
        <v>1005</v>
      </c>
      <c r="E318" s="28" t="s">
        <v>46</v>
      </c>
      <c r="F318" s="29" t="s">
        <v>46</v>
      </c>
      <c r="G318" s="30" t="s">
        <v>46</v>
      </c>
      <c r="H318" s="31"/>
      <c r="I318" s="31" t="s">
        <v>594</v>
      </c>
      <c r="J318" s="32" t="n">
        <v>1.0</v>
      </c>
      <c r="K318" s="33" t="n">
        <f>121000</f>
        <v>121000.0</v>
      </c>
      <c r="L318" s="34" t="s">
        <v>48</v>
      </c>
      <c r="M318" s="33" t="n">
        <f>123900</f>
        <v>123900.0</v>
      </c>
      <c r="N318" s="34" t="s">
        <v>76</v>
      </c>
      <c r="O318" s="33" t="n">
        <f>116500</f>
        <v>116500.0</v>
      </c>
      <c r="P318" s="34" t="s">
        <v>160</v>
      </c>
      <c r="Q318" s="33" t="n">
        <f>122800</f>
        <v>122800.0</v>
      </c>
      <c r="R318" s="34" t="s">
        <v>49</v>
      </c>
      <c r="S318" s="35" t="n">
        <f>120536.84</f>
        <v>120536.84</v>
      </c>
      <c r="T318" s="32" t="n">
        <f>27789</f>
        <v>27789.0</v>
      </c>
      <c r="U318" s="32" t="n">
        <f>2202</f>
        <v>2202.0</v>
      </c>
      <c r="V318" s="32" t="n">
        <f>3341861444</f>
        <v>3.341861444E9</v>
      </c>
      <c r="W318" s="32" t="n">
        <f>265462444</f>
        <v>2.65462444E8</v>
      </c>
      <c r="X318" s="36" t="n">
        <f>19</f>
        <v>19.0</v>
      </c>
    </row>
    <row r="319">
      <c r="A319" s="27" t="s">
        <v>42</v>
      </c>
      <c r="B319" s="27" t="s">
        <v>1006</v>
      </c>
      <c r="C319" s="27" t="s">
        <v>1007</v>
      </c>
      <c r="D319" s="27" t="s">
        <v>1008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603000</f>
        <v>603000.0</v>
      </c>
      <c r="L319" s="34" t="s">
        <v>48</v>
      </c>
      <c r="M319" s="33" t="n">
        <f>604000</f>
        <v>604000.0</v>
      </c>
      <c r="N319" s="34" t="s">
        <v>48</v>
      </c>
      <c r="O319" s="33" t="n">
        <f>558000</f>
        <v>558000.0</v>
      </c>
      <c r="P319" s="34" t="s">
        <v>113</v>
      </c>
      <c r="Q319" s="33" t="n">
        <f>583000</f>
        <v>583000.0</v>
      </c>
      <c r="R319" s="34" t="s">
        <v>49</v>
      </c>
      <c r="S319" s="35" t="n">
        <f>585315.79</f>
        <v>585315.79</v>
      </c>
      <c r="T319" s="32" t="n">
        <f>26680</f>
        <v>26680.0</v>
      </c>
      <c r="U319" s="32" t="n">
        <f>4834</f>
        <v>4834.0</v>
      </c>
      <c r="V319" s="32" t="n">
        <f>15582382716</f>
        <v>1.5582382716E10</v>
      </c>
      <c r="W319" s="32" t="n">
        <f>2825738716</f>
        <v>2.825738716E9</v>
      </c>
      <c r="X319" s="36" t="n">
        <f>19</f>
        <v>19.0</v>
      </c>
    </row>
    <row r="320">
      <c r="A320" s="27" t="s">
        <v>42</v>
      </c>
      <c r="B320" s="27" t="s">
        <v>1009</v>
      </c>
      <c r="C320" s="27" t="s">
        <v>1010</v>
      </c>
      <c r="D320" s="27" t="s">
        <v>1011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156200</f>
        <v>156200.0</v>
      </c>
      <c r="L320" s="34" t="s">
        <v>48</v>
      </c>
      <c r="M320" s="33" t="n">
        <f>157000</f>
        <v>157000.0</v>
      </c>
      <c r="N320" s="34" t="s">
        <v>48</v>
      </c>
      <c r="O320" s="33" t="n">
        <f>145800</f>
        <v>145800.0</v>
      </c>
      <c r="P320" s="34" t="s">
        <v>113</v>
      </c>
      <c r="Q320" s="33" t="n">
        <f>147600</f>
        <v>147600.0</v>
      </c>
      <c r="R320" s="34" t="s">
        <v>49</v>
      </c>
      <c r="S320" s="35" t="n">
        <f>151010.53</f>
        <v>151010.53</v>
      </c>
      <c r="T320" s="32" t="n">
        <f>81996</f>
        <v>81996.0</v>
      </c>
      <c r="U320" s="32" t="n">
        <f>12458</f>
        <v>12458.0</v>
      </c>
      <c r="V320" s="32" t="n">
        <f>12385798569</f>
        <v>1.2385798569E10</v>
      </c>
      <c r="W320" s="32" t="n">
        <f>1887140369</f>
        <v>1.887140369E9</v>
      </c>
      <c r="X320" s="36" t="n">
        <f>19</f>
        <v>19.0</v>
      </c>
    </row>
    <row r="321">
      <c r="A321" s="27" t="s">
        <v>42</v>
      </c>
      <c r="B321" s="27" t="s">
        <v>1012</v>
      </c>
      <c r="C321" s="27" t="s">
        <v>1013</v>
      </c>
      <c r="D321" s="27" t="s">
        <v>1014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151200</f>
        <v>151200.0</v>
      </c>
      <c r="L321" s="34" t="s">
        <v>48</v>
      </c>
      <c r="M321" s="33" t="n">
        <f>151600</f>
        <v>151600.0</v>
      </c>
      <c r="N321" s="34" t="s">
        <v>48</v>
      </c>
      <c r="O321" s="33" t="n">
        <f>141400</f>
        <v>141400.0</v>
      </c>
      <c r="P321" s="34" t="s">
        <v>113</v>
      </c>
      <c r="Q321" s="33" t="n">
        <f>143900</f>
        <v>143900.0</v>
      </c>
      <c r="R321" s="34" t="s">
        <v>49</v>
      </c>
      <c r="S321" s="35" t="n">
        <f>145852.63</f>
        <v>145852.63</v>
      </c>
      <c r="T321" s="32" t="n">
        <f>119851</f>
        <v>119851.0</v>
      </c>
      <c r="U321" s="32" t="n">
        <f>19523</f>
        <v>19523.0</v>
      </c>
      <c r="V321" s="32" t="n">
        <f>17492838888</f>
        <v>1.7492838888E10</v>
      </c>
      <c r="W321" s="32" t="n">
        <f>2847412488</f>
        <v>2.847412488E9</v>
      </c>
      <c r="X321" s="36" t="n">
        <f>19</f>
        <v>19.0</v>
      </c>
    </row>
    <row r="322">
      <c r="A322" s="27" t="s">
        <v>42</v>
      </c>
      <c r="B322" s="27" t="s">
        <v>1015</v>
      </c>
      <c r="C322" s="27" t="s">
        <v>1016</v>
      </c>
      <c r="D322" s="27" t="s">
        <v>1017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337500</f>
        <v>337500.0</v>
      </c>
      <c r="L322" s="34" t="s">
        <v>48</v>
      </c>
      <c r="M322" s="33" t="n">
        <f>339500</f>
        <v>339500.0</v>
      </c>
      <c r="N322" s="34" t="s">
        <v>440</v>
      </c>
      <c r="O322" s="33" t="n">
        <f>317500</f>
        <v>317500.0</v>
      </c>
      <c r="P322" s="34" t="s">
        <v>113</v>
      </c>
      <c r="Q322" s="33" t="n">
        <f>317500</f>
        <v>317500.0</v>
      </c>
      <c r="R322" s="34" t="s">
        <v>49</v>
      </c>
      <c r="S322" s="35" t="n">
        <f>329263.16</f>
        <v>329263.16</v>
      </c>
      <c r="T322" s="32" t="n">
        <f>91467</f>
        <v>91467.0</v>
      </c>
      <c r="U322" s="32" t="n">
        <f>16266</f>
        <v>16266.0</v>
      </c>
      <c r="V322" s="32" t="n">
        <f>30055035539</f>
        <v>3.0055035539E10</v>
      </c>
      <c r="W322" s="32" t="n">
        <f>5352952539</f>
        <v>5.352952539E9</v>
      </c>
      <c r="X322" s="36" t="n">
        <f>19</f>
        <v>19.0</v>
      </c>
    </row>
    <row r="323">
      <c r="A323" s="27" t="s">
        <v>42</v>
      </c>
      <c r="B323" s="27" t="s">
        <v>1018</v>
      </c>
      <c r="C323" s="27" t="s">
        <v>1019</v>
      </c>
      <c r="D323" s="27" t="s">
        <v>1020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205300</f>
        <v>205300.0</v>
      </c>
      <c r="L323" s="34" t="s">
        <v>48</v>
      </c>
      <c r="M323" s="33" t="n">
        <f>206300</f>
        <v>206300.0</v>
      </c>
      <c r="N323" s="34" t="s">
        <v>48</v>
      </c>
      <c r="O323" s="33" t="n">
        <f>191400</f>
        <v>191400.0</v>
      </c>
      <c r="P323" s="34" t="s">
        <v>113</v>
      </c>
      <c r="Q323" s="33" t="n">
        <f>193600</f>
        <v>193600.0</v>
      </c>
      <c r="R323" s="34" t="s">
        <v>49</v>
      </c>
      <c r="S323" s="35" t="n">
        <f>198352.63</f>
        <v>198352.63</v>
      </c>
      <c r="T323" s="32" t="n">
        <f>63590</f>
        <v>63590.0</v>
      </c>
      <c r="U323" s="32" t="n">
        <f>13719</f>
        <v>13719.0</v>
      </c>
      <c r="V323" s="32" t="n">
        <f>12615561269</f>
        <v>1.2615561269E10</v>
      </c>
      <c r="W323" s="32" t="n">
        <f>2721416669</f>
        <v>2.721416669E9</v>
      </c>
      <c r="X323" s="36" t="n">
        <f>19</f>
        <v>19.0</v>
      </c>
    </row>
    <row r="324">
      <c r="A324" s="27" t="s">
        <v>42</v>
      </c>
      <c r="B324" s="27" t="s">
        <v>1021</v>
      </c>
      <c r="C324" s="27" t="s">
        <v>1022</v>
      </c>
      <c r="D324" s="27" t="s">
        <v>1023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412500</f>
        <v>412500.0</v>
      </c>
      <c r="L324" s="34" t="s">
        <v>48</v>
      </c>
      <c r="M324" s="33" t="n">
        <f>414500</f>
        <v>414500.0</v>
      </c>
      <c r="N324" s="34" t="s">
        <v>126</v>
      </c>
      <c r="O324" s="33" t="n">
        <f>381000</f>
        <v>381000.0</v>
      </c>
      <c r="P324" s="34" t="s">
        <v>113</v>
      </c>
      <c r="Q324" s="33" t="n">
        <f>389000</f>
        <v>389000.0</v>
      </c>
      <c r="R324" s="34" t="s">
        <v>49</v>
      </c>
      <c r="S324" s="35" t="n">
        <f>396921.05</f>
        <v>396921.05</v>
      </c>
      <c r="T324" s="32" t="n">
        <f>49710</f>
        <v>49710.0</v>
      </c>
      <c r="U324" s="32" t="n">
        <f>11064</f>
        <v>11064.0</v>
      </c>
      <c r="V324" s="32" t="n">
        <f>19714256109</f>
        <v>1.9714256109E10</v>
      </c>
      <c r="W324" s="32" t="n">
        <f>4412240609</f>
        <v>4.412240609E9</v>
      </c>
      <c r="X324" s="36" t="n">
        <f>19</f>
        <v>19.0</v>
      </c>
    </row>
    <row r="325">
      <c r="A325" s="27" t="s">
        <v>42</v>
      </c>
      <c r="B325" s="27" t="s">
        <v>1024</v>
      </c>
      <c r="C325" s="27" t="s">
        <v>1025</v>
      </c>
      <c r="D325" s="27" t="s">
        <v>1026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150800</f>
        <v>150800.0</v>
      </c>
      <c r="L325" s="34" t="s">
        <v>48</v>
      </c>
      <c r="M325" s="33" t="n">
        <f>151400</f>
        <v>151400.0</v>
      </c>
      <c r="N325" s="34" t="s">
        <v>48</v>
      </c>
      <c r="O325" s="33" t="n">
        <f>140400</f>
        <v>140400.0</v>
      </c>
      <c r="P325" s="34" t="s">
        <v>399</v>
      </c>
      <c r="Q325" s="33" t="n">
        <f>146700</f>
        <v>146700.0</v>
      </c>
      <c r="R325" s="34" t="s">
        <v>49</v>
      </c>
      <c r="S325" s="35" t="n">
        <f>144636.84</f>
        <v>144636.84</v>
      </c>
      <c r="T325" s="32" t="n">
        <f>308470</f>
        <v>308470.0</v>
      </c>
      <c r="U325" s="32" t="n">
        <f>67520</f>
        <v>67520.0</v>
      </c>
      <c r="V325" s="32" t="n">
        <f>44611829110</f>
        <v>4.461182911E10</v>
      </c>
      <c r="W325" s="32" t="n">
        <f>9759168610</f>
        <v>9.75916861E9</v>
      </c>
      <c r="X325" s="36" t="n">
        <f>19</f>
        <v>19.0</v>
      </c>
    </row>
    <row r="326">
      <c r="A326" s="27" t="s">
        <v>42</v>
      </c>
      <c r="B326" s="27" t="s">
        <v>1027</v>
      </c>
      <c r="C326" s="27" t="s">
        <v>1028</v>
      </c>
      <c r="D326" s="27" t="s">
        <v>1029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296600</f>
        <v>296600.0</v>
      </c>
      <c r="L326" s="34" t="s">
        <v>48</v>
      </c>
      <c r="M326" s="33" t="n">
        <f>297800</f>
        <v>297800.0</v>
      </c>
      <c r="N326" s="34" t="s">
        <v>100</v>
      </c>
      <c r="O326" s="33" t="n">
        <f>283000</f>
        <v>283000.0</v>
      </c>
      <c r="P326" s="34" t="s">
        <v>113</v>
      </c>
      <c r="Q326" s="33" t="n">
        <f>288900</f>
        <v>288900.0</v>
      </c>
      <c r="R326" s="34" t="s">
        <v>49</v>
      </c>
      <c r="S326" s="35" t="n">
        <f>291336.84</f>
        <v>291336.84</v>
      </c>
      <c r="T326" s="32" t="n">
        <f>70431</f>
        <v>70431.0</v>
      </c>
      <c r="U326" s="32" t="n">
        <f>7666</f>
        <v>7666.0</v>
      </c>
      <c r="V326" s="32" t="n">
        <f>20523166548</f>
        <v>2.0523166548E10</v>
      </c>
      <c r="W326" s="32" t="n">
        <f>2236043248</f>
        <v>2.236043248E9</v>
      </c>
      <c r="X326" s="36" t="n">
        <f>19</f>
        <v>19.0</v>
      </c>
    </row>
    <row r="327">
      <c r="A327" s="27" t="s">
        <v>42</v>
      </c>
      <c r="B327" s="27" t="s">
        <v>1030</v>
      </c>
      <c r="C327" s="27" t="s">
        <v>1031</v>
      </c>
      <c r="D327" s="27" t="s">
        <v>1032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308000</f>
        <v>308000.0</v>
      </c>
      <c r="L327" s="34" t="s">
        <v>48</v>
      </c>
      <c r="M327" s="33" t="n">
        <f>310500</f>
        <v>310500.0</v>
      </c>
      <c r="N327" s="34" t="s">
        <v>160</v>
      </c>
      <c r="O327" s="33" t="n">
        <f>282100</f>
        <v>282100.0</v>
      </c>
      <c r="P327" s="34" t="s">
        <v>113</v>
      </c>
      <c r="Q327" s="33" t="n">
        <f>294300</f>
        <v>294300.0</v>
      </c>
      <c r="R327" s="34" t="s">
        <v>49</v>
      </c>
      <c r="S327" s="35" t="n">
        <f>294215.79</f>
        <v>294215.79</v>
      </c>
      <c r="T327" s="32" t="n">
        <f>188323</f>
        <v>188323.0</v>
      </c>
      <c r="U327" s="32" t="n">
        <f>33400</f>
        <v>33400.0</v>
      </c>
      <c r="V327" s="32" t="n">
        <f>55344747423</f>
        <v>5.5344747423E10</v>
      </c>
      <c r="W327" s="32" t="n">
        <f>9819311423</f>
        <v>9.819311423E9</v>
      </c>
      <c r="X327" s="36" t="n">
        <f>19</f>
        <v>19.0</v>
      </c>
    </row>
    <row r="328">
      <c r="A328" s="27" t="s">
        <v>42</v>
      </c>
      <c r="B328" s="27" t="s">
        <v>1033</v>
      </c>
      <c r="C328" s="27" t="s">
        <v>1034</v>
      </c>
      <c r="D328" s="27" t="s">
        <v>1035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706000</f>
        <v>706000.0</v>
      </c>
      <c r="L328" s="34" t="s">
        <v>48</v>
      </c>
      <c r="M328" s="33" t="n">
        <f>761000</f>
        <v>761000.0</v>
      </c>
      <c r="N328" s="34" t="s">
        <v>49</v>
      </c>
      <c r="O328" s="33" t="n">
        <f>694000</f>
        <v>694000.0</v>
      </c>
      <c r="P328" s="34" t="s">
        <v>126</v>
      </c>
      <c r="Q328" s="33" t="n">
        <f>745000</f>
        <v>745000.0</v>
      </c>
      <c r="R328" s="34" t="s">
        <v>49</v>
      </c>
      <c r="S328" s="35" t="n">
        <f>728000</f>
        <v>728000.0</v>
      </c>
      <c r="T328" s="32" t="n">
        <f>19865</f>
        <v>19865.0</v>
      </c>
      <c r="U328" s="32" t="n">
        <f>3132</f>
        <v>3132.0</v>
      </c>
      <c r="V328" s="32" t="n">
        <f>14461684645</f>
        <v>1.4461684645E10</v>
      </c>
      <c r="W328" s="32" t="n">
        <f>2278843645</f>
        <v>2.278843645E9</v>
      </c>
      <c r="X328" s="36" t="n">
        <f>19</f>
        <v>19.0</v>
      </c>
    </row>
    <row r="329">
      <c r="A329" s="27" t="s">
        <v>42</v>
      </c>
      <c r="B329" s="27" t="s">
        <v>1036</v>
      </c>
      <c r="C329" s="27" t="s">
        <v>1037</v>
      </c>
      <c r="D329" s="27" t="s">
        <v>1038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251400</f>
        <v>251400.0</v>
      </c>
      <c r="L329" s="34" t="s">
        <v>48</v>
      </c>
      <c r="M329" s="33" t="n">
        <f>252400</f>
        <v>252400.0</v>
      </c>
      <c r="N329" s="34" t="s">
        <v>76</v>
      </c>
      <c r="O329" s="33" t="n">
        <f>237300</f>
        <v>237300.0</v>
      </c>
      <c r="P329" s="34" t="s">
        <v>224</v>
      </c>
      <c r="Q329" s="33" t="n">
        <f>246300</f>
        <v>246300.0</v>
      </c>
      <c r="R329" s="34" t="s">
        <v>49</v>
      </c>
      <c r="S329" s="35" t="n">
        <f>244031.58</f>
        <v>244031.58</v>
      </c>
      <c r="T329" s="32" t="n">
        <f>18116</f>
        <v>18116.0</v>
      </c>
      <c r="U329" s="32" t="n">
        <f>2112</f>
        <v>2112.0</v>
      </c>
      <c r="V329" s="32" t="n">
        <f>4416460894</f>
        <v>4.416460894E9</v>
      </c>
      <c r="W329" s="32" t="n">
        <f>516466094</f>
        <v>5.16466094E8</v>
      </c>
      <c r="X329" s="36" t="n">
        <f>19</f>
        <v>19.0</v>
      </c>
    </row>
    <row r="330">
      <c r="A330" s="27" t="s">
        <v>42</v>
      </c>
      <c r="B330" s="27" t="s">
        <v>1039</v>
      </c>
      <c r="C330" s="27" t="s">
        <v>1040</v>
      </c>
      <c r="D330" s="27" t="s">
        <v>1041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153900</f>
        <v>153900.0</v>
      </c>
      <c r="L330" s="34" t="s">
        <v>48</v>
      </c>
      <c r="M330" s="33" t="n">
        <f>154200</f>
        <v>154200.0</v>
      </c>
      <c r="N330" s="34" t="s">
        <v>48</v>
      </c>
      <c r="O330" s="33" t="n">
        <f>140500</f>
        <v>140500.0</v>
      </c>
      <c r="P330" s="34" t="s">
        <v>113</v>
      </c>
      <c r="Q330" s="33" t="n">
        <f>143600</f>
        <v>143600.0</v>
      </c>
      <c r="R330" s="34" t="s">
        <v>49</v>
      </c>
      <c r="S330" s="35" t="n">
        <f>147721.05</f>
        <v>147721.05</v>
      </c>
      <c r="T330" s="32" t="n">
        <f>175288</f>
        <v>175288.0</v>
      </c>
      <c r="U330" s="32" t="n">
        <f>16721</f>
        <v>16721.0</v>
      </c>
      <c r="V330" s="32" t="n">
        <f>25648948554</f>
        <v>2.5648948554E10</v>
      </c>
      <c r="W330" s="32" t="n">
        <f>2472771654</f>
        <v>2.472771654E9</v>
      </c>
      <c r="X330" s="36" t="n">
        <f>19</f>
        <v>19.0</v>
      </c>
    </row>
    <row r="331">
      <c r="A331" s="27" t="s">
        <v>42</v>
      </c>
      <c r="B331" s="27" t="s">
        <v>1042</v>
      </c>
      <c r="C331" s="27" t="s">
        <v>1043</v>
      </c>
      <c r="D331" s="27" t="s">
        <v>1044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163700</f>
        <v>163700.0</v>
      </c>
      <c r="L331" s="34" t="s">
        <v>48</v>
      </c>
      <c r="M331" s="33" t="n">
        <f>164700</f>
        <v>164700.0</v>
      </c>
      <c r="N331" s="34" t="s">
        <v>48</v>
      </c>
      <c r="O331" s="33" t="n">
        <f>151500</f>
        <v>151500.0</v>
      </c>
      <c r="P331" s="34" t="s">
        <v>224</v>
      </c>
      <c r="Q331" s="33" t="n">
        <f>155200</f>
        <v>155200.0</v>
      </c>
      <c r="R331" s="34" t="s">
        <v>49</v>
      </c>
      <c r="S331" s="35" t="n">
        <f>156736.84</f>
        <v>156736.84</v>
      </c>
      <c r="T331" s="32" t="n">
        <f>79009</f>
        <v>79009.0</v>
      </c>
      <c r="U331" s="32" t="n">
        <f>17908</f>
        <v>17908.0</v>
      </c>
      <c r="V331" s="32" t="n">
        <f>12389669725</f>
        <v>1.2389669725E10</v>
      </c>
      <c r="W331" s="32" t="n">
        <f>2816265625</f>
        <v>2.816265625E9</v>
      </c>
      <c r="X331" s="36" t="n">
        <f>19</f>
        <v>19.0</v>
      </c>
    </row>
    <row r="332">
      <c r="A332" s="27" t="s">
        <v>42</v>
      </c>
      <c r="B332" s="27" t="s">
        <v>1045</v>
      </c>
      <c r="C332" s="27" t="s">
        <v>1046</v>
      </c>
      <c r="D332" s="27" t="s">
        <v>1047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347500</f>
        <v>347500.0</v>
      </c>
      <c r="L332" s="34" t="s">
        <v>48</v>
      </c>
      <c r="M332" s="33" t="n">
        <f>348000</f>
        <v>348000.0</v>
      </c>
      <c r="N332" s="34" t="s">
        <v>48</v>
      </c>
      <c r="O332" s="33" t="n">
        <f>326000</f>
        <v>326000.0</v>
      </c>
      <c r="P332" s="34" t="s">
        <v>113</v>
      </c>
      <c r="Q332" s="33" t="n">
        <f>330500</f>
        <v>330500.0</v>
      </c>
      <c r="R332" s="34" t="s">
        <v>49</v>
      </c>
      <c r="S332" s="35" t="n">
        <f>334631.58</f>
        <v>334631.58</v>
      </c>
      <c r="T332" s="32" t="n">
        <f>23627</f>
        <v>23627.0</v>
      </c>
      <c r="U332" s="32" t="n">
        <f>4777</f>
        <v>4777.0</v>
      </c>
      <c r="V332" s="32" t="n">
        <f>7931351438</f>
        <v>7.931351438E9</v>
      </c>
      <c r="W332" s="32" t="n">
        <f>1606823938</f>
        <v>1.606823938E9</v>
      </c>
      <c r="X332" s="36" t="n">
        <f>19</f>
        <v>19.0</v>
      </c>
    </row>
    <row r="333">
      <c r="A333" s="27" t="s">
        <v>42</v>
      </c>
      <c r="B333" s="27" t="s">
        <v>1048</v>
      </c>
      <c r="C333" s="27" t="s">
        <v>1049</v>
      </c>
      <c r="D333" s="27" t="s">
        <v>1050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74700</f>
        <v>74700.0</v>
      </c>
      <c r="L333" s="34" t="s">
        <v>48</v>
      </c>
      <c r="M333" s="33" t="n">
        <f>75300</f>
        <v>75300.0</v>
      </c>
      <c r="N333" s="34" t="s">
        <v>48</v>
      </c>
      <c r="O333" s="33" t="n">
        <f>69800</f>
        <v>69800.0</v>
      </c>
      <c r="P333" s="34" t="s">
        <v>113</v>
      </c>
      <c r="Q333" s="33" t="n">
        <f>71000</f>
        <v>71000.0</v>
      </c>
      <c r="R333" s="34" t="s">
        <v>49</v>
      </c>
      <c r="S333" s="35" t="n">
        <f>72426.32</f>
        <v>72426.32</v>
      </c>
      <c r="T333" s="32" t="n">
        <f>224628</f>
        <v>224628.0</v>
      </c>
      <c r="U333" s="32" t="n">
        <f>44644</f>
        <v>44644.0</v>
      </c>
      <c r="V333" s="32" t="n">
        <f>16253238562</f>
        <v>1.6253238562E10</v>
      </c>
      <c r="W333" s="32" t="n">
        <f>3247688262</f>
        <v>3.247688262E9</v>
      </c>
      <c r="X333" s="36" t="n">
        <f>19</f>
        <v>19.0</v>
      </c>
    </row>
    <row r="334">
      <c r="A334" s="27" t="s">
        <v>42</v>
      </c>
      <c r="B334" s="27" t="s">
        <v>1051</v>
      </c>
      <c r="C334" s="27" t="s">
        <v>1052</v>
      </c>
      <c r="D334" s="27" t="s">
        <v>1053</v>
      </c>
      <c r="E334" s="28" t="s">
        <v>46</v>
      </c>
      <c r="F334" s="29" t="s">
        <v>46</v>
      </c>
      <c r="G334" s="30" t="s">
        <v>46</v>
      </c>
      <c r="H334" s="31"/>
      <c r="I334" s="31" t="s">
        <v>594</v>
      </c>
      <c r="J334" s="32" t="n">
        <v>1.0</v>
      </c>
      <c r="K334" s="33" t="n">
        <f>133200</f>
        <v>133200.0</v>
      </c>
      <c r="L334" s="34" t="s">
        <v>48</v>
      </c>
      <c r="M334" s="33" t="n">
        <f>133700</f>
        <v>133700.0</v>
      </c>
      <c r="N334" s="34" t="s">
        <v>160</v>
      </c>
      <c r="O334" s="33" t="n">
        <f>128200</f>
        <v>128200.0</v>
      </c>
      <c r="P334" s="34" t="s">
        <v>113</v>
      </c>
      <c r="Q334" s="33" t="n">
        <f>131500</f>
        <v>131500.0</v>
      </c>
      <c r="R334" s="34" t="s">
        <v>49</v>
      </c>
      <c r="S334" s="35" t="n">
        <f>131178.95</f>
        <v>131178.95</v>
      </c>
      <c r="T334" s="32" t="n">
        <f>15729</f>
        <v>15729.0</v>
      </c>
      <c r="U334" s="32" t="n">
        <f>1795</f>
        <v>1795.0</v>
      </c>
      <c r="V334" s="32" t="n">
        <f>2061033507</f>
        <v>2.061033507E9</v>
      </c>
      <c r="W334" s="32" t="n">
        <f>235714407</f>
        <v>2.35714407E8</v>
      </c>
      <c r="X334" s="36" t="n">
        <f>19</f>
        <v>19.0</v>
      </c>
    </row>
    <row r="335">
      <c r="A335" s="27" t="s">
        <v>42</v>
      </c>
      <c r="B335" s="27" t="s">
        <v>1054</v>
      </c>
      <c r="C335" s="27" t="s">
        <v>1055</v>
      </c>
      <c r="D335" s="27" t="s">
        <v>1056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255200</f>
        <v>255200.0</v>
      </c>
      <c r="L335" s="34" t="s">
        <v>48</v>
      </c>
      <c r="M335" s="33" t="n">
        <f>256400</f>
        <v>256400.0</v>
      </c>
      <c r="N335" s="34" t="s">
        <v>48</v>
      </c>
      <c r="O335" s="33" t="n">
        <f>240000</f>
        <v>240000.0</v>
      </c>
      <c r="P335" s="34" t="s">
        <v>113</v>
      </c>
      <c r="Q335" s="33" t="n">
        <f>243500</f>
        <v>243500.0</v>
      </c>
      <c r="R335" s="34" t="s">
        <v>49</v>
      </c>
      <c r="S335" s="35" t="n">
        <f>246526.32</f>
        <v>246526.32</v>
      </c>
      <c r="T335" s="32" t="n">
        <f>45212</f>
        <v>45212.0</v>
      </c>
      <c r="U335" s="32" t="n">
        <f>8238</f>
        <v>8238.0</v>
      </c>
      <c r="V335" s="32" t="n">
        <f>11137463389</f>
        <v>1.1137463389E10</v>
      </c>
      <c r="W335" s="32" t="n">
        <f>2032886489</f>
        <v>2.032886489E9</v>
      </c>
      <c r="X335" s="36" t="n">
        <f>19</f>
        <v>19.0</v>
      </c>
    </row>
    <row r="336">
      <c r="A336" s="27" t="s">
        <v>42</v>
      </c>
      <c r="B336" s="27" t="s">
        <v>1057</v>
      </c>
      <c r="C336" s="27" t="s">
        <v>1058</v>
      </c>
      <c r="D336" s="27" t="s">
        <v>1059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179900</f>
        <v>179900.0</v>
      </c>
      <c r="L336" s="34" t="s">
        <v>48</v>
      </c>
      <c r="M336" s="33" t="n">
        <f>179900</f>
        <v>179900.0</v>
      </c>
      <c r="N336" s="34" t="s">
        <v>48</v>
      </c>
      <c r="O336" s="33" t="n">
        <f>161200</f>
        <v>161200.0</v>
      </c>
      <c r="P336" s="34" t="s">
        <v>49</v>
      </c>
      <c r="Q336" s="33" t="n">
        <f>162000</f>
        <v>162000.0</v>
      </c>
      <c r="R336" s="34" t="s">
        <v>49</v>
      </c>
      <c r="S336" s="35" t="n">
        <f>171452.63</f>
        <v>171452.63</v>
      </c>
      <c r="T336" s="32" t="n">
        <f>32853</f>
        <v>32853.0</v>
      </c>
      <c r="U336" s="32" t="n">
        <f>3879</f>
        <v>3879.0</v>
      </c>
      <c r="V336" s="32" t="n">
        <f>5573649382</f>
        <v>5.573649382E9</v>
      </c>
      <c r="W336" s="32" t="n">
        <f>663939782</f>
        <v>6.63939782E8</v>
      </c>
      <c r="X336" s="36" t="n">
        <f>19</f>
        <v>19.0</v>
      </c>
    </row>
    <row r="337">
      <c r="A337" s="27" t="s">
        <v>42</v>
      </c>
      <c r="B337" s="27" t="s">
        <v>1060</v>
      </c>
      <c r="C337" s="27" t="s">
        <v>1061</v>
      </c>
      <c r="D337" s="27" t="s">
        <v>1062</v>
      </c>
      <c r="E337" s="28" t="s">
        <v>46</v>
      </c>
      <c r="F337" s="29" t="s">
        <v>46</v>
      </c>
      <c r="G337" s="30" t="s">
        <v>46</v>
      </c>
      <c r="H337" s="31"/>
      <c r="I337" s="31" t="s">
        <v>594</v>
      </c>
      <c r="J337" s="32" t="n">
        <v>1.0</v>
      </c>
      <c r="K337" s="33" t="n">
        <f>116000</f>
        <v>116000.0</v>
      </c>
      <c r="L337" s="34" t="s">
        <v>48</v>
      </c>
      <c r="M337" s="33" t="n">
        <f>116100</f>
        <v>116100.0</v>
      </c>
      <c r="N337" s="34" t="s">
        <v>48</v>
      </c>
      <c r="O337" s="33" t="n">
        <f>108400</f>
        <v>108400.0</v>
      </c>
      <c r="P337" s="34" t="s">
        <v>113</v>
      </c>
      <c r="Q337" s="33" t="n">
        <f>109000</f>
        <v>109000.0</v>
      </c>
      <c r="R337" s="34" t="s">
        <v>49</v>
      </c>
      <c r="S337" s="35" t="n">
        <f>112105.26</f>
        <v>112105.26</v>
      </c>
      <c r="T337" s="32" t="n">
        <f>30051</f>
        <v>30051.0</v>
      </c>
      <c r="U337" s="32" t="n">
        <f>2803</f>
        <v>2803.0</v>
      </c>
      <c r="V337" s="32" t="n">
        <f>3363516885</f>
        <v>3.363516885E9</v>
      </c>
      <c r="W337" s="32" t="n">
        <f>314417385</f>
        <v>3.14417385E8</v>
      </c>
      <c r="X337" s="36" t="n">
        <f>19</f>
        <v>19.0</v>
      </c>
    </row>
    <row r="338">
      <c r="A338" s="27" t="s">
        <v>42</v>
      </c>
      <c r="B338" s="27" t="s">
        <v>1063</v>
      </c>
      <c r="C338" s="27" t="s">
        <v>1064</v>
      </c>
      <c r="D338" s="27" t="s">
        <v>1065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163300</f>
        <v>163300.0</v>
      </c>
      <c r="L338" s="34" t="s">
        <v>48</v>
      </c>
      <c r="M338" s="33" t="n">
        <f>163900</f>
        <v>163900.0</v>
      </c>
      <c r="N338" s="34" t="s">
        <v>48</v>
      </c>
      <c r="O338" s="33" t="n">
        <f>151500</f>
        <v>151500.0</v>
      </c>
      <c r="P338" s="34" t="s">
        <v>49</v>
      </c>
      <c r="Q338" s="33" t="n">
        <f>151900</f>
        <v>151900.0</v>
      </c>
      <c r="R338" s="34" t="s">
        <v>49</v>
      </c>
      <c r="S338" s="35" t="n">
        <f>155163.16</f>
        <v>155163.16</v>
      </c>
      <c r="T338" s="32" t="n">
        <f>282539</f>
        <v>282539.0</v>
      </c>
      <c r="U338" s="32" t="n">
        <f>74950</f>
        <v>74950.0</v>
      </c>
      <c r="V338" s="32" t="n">
        <f>43847563790</f>
        <v>4.384756379E10</v>
      </c>
      <c r="W338" s="32" t="n">
        <f>11629851390</f>
        <v>1.162985139E10</v>
      </c>
      <c r="X338" s="36" t="n">
        <f>19</f>
        <v>19.0</v>
      </c>
    </row>
    <row r="339">
      <c r="A339" s="27" t="s">
        <v>42</v>
      </c>
      <c r="B339" s="27" t="s">
        <v>1066</v>
      </c>
      <c r="C339" s="27" t="s">
        <v>1067</v>
      </c>
      <c r="D339" s="27" t="s">
        <v>1068</v>
      </c>
      <c r="E339" s="28" t="s">
        <v>46</v>
      </c>
      <c r="F339" s="29" t="s">
        <v>46</v>
      </c>
      <c r="G339" s="30" t="s">
        <v>46</v>
      </c>
      <c r="H339" s="31"/>
      <c r="I339" s="31" t="s">
        <v>594</v>
      </c>
      <c r="J339" s="32" t="n">
        <v>1.0</v>
      </c>
      <c r="K339" s="33" t="n">
        <f>108000</f>
        <v>108000.0</v>
      </c>
      <c r="L339" s="34" t="s">
        <v>48</v>
      </c>
      <c r="M339" s="33" t="n">
        <f>115800</f>
        <v>115800.0</v>
      </c>
      <c r="N339" s="34" t="s">
        <v>60</v>
      </c>
      <c r="O339" s="33" t="n">
        <f>103700</f>
        <v>103700.0</v>
      </c>
      <c r="P339" s="34" t="s">
        <v>126</v>
      </c>
      <c r="Q339" s="33" t="n">
        <f>114100</f>
        <v>114100.0</v>
      </c>
      <c r="R339" s="34" t="s">
        <v>49</v>
      </c>
      <c r="S339" s="35" t="n">
        <f>111026.32</f>
        <v>111026.32</v>
      </c>
      <c r="T339" s="32" t="n">
        <f>32019</f>
        <v>32019.0</v>
      </c>
      <c r="U339" s="32" t="n">
        <f>5294</f>
        <v>5294.0</v>
      </c>
      <c r="V339" s="32" t="n">
        <f>3549871316</f>
        <v>3.549871316E9</v>
      </c>
      <c r="W339" s="32" t="n">
        <f>589753316</f>
        <v>5.89753316E8</v>
      </c>
      <c r="X339" s="36" t="n">
        <f>19</f>
        <v>19.0</v>
      </c>
    </row>
    <row r="340">
      <c r="A340" s="27" t="s">
        <v>42</v>
      </c>
      <c r="B340" s="27" t="s">
        <v>1069</v>
      </c>
      <c r="C340" s="27" t="s">
        <v>1070</v>
      </c>
      <c r="D340" s="27" t="s">
        <v>1071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159500</f>
        <v>159500.0</v>
      </c>
      <c r="L340" s="34" t="s">
        <v>48</v>
      </c>
      <c r="M340" s="33" t="n">
        <f>159800</f>
        <v>159800.0</v>
      </c>
      <c r="N340" s="34" t="s">
        <v>48</v>
      </c>
      <c r="O340" s="33" t="n">
        <f>149400</f>
        <v>149400.0</v>
      </c>
      <c r="P340" s="34" t="s">
        <v>113</v>
      </c>
      <c r="Q340" s="33" t="n">
        <f>157300</f>
        <v>157300.0</v>
      </c>
      <c r="R340" s="34" t="s">
        <v>49</v>
      </c>
      <c r="S340" s="35" t="n">
        <f>155078.95</f>
        <v>155078.95</v>
      </c>
      <c r="T340" s="32" t="n">
        <f>80630</f>
        <v>80630.0</v>
      </c>
      <c r="U340" s="32" t="n">
        <f>16715</f>
        <v>16715.0</v>
      </c>
      <c r="V340" s="32" t="n">
        <f>12480559100</f>
        <v>1.24805591E10</v>
      </c>
      <c r="W340" s="32" t="n">
        <f>2592325500</f>
        <v>2.5923255E9</v>
      </c>
      <c r="X340" s="36" t="n">
        <f>19</f>
        <v>19.0</v>
      </c>
    </row>
    <row r="341">
      <c r="A341" s="27" t="s">
        <v>42</v>
      </c>
      <c r="B341" s="27" t="s">
        <v>1072</v>
      </c>
      <c r="C341" s="27" t="s">
        <v>1073</v>
      </c>
      <c r="D341" s="27" t="s">
        <v>1074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55400</f>
        <v>55400.0</v>
      </c>
      <c r="L341" s="34" t="s">
        <v>48</v>
      </c>
      <c r="M341" s="33" t="n">
        <f>55600</f>
        <v>55600.0</v>
      </c>
      <c r="N341" s="34" t="s">
        <v>48</v>
      </c>
      <c r="O341" s="33" t="n">
        <f>52600</f>
        <v>52600.0</v>
      </c>
      <c r="P341" s="34" t="s">
        <v>49</v>
      </c>
      <c r="Q341" s="33" t="n">
        <f>52700</f>
        <v>52700.0</v>
      </c>
      <c r="R341" s="34" t="s">
        <v>49</v>
      </c>
      <c r="S341" s="35" t="n">
        <f>54089.47</f>
        <v>54089.47</v>
      </c>
      <c r="T341" s="32" t="n">
        <f>137206</f>
        <v>137206.0</v>
      </c>
      <c r="U341" s="32" t="n">
        <f>18764</f>
        <v>18764.0</v>
      </c>
      <c r="V341" s="32" t="n">
        <f>7423565637</f>
        <v>7.423565637E9</v>
      </c>
      <c r="W341" s="32" t="n">
        <f>1014850937</f>
        <v>1.014850937E9</v>
      </c>
      <c r="X341" s="36" t="n">
        <f>19</f>
        <v>19.0</v>
      </c>
    </row>
    <row r="342">
      <c r="A342" s="27" t="s">
        <v>42</v>
      </c>
      <c r="B342" s="27" t="s">
        <v>1075</v>
      </c>
      <c r="C342" s="27" t="s">
        <v>1076</v>
      </c>
      <c r="D342" s="27" t="s">
        <v>1077</v>
      </c>
      <c r="E342" s="28" t="s">
        <v>46</v>
      </c>
      <c r="F342" s="29" t="s">
        <v>46</v>
      </c>
      <c r="G342" s="30" t="s">
        <v>46</v>
      </c>
      <c r="H342" s="31"/>
      <c r="I342" s="31" t="s">
        <v>594</v>
      </c>
      <c r="J342" s="32" t="n">
        <v>1.0</v>
      </c>
      <c r="K342" s="33" t="n">
        <f>131700</f>
        <v>131700.0</v>
      </c>
      <c r="L342" s="34" t="s">
        <v>48</v>
      </c>
      <c r="M342" s="33" t="n">
        <f>132700</f>
        <v>132700.0</v>
      </c>
      <c r="N342" s="34" t="s">
        <v>160</v>
      </c>
      <c r="O342" s="33" t="n">
        <f>124100</f>
        <v>124100.0</v>
      </c>
      <c r="P342" s="34" t="s">
        <v>113</v>
      </c>
      <c r="Q342" s="33" t="n">
        <f>124900</f>
        <v>124900.0</v>
      </c>
      <c r="R342" s="34" t="s">
        <v>49</v>
      </c>
      <c r="S342" s="35" t="n">
        <f>127136.84</f>
        <v>127136.84</v>
      </c>
      <c r="T342" s="32" t="n">
        <f>53385</f>
        <v>53385.0</v>
      </c>
      <c r="U342" s="32" t="n">
        <f>8163</f>
        <v>8163.0</v>
      </c>
      <c r="V342" s="32" t="n">
        <f>6835329513</f>
        <v>6.835329513E9</v>
      </c>
      <c r="W342" s="32" t="n">
        <f>1065746013</f>
        <v>1.065746013E9</v>
      </c>
      <c r="X342" s="36" t="n">
        <f>19</f>
        <v>19.0</v>
      </c>
    </row>
    <row r="343">
      <c r="A343" s="27" t="s">
        <v>42</v>
      </c>
      <c r="B343" s="27" t="s">
        <v>1078</v>
      </c>
      <c r="C343" s="27" t="s">
        <v>1079</v>
      </c>
      <c r="D343" s="27" t="s">
        <v>1080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477000</f>
        <v>477000.0</v>
      </c>
      <c r="L343" s="34" t="s">
        <v>48</v>
      </c>
      <c r="M343" s="33" t="n">
        <f>478000</f>
        <v>478000.0</v>
      </c>
      <c r="N343" s="34" t="s">
        <v>48</v>
      </c>
      <c r="O343" s="33" t="n">
        <f>440000</f>
        <v>440000.0</v>
      </c>
      <c r="P343" s="34" t="s">
        <v>160</v>
      </c>
      <c r="Q343" s="33" t="n">
        <f>453500</f>
        <v>453500.0</v>
      </c>
      <c r="R343" s="34" t="s">
        <v>49</v>
      </c>
      <c r="S343" s="35" t="n">
        <f>453789.47</f>
        <v>453789.47</v>
      </c>
      <c r="T343" s="32" t="n">
        <f>50860</f>
        <v>50860.0</v>
      </c>
      <c r="U343" s="32" t="n">
        <f>7671</f>
        <v>7671.0</v>
      </c>
      <c r="V343" s="32" t="n">
        <f>23032549432</f>
        <v>2.3032549432E10</v>
      </c>
      <c r="W343" s="32" t="n">
        <f>3481038932</f>
        <v>3.481038932E9</v>
      </c>
      <c r="X343" s="36" t="n">
        <f>19</f>
        <v>19.0</v>
      </c>
    </row>
    <row r="344">
      <c r="A344" s="27" t="s">
        <v>42</v>
      </c>
      <c r="B344" s="27" t="s">
        <v>1081</v>
      </c>
      <c r="C344" s="27" t="s">
        <v>1082</v>
      </c>
      <c r="D344" s="27" t="s">
        <v>1083</v>
      </c>
      <c r="E344" s="28" t="s">
        <v>46</v>
      </c>
      <c r="F344" s="29" t="s">
        <v>46</v>
      </c>
      <c r="G344" s="30" t="s">
        <v>46</v>
      </c>
      <c r="H344" s="31"/>
      <c r="I344" s="31" t="s">
        <v>594</v>
      </c>
      <c r="J344" s="32" t="n">
        <v>1.0</v>
      </c>
      <c r="K344" s="33" t="n">
        <f>62500</f>
        <v>62500.0</v>
      </c>
      <c r="L344" s="34" t="s">
        <v>48</v>
      </c>
      <c r="M344" s="33" t="n">
        <f>62700</f>
        <v>62700.0</v>
      </c>
      <c r="N344" s="34" t="s">
        <v>49</v>
      </c>
      <c r="O344" s="33" t="n">
        <f>60100</f>
        <v>60100.0</v>
      </c>
      <c r="P344" s="34" t="s">
        <v>113</v>
      </c>
      <c r="Q344" s="33" t="n">
        <f>61300</f>
        <v>61300.0</v>
      </c>
      <c r="R344" s="34" t="s">
        <v>49</v>
      </c>
      <c r="S344" s="35" t="n">
        <f>61521.05</f>
        <v>61521.05</v>
      </c>
      <c r="T344" s="32" t="n">
        <f>14803</f>
        <v>14803.0</v>
      </c>
      <c r="U344" s="32" t="n">
        <f>1299</f>
        <v>1299.0</v>
      </c>
      <c r="V344" s="32" t="n">
        <f>909355467</f>
        <v>9.09355467E8</v>
      </c>
      <c r="W344" s="32" t="n">
        <f>79912567</f>
        <v>7.9912567E7</v>
      </c>
      <c r="X344" s="36" t="n">
        <f>19</f>
        <v>19.0</v>
      </c>
    </row>
    <row r="345">
      <c r="A345" s="27" t="s">
        <v>42</v>
      </c>
      <c r="B345" s="27" t="s">
        <v>1084</v>
      </c>
      <c r="C345" s="27" t="s">
        <v>1085</v>
      </c>
      <c r="D345" s="27" t="s">
        <v>1086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45150</f>
        <v>45150.0</v>
      </c>
      <c r="L345" s="34" t="s">
        <v>48</v>
      </c>
      <c r="M345" s="33" t="n">
        <f>45150</f>
        <v>45150.0</v>
      </c>
      <c r="N345" s="34" t="s">
        <v>48</v>
      </c>
      <c r="O345" s="33" t="n">
        <f>42700</f>
        <v>42700.0</v>
      </c>
      <c r="P345" s="34" t="s">
        <v>224</v>
      </c>
      <c r="Q345" s="33" t="n">
        <f>43850</f>
        <v>43850.0</v>
      </c>
      <c r="R345" s="34" t="s">
        <v>49</v>
      </c>
      <c r="S345" s="35" t="n">
        <f>44142.11</f>
        <v>44142.11</v>
      </c>
      <c r="T345" s="32" t="n">
        <f>138682</f>
        <v>138682.0</v>
      </c>
      <c r="U345" s="32" t="n">
        <f>15710</f>
        <v>15710.0</v>
      </c>
      <c r="V345" s="32" t="n">
        <f>6104561132</f>
        <v>6.104561132E9</v>
      </c>
      <c r="W345" s="32" t="n">
        <f>694004732</f>
        <v>6.94004732E8</v>
      </c>
      <c r="X345" s="36" t="n">
        <f>19</f>
        <v>19.0</v>
      </c>
    </row>
    <row r="346">
      <c r="A346" s="27" t="s">
        <v>42</v>
      </c>
      <c r="B346" s="27" t="s">
        <v>1087</v>
      </c>
      <c r="C346" s="27" t="s">
        <v>1088</v>
      </c>
      <c r="D346" s="27" t="s">
        <v>1089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135200</f>
        <v>135200.0</v>
      </c>
      <c r="L346" s="34" t="s">
        <v>48</v>
      </c>
      <c r="M346" s="33" t="n">
        <f>139000</f>
        <v>139000.0</v>
      </c>
      <c r="N346" s="34" t="s">
        <v>160</v>
      </c>
      <c r="O346" s="33" t="n">
        <f>128400</f>
        <v>128400.0</v>
      </c>
      <c r="P346" s="34" t="s">
        <v>113</v>
      </c>
      <c r="Q346" s="33" t="n">
        <f>134700</f>
        <v>134700.0</v>
      </c>
      <c r="R346" s="34" t="s">
        <v>49</v>
      </c>
      <c r="S346" s="35" t="n">
        <f>134121.05</f>
        <v>134121.05</v>
      </c>
      <c r="T346" s="32" t="n">
        <f>21842</f>
        <v>21842.0</v>
      </c>
      <c r="U346" s="32" t="n">
        <f>4773</f>
        <v>4773.0</v>
      </c>
      <c r="V346" s="32" t="n">
        <f>2924520284</f>
        <v>2.924520284E9</v>
      </c>
      <c r="W346" s="32" t="n">
        <f>642834884</f>
        <v>6.42834884E8</v>
      </c>
      <c r="X346" s="36" t="n">
        <f>19</f>
        <v>19.0</v>
      </c>
    </row>
    <row r="347">
      <c r="A347" s="27" t="s">
        <v>42</v>
      </c>
      <c r="B347" s="27" t="s">
        <v>1090</v>
      </c>
      <c r="C347" s="27" t="s">
        <v>1091</v>
      </c>
      <c r="D347" s="27" t="s">
        <v>1092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420000</f>
        <v>420000.0</v>
      </c>
      <c r="L347" s="34" t="s">
        <v>48</v>
      </c>
      <c r="M347" s="33" t="n">
        <f>423500</f>
        <v>423500.0</v>
      </c>
      <c r="N347" s="34" t="s">
        <v>48</v>
      </c>
      <c r="O347" s="33" t="n">
        <f>394000</f>
        <v>394000.0</v>
      </c>
      <c r="P347" s="34" t="s">
        <v>113</v>
      </c>
      <c r="Q347" s="33" t="n">
        <f>408500</f>
        <v>408500.0</v>
      </c>
      <c r="R347" s="34" t="s">
        <v>49</v>
      </c>
      <c r="S347" s="35" t="n">
        <f>406815.79</f>
        <v>406815.79</v>
      </c>
      <c r="T347" s="32" t="n">
        <f>32249</f>
        <v>32249.0</v>
      </c>
      <c r="U347" s="32" t="n">
        <f>6619</f>
        <v>6619.0</v>
      </c>
      <c r="V347" s="32" t="n">
        <f>13102678953</f>
        <v>1.3102678953E10</v>
      </c>
      <c r="W347" s="32" t="n">
        <f>2689728453</f>
        <v>2.689728453E9</v>
      </c>
      <c r="X347" s="36" t="n">
        <f>19</f>
        <v>19.0</v>
      </c>
    </row>
    <row r="348">
      <c r="A348" s="27" t="s">
        <v>42</v>
      </c>
      <c r="B348" s="27" t="s">
        <v>1093</v>
      </c>
      <c r="C348" s="27" t="s">
        <v>1094</v>
      </c>
      <c r="D348" s="27" t="s">
        <v>1095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182900</f>
        <v>182900.0</v>
      </c>
      <c r="L348" s="34" t="s">
        <v>48</v>
      </c>
      <c r="M348" s="33" t="n">
        <f>184400</f>
        <v>184400.0</v>
      </c>
      <c r="N348" s="34" t="s">
        <v>48</v>
      </c>
      <c r="O348" s="33" t="n">
        <f>175600</f>
        <v>175600.0</v>
      </c>
      <c r="P348" s="34" t="s">
        <v>56</v>
      </c>
      <c r="Q348" s="33" t="n">
        <f>176500</f>
        <v>176500.0</v>
      </c>
      <c r="R348" s="34" t="s">
        <v>49</v>
      </c>
      <c r="S348" s="35" t="n">
        <f>179621.05</f>
        <v>179621.05</v>
      </c>
      <c r="T348" s="32" t="n">
        <f>44812</f>
        <v>44812.0</v>
      </c>
      <c r="U348" s="32" t="n">
        <f>9981</f>
        <v>9981.0</v>
      </c>
      <c r="V348" s="32" t="n">
        <f>8043693930</f>
        <v>8.04369393E9</v>
      </c>
      <c r="W348" s="32" t="n">
        <f>1792576330</f>
        <v>1.79257633E9</v>
      </c>
      <c r="X348" s="36" t="n">
        <f>19</f>
        <v>19.0</v>
      </c>
    </row>
    <row r="349">
      <c r="A349" s="27" t="s">
        <v>42</v>
      </c>
      <c r="B349" s="27" t="s">
        <v>1096</v>
      </c>
      <c r="C349" s="27" t="s">
        <v>1097</v>
      </c>
      <c r="D349" s="27" t="s">
        <v>1098</v>
      </c>
      <c r="E349" s="28" t="s">
        <v>46</v>
      </c>
      <c r="F349" s="29" t="s">
        <v>46</v>
      </c>
      <c r="G349" s="30" t="s">
        <v>46</v>
      </c>
      <c r="H349" s="31"/>
      <c r="I349" s="31" t="s">
        <v>594</v>
      </c>
      <c r="J349" s="32" t="n">
        <v>1.0</v>
      </c>
      <c r="K349" s="33" t="n">
        <f>120300</f>
        <v>120300.0</v>
      </c>
      <c r="L349" s="34" t="s">
        <v>48</v>
      </c>
      <c r="M349" s="33" t="n">
        <f>120300</f>
        <v>120300.0</v>
      </c>
      <c r="N349" s="34" t="s">
        <v>48</v>
      </c>
      <c r="O349" s="33" t="n">
        <f>113700</f>
        <v>113700.0</v>
      </c>
      <c r="P349" s="34" t="s">
        <v>224</v>
      </c>
      <c r="Q349" s="33" t="n">
        <f>117800</f>
        <v>117800.0</v>
      </c>
      <c r="R349" s="34" t="s">
        <v>49</v>
      </c>
      <c r="S349" s="35" t="n">
        <f>116784.21</f>
        <v>116784.21</v>
      </c>
      <c r="T349" s="32" t="n">
        <f>16699</f>
        <v>16699.0</v>
      </c>
      <c r="U349" s="32" t="n">
        <f>1338</f>
        <v>1338.0</v>
      </c>
      <c r="V349" s="32" t="n">
        <f>1946875909</f>
        <v>1.946875909E9</v>
      </c>
      <c r="W349" s="32" t="n">
        <f>156302809</f>
        <v>1.56302809E8</v>
      </c>
      <c r="X349" s="36" t="n">
        <f>19</f>
        <v>19.0</v>
      </c>
    </row>
    <row r="350">
      <c r="A350" s="27" t="s">
        <v>42</v>
      </c>
      <c r="B350" s="27" t="s">
        <v>1099</v>
      </c>
      <c r="C350" s="27" t="s">
        <v>1100</v>
      </c>
      <c r="D350" s="27" t="s">
        <v>1101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99300</f>
        <v>99300.0</v>
      </c>
      <c r="L350" s="34" t="s">
        <v>48</v>
      </c>
      <c r="M350" s="33" t="n">
        <f>99700</f>
        <v>99700.0</v>
      </c>
      <c r="N350" s="34" t="s">
        <v>126</v>
      </c>
      <c r="O350" s="33" t="n">
        <f>95000</f>
        <v>95000.0</v>
      </c>
      <c r="P350" s="34" t="s">
        <v>224</v>
      </c>
      <c r="Q350" s="33" t="n">
        <f>97400</f>
        <v>97400.0</v>
      </c>
      <c r="R350" s="34" t="s">
        <v>49</v>
      </c>
      <c r="S350" s="35" t="n">
        <f>97400</f>
        <v>97400.0</v>
      </c>
      <c r="T350" s="32" t="n">
        <f>62837</f>
        <v>62837.0</v>
      </c>
      <c r="U350" s="32" t="n">
        <f>6025</f>
        <v>6025.0</v>
      </c>
      <c r="V350" s="32" t="n">
        <f>6104841212</f>
        <v>6.104841212E9</v>
      </c>
      <c r="W350" s="32" t="n">
        <f>585622912</f>
        <v>5.85622912E8</v>
      </c>
      <c r="X350" s="36" t="n">
        <f>19</f>
        <v>19.0</v>
      </c>
    </row>
    <row r="351">
      <c r="A351" s="27" t="s">
        <v>42</v>
      </c>
      <c r="B351" s="27" t="s">
        <v>1102</v>
      </c>
      <c r="C351" s="27" t="s">
        <v>1103</v>
      </c>
      <c r="D351" s="27" t="s">
        <v>1104</v>
      </c>
      <c r="E351" s="28" t="s">
        <v>46</v>
      </c>
      <c r="F351" s="29" t="s">
        <v>46</v>
      </c>
      <c r="G351" s="30" t="s">
        <v>46</v>
      </c>
      <c r="H351" s="31"/>
      <c r="I351" s="31" t="s">
        <v>594</v>
      </c>
      <c r="J351" s="32" t="n">
        <v>1.0</v>
      </c>
      <c r="K351" s="33" t="n">
        <f>144800</f>
        <v>144800.0</v>
      </c>
      <c r="L351" s="34" t="s">
        <v>48</v>
      </c>
      <c r="M351" s="33" t="n">
        <f>145300</f>
        <v>145300.0</v>
      </c>
      <c r="N351" s="34" t="s">
        <v>48</v>
      </c>
      <c r="O351" s="33" t="n">
        <f>136200</f>
        <v>136200.0</v>
      </c>
      <c r="P351" s="34" t="s">
        <v>160</v>
      </c>
      <c r="Q351" s="33" t="n">
        <f>139800</f>
        <v>139800.0</v>
      </c>
      <c r="R351" s="34" t="s">
        <v>49</v>
      </c>
      <c r="S351" s="35" t="n">
        <f>140000</f>
        <v>140000.0</v>
      </c>
      <c r="T351" s="32" t="n">
        <f>31697</f>
        <v>31697.0</v>
      </c>
      <c r="U351" s="32" t="n">
        <f>5117</f>
        <v>5117.0</v>
      </c>
      <c r="V351" s="32" t="n">
        <f>4439855410</f>
        <v>4.43985541E9</v>
      </c>
      <c r="W351" s="32" t="n">
        <f>718407410</f>
        <v>7.1840741E8</v>
      </c>
      <c r="X351" s="36" t="n">
        <f>19</f>
        <v>19.0</v>
      </c>
    </row>
    <row r="352">
      <c r="A352" s="27" t="s">
        <v>42</v>
      </c>
      <c r="B352" s="27" t="s">
        <v>1105</v>
      </c>
      <c r="C352" s="27" t="s">
        <v>1106</v>
      </c>
      <c r="D352" s="27" t="s">
        <v>1107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588000</f>
        <v>588000.0</v>
      </c>
      <c r="L352" s="34" t="s">
        <v>48</v>
      </c>
      <c r="M352" s="33" t="n">
        <f>592000</f>
        <v>592000.0</v>
      </c>
      <c r="N352" s="34" t="s">
        <v>48</v>
      </c>
      <c r="O352" s="33" t="n">
        <f>553000</f>
        <v>553000.0</v>
      </c>
      <c r="P352" s="34" t="s">
        <v>113</v>
      </c>
      <c r="Q352" s="33" t="n">
        <f>567000</f>
        <v>567000.0</v>
      </c>
      <c r="R352" s="34" t="s">
        <v>49</v>
      </c>
      <c r="S352" s="35" t="n">
        <f>571052.63</f>
        <v>571052.63</v>
      </c>
      <c r="T352" s="32" t="n">
        <f>97907</f>
        <v>97907.0</v>
      </c>
      <c r="U352" s="32" t="n">
        <f>16998</f>
        <v>16998.0</v>
      </c>
      <c r="V352" s="32" t="n">
        <f>55840356361</f>
        <v>5.5840356361E10</v>
      </c>
      <c r="W352" s="32" t="n">
        <f>9707837361</f>
        <v>9.707837361E9</v>
      </c>
      <c r="X352" s="36" t="n">
        <f>19</f>
        <v>19.0</v>
      </c>
    </row>
    <row r="353">
      <c r="A353" s="27" t="s">
        <v>42</v>
      </c>
      <c r="B353" s="27" t="s">
        <v>1108</v>
      </c>
      <c r="C353" s="27" t="s">
        <v>1109</v>
      </c>
      <c r="D353" s="27" t="s">
        <v>1110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581000</f>
        <v>581000.0</v>
      </c>
      <c r="L353" s="34" t="s">
        <v>48</v>
      </c>
      <c r="M353" s="33" t="n">
        <f>582000</f>
        <v>582000.0</v>
      </c>
      <c r="N353" s="34" t="s">
        <v>48</v>
      </c>
      <c r="O353" s="33" t="n">
        <f>543000</f>
        <v>543000.0</v>
      </c>
      <c r="P353" s="34" t="s">
        <v>399</v>
      </c>
      <c r="Q353" s="33" t="n">
        <f>557000</f>
        <v>557000.0</v>
      </c>
      <c r="R353" s="34" t="s">
        <v>49</v>
      </c>
      <c r="S353" s="35" t="n">
        <f>562105.26</f>
        <v>562105.26</v>
      </c>
      <c r="T353" s="32" t="n">
        <f>78468</f>
        <v>78468.0</v>
      </c>
      <c r="U353" s="32" t="n">
        <f>15498</f>
        <v>15498.0</v>
      </c>
      <c r="V353" s="32" t="n">
        <f>44091832875</f>
        <v>4.4091832875E10</v>
      </c>
      <c r="W353" s="32" t="n">
        <f>8728017875</f>
        <v>8.728017875E9</v>
      </c>
      <c r="X353" s="36" t="n">
        <f>19</f>
        <v>19.0</v>
      </c>
    </row>
    <row r="354">
      <c r="A354" s="27" t="s">
        <v>42</v>
      </c>
      <c r="B354" s="27" t="s">
        <v>1111</v>
      </c>
      <c r="C354" s="27" t="s">
        <v>1112</v>
      </c>
      <c r="D354" s="27" t="s">
        <v>1113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104400</f>
        <v>104400.0</v>
      </c>
      <c r="L354" s="34" t="s">
        <v>48</v>
      </c>
      <c r="M354" s="33" t="n">
        <f>105200</f>
        <v>105200.0</v>
      </c>
      <c r="N354" s="34" t="s">
        <v>48</v>
      </c>
      <c r="O354" s="33" t="n">
        <f>96600</f>
        <v>96600.0</v>
      </c>
      <c r="P354" s="34" t="s">
        <v>113</v>
      </c>
      <c r="Q354" s="33" t="n">
        <f>100300</f>
        <v>100300.0</v>
      </c>
      <c r="R354" s="34" t="s">
        <v>49</v>
      </c>
      <c r="S354" s="35" t="n">
        <f>101273.68</f>
        <v>101273.68</v>
      </c>
      <c r="T354" s="32" t="n">
        <f>381342</f>
        <v>381342.0</v>
      </c>
      <c r="U354" s="32" t="n">
        <f>73898</f>
        <v>73898.0</v>
      </c>
      <c r="V354" s="32" t="n">
        <f>38522027539</f>
        <v>3.8522027539E10</v>
      </c>
      <c r="W354" s="32" t="n">
        <f>7466312039</f>
        <v>7.466312039E9</v>
      </c>
      <c r="X354" s="36" t="n">
        <f>19</f>
        <v>19.0</v>
      </c>
    </row>
    <row r="355">
      <c r="A355" s="27" t="s">
        <v>42</v>
      </c>
      <c r="B355" s="27" t="s">
        <v>1114</v>
      </c>
      <c r="C355" s="27" t="s">
        <v>1115</v>
      </c>
      <c r="D355" s="27" t="s">
        <v>1116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186000</f>
        <v>186000.0</v>
      </c>
      <c r="L355" s="34" t="s">
        <v>48</v>
      </c>
      <c r="M355" s="33" t="n">
        <f>186300</f>
        <v>186300.0</v>
      </c>
      <c r="N355" s="34" t="s">
        <v>48</v>
      </c>
      <c r="O355" s="33" t="n">
        <f>170600</f>
        <v>170600.0</v>
      </c>
      <c r="P355" s="34" t="s">
        <v>224</v>
      </c>
      <c r="Q355" s="33" t="n">
        <f>178700</f>
        <v>178700.0</v>
      </c>
      <c r="R355" s="34" t="s">
        <v>49</v>
      </c>
      <c r="S355" s="35" t="n">
        <f>177831.58</f>
        <v>177831.58</v>
      </c>
      <c r="T355" s="32" t="n">
        <f>182170</f>
        <v>182170.0</v>
      </c>
      <c r="U355" s="32" t="n">
        <f>39365</f>
        <v>39365.0</v>
      </c>
      <c r="V355" s="32" t="n">
        <f>32350952285</f>
        <v>3.2350952285E10</v>
      </c>
      <c r="W355" s="32" t="n">
        <f>7000652585</f>
        <v>7.000652585E9</v>
      </c>
      <c r="X355" s="36" t="n">
        <f>19</f>
        <v>19.0</v>
      </c>
    </row>
    <row r="356">
      <c r="A356" s="27" t="s">
        <v>42</v>
      </c>
      <c r="B356" s="27" t="s">
        <v>1117</v>
      </c>
      <c r="C356" s="27" t="s">
        <v>1118</v>
      </c>
      <c r="D356" s="27" t="s">
        <v>1119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367500</f>
        <v>367500.0</v>
      </c>
      <c r="L356" s="34" t="s">
        <v>48</v>
      </c>
      <c r="M356" s="33" t="n">
        <f>369000</f>
        <v>369000.0</v>
      </c>
      <c r="N356" s="34" t="s">
        <v>126</v>
      </c>
      <c r="O356" s="33" t="n">
        <f>348000</f>
        <v>348000.0</v>
      </c>
      <c r="P356" s="34" t="s">
        <v>113</v>
      </c>
      <c r="Q356" s="33" t="n">
        <f>352000</f>
        <v>352000.0</v>
      </c>
      <c r="R356" s="34" t="s">
        <v>49</v>
      </c>
      <c r="S356" s="35" t="n">
        <f>357421.05</f>
        <v>357421.05</v>
      </c>
      <c r="T356" s="32" t="n">
        <f>43446</f>
        <v>43446.0</v>
      </c>
      <c r="U356" s="32" t="n">
        <f>9092</f>
        <v>9092.0</v>
      </c>
      <c r="V356" s="32" t="n">
        <f>15525776958</f>
        <v>1.5525776958E10</v>
      </c>
      <c r="W356" s="32" t="n">
        <f>3251700458</f>
        <v>3.251700458E9</v>
      </c>
      <c r="X356" s="36" t="n">
        <f>19</f>
        <v>19.0</v>
      </c>
    </row>
    <row r="357">
      <c r="A357" s="27" t="s">
        <v>42</v>
      </c>
      <c r="B357" s="27" t="s">
        <v>1120</v>
      </c>
      <c r="C357" s="27" t="s">
        <v>1121</v>
      </c>
      <c r="D357" s="27" t="s">
        <v>1122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135000</f>
        <v>135000.0</v>
      </c>
      <c r="L357" s="34" t="s">
        <v>48</v>
      </c>
      <c r="M357" s="33" t="n">
        <f>137800</f>
        <v>137800.0</v>
      </c>
      <c r="N357" s="34" t="s">
        <v>100</v>
      </c>
      <c r="O357" s="33" t="n">
        <f>131300</f>
        <v>131300.0</v>
      </c>
      <c r="P357" s="34" t="s">
        <v>113</v>
      </c>
      <c r="Q357" s="33" t="n">
        <f>132500</f>
        <v>132500.0</v>
      </c>
      <c r="R357" s="34" t="s">
        <v>49</v>
      </c>
      <c r="S357" s="35" t="n">
        <f>134900</f>
        <v>134900.0</v>
      </c>
      <c r="T357" s="32" t="n">
        <f>75025</f>
        <v>75025.0</v>
      </c>
      <c r="U357" s="32" t="n">
        <f>15283</f>
        <v>15283.0</v>
      </c>
      <c r="V357" s="32" t="n">
        <f>10122892410</f>
        <v>1.012289241E10</v>
      </c>
      <c r="W357" s="32" t="n">
        <f>2063229410</f>
        <v>2.06322941E9</v>
      </c>
      <c r="X357" s="36" t="n">
        <f>19</f>
        <v>19.0</v>
      </c>
    </row>
    <row r="358">
      <c r="A358" s="27" t="s">
        <v>42</v>
      </c>
      <c r="B358" s="27" t="s">
        <v>1123</v>
      </c>
      <c r="C358" s="27" t="s">
        <v>1124</v>
      </c>
      <c r="D358" s="27" t="s">
        <v>1125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205900</f>
        <v>205900.0</v>
      </c>
      <c r="L358" s="34" t="s">
        <v>48</v>
      </c>
      <c r="M358" s="33" t="n">
        <f>206500</f>
        <v>206500.0</v>
      </c>
      <c r="N358" s="34" t="s">
        <v>48</v>
      </c>
      <c r="O358" s="33" t="n">
        <f>195200</f>
        <v>195200.0</v>
      </c>
      <c r="P358" s="34" t="s">
        <v>113</v>
      </c>
      <c r="Q358" s="33" t="n">
        <f>195800</f>
        <v>195800.0</v>
      </c>
      <c r="R358" s="34" t="s">
        <v>49</v>
      </c>
      <c r="S358" s="35" t="n">
        <f>200578.95</f>
        <v>200578.95</v>
      </c>
      <c r="T358" s="32" t="n">
        <f>48058</f>
        <v>48058.0</v>
      </c>
      <c r="U358" s="32" t="n">
        <f>9846</f>
        <v>9846.0</v>
      </c>
      <c r="V358" s="32" t="n">
        <f>9633219137</f>
        <v>9.633219137E9</v>
      </c>
      <c r="W358" s="32" t="n">
        <f>1975588437</f>
        <v>1.975588437E9</v>
      </c>
      <c r="X358" s="36" t="n">
        <f>19</f>
        <v>19.0</v>
      </c>
    </row>
    <row r="359">
      <c r="A359" s="27" t="s">
        <v>42</v>
      </c>
      <c r="B359" s="27" t="s">
        <v>1126</v>
      </c>
      <c r="C359" s="27" t="s">
        <v>1127</v>
      </c>
      <c r="D359" s="27" t="s">
        <v>1128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108300</f>
        <v>108300.0</v>
      </c>
      <c r="L359" s="34" t="s">
        <v>48</v>
      </c>
      <c r="M359" s="33" t="n">
        <f>109200</f>
        <v>109200.0</v>
      </c>
      <c r="N359" s="34" t="s">
        <v>76</v>
      </c>
      <c r="O359" s="33" t="n">
        <f>104700</f>
        <v>104700.0</v>
      </c>
      <c r="P359" s="34" t="s">
        <v>224</v>
      </c>
      <c r="Q359" s="33" t="n">
        <f>107300</f>
        <v>107300.0</v>
      </c>
      <c r="R359" s="34" t="s">
        <v>49</v>
      </c>
      <c r="S359" s="35" t="n">
        <f>106915.79</f>
        <v>106915.79</v>
      </c>
      <c r="T359" s="32" t="n">
        <f>79321</f>
        <v>79321.0</v>
      </c>
      <c r="U359" s="32" t="n">
        <f>13680</f>
        <v>13680.0</v>
      </c>
      <c r="V359" s="32" t="n">
        <f>8471989483</f>
        <v>8.471989483E9</v>
      </c>
      <c r="W359" s="32" t="n">
        <f>1461830583</f>
        <v>1.461830583E9</v>
      </c>
      <c r="X359" s="36" t="n">
        <f>19</f>
        <v>19.0</v>
      </c>
    </row>
    <row r="360">
      <c r="A360" s="27" t="s">
        <v>42</v>
      </c>
      <c r="B360" s="27" t="s">
        <v>1129</v>
      </c>
      <c r="C360" s="27" t="s">
        <v>1130</v>
      </c>
      <c r="D360" s="27" t="s">
        <v>1131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150300</f>
        <v>150300.0</v>
      </c>
      <c r="L360" s="34" t="s">
        <v>48</v>
      </c>
      <c r="M360" s="33" t="n">
        <f>153600</f>
        <v>153600.0</v>
      </c>
      <c r="N360" s="34" t="s">
        <v>76</v>
      </c>
      <c r="O360" s="33" t="n">
        <f>142300</f>
        <v>142300.0</v>
      </c>
      <c r="P360" s="34" t="s">
        <v>113</v>
      </c>
      <c r="Q360" s="33" t="n">
        <f>147800</f>
        <v>147800.0</v>
      </c>
      <c r="R360" s="34" t="s">
        <v>49</v>
      </c>
      <c r="S360" s="35" t="n">
        <f>148889.47</f>
        <v>148889.47</v>
      </c>
      <c r="T360" s="32" t="n">
        <f>191468</f>
        <v>191468.0</v>
      </c>
      <c r="U360" s="32" t="n">
        <f>38624</f>
        <v>38624.0</v>
      </c>
      <c r="V360" s="32" t="n">
        <f>28459024804</f>
        <v>2.8459024804E10</v>
      </c>
      <c r="W360" s="32" t="n">
        <f>5767052204</f>
        <v>5.767052204E9</v>
      </c>
      <c r="X360" s="36" t="n">
        <f>19</f>
        <v>19.0</v>
      </c>
    </row>
    <row r="361">
      <c r="A361" s="27" t="s">
        <v>42</v>
      </c>
      <c r="B361" s="27" t="s">
        <v>1132</v>
      </c>
      <c r="C361" s="27" t="s">
        <v>1133</v>
      </c>
      <c r="D361" s="27" t="s">
        <v>1134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146100</f>
        <v>146100.0</v>
      </c>
      <c r="L361" s="34" t="s">
        <v>48</v>
      </c>
      <c r="M361" s="33" t="n">
        <f>150900</f>
        <v>150900.0</v>
      </c>
      <c r="N361" s="34" t="s">
        <v>160</v>
      </c>
      <c r="O361" s="33" t="n">
        <f>140200</f>
        <v>140200.0</v>
      </c>
      <c r="P361" s="34" t="s">
        <v>113</v>
      </c>
      <c r="Q361" s="33" t="n">
        <f>146700</f>
        <v>146700.0</v>
      </c>
      <c r="R361" s="34" t="s">
        <v>49</v>
      </c>
      <c r="S361" s="35" t="n">
        <f>145173.68</f>
        <v>145173.68</v>
      </c>
      <c r="T361" s="32" t="n">
        <f>60373</f>
        <v>60373.0</v>
      </c>
      <c r="U361" s="32" t="n">
        <f>11011</f>
        <v>11011.0</v>
      </c>
      <c r="V361" s="32" t="n">
        <f>8749153941</f>
        <v>8.749153941E9</v>
      </c>
      <c r="W361" s="32" t="n">
        <f>1601170241</f>
        <v>1.601170241E9</v>
      </c>
      <c r="X361" s="36" t="n">
        <f>19</f>
        <v>19.0</v>
      </c>
    </row>
    <row r="362">
      <c r="A362" s="27" t="s">
        <v>42</v>
      </c>
      <c r="B362" s="27" t="s">
        <v>1135</v>
      </c>
      <c r="C362" s="27" t="s">
        <v>1136</v>
      </c>
      <c r="D362" s="27" t="s">
        <v>1137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51100</f>
        <v>51100.0</v>
      </c>
      <c r="L362" s="34" t="s">
        <v>48</v>
      </c>
      <c r="M362" s="33" t="n">
        <f>56700</f>
        <v>56700.0</v>
      </c>
      <c r="N362" s="34" t="s">
        <v>76</v>
      </c>
      <c r="O362" s="33" t="n">
        <f>49400</f>
        <v>49400.0</v>
      </c>
      <c r="P362" s="34" t="s">
        <v>126</v>
      </c>
      <c r="Q362" s="33" t="n">
        <f>55300</f>
        <v>55300.0</v>
      </c>
      <c r="R362" s="34" t="s">
        <v>49</v>
      </c>
      <c r="S362" s="35" t="n">
        <f>53626.32</f>
        <v>53626.32</v>
      </c>
      <c r="T362" s="32" t="n">
        <f>706629</f>
        <v>706629.0</v>
      </c>
      <c r="U362" s="32" t="n">
        <f>195803</f>
        <v>195803.0</v>
      </c>
      <c r="V362" s="32" t="n">
        <f>37916407105</f>
        <v>3.7916407105E10</v>
      </c>
      <c r="W362" s="32" t="n">
        <f>10472530355</f>
        <v>1.0472530355E10</v>
      </c>
      <c r="X362" s="36" t="n">
        <f>19</f>
        <v>19.0</v>
      </c>
    </row>
    <row r="363">
      <c r="A363" s="27" t="s">
        <v>42</v>
      </c>
      <c r="B363" s="27" t="s">
        <v>1138</v>
      </c>
      <c r="C363" s="27" t="s">
        <v>1139</v>
      </c>
      <c r="D363" s="27" t="s">
        <v>1140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512000</f>
        <v>512000.0</v>
      </c>
      <c r="L363" s="34" t="s">
        <v>48</v>
      </c>
      <c r="M363" s="33" t="n">
        <f>515000</f>
        <v>515000.0</v>
      </c>
      <c r="N363" s="34" t="s">
        <v>76</v>
      </c>
      <c r="O363" s="33" t="n">
        <f>479500</f>
        <v>479500.0</v>
      </c>
      <c r="P363" s="34" t="s">
        <v>160</v>
      </c>
      <c r="Q363" s="33" t="n">
        <f>501000</f>
        <v>501000.0</v>
      </c>
      <c r="R363" s="34" t="s">
        <v>49</v>
      </c>
      <c r="S363" s="35" t="n">
        <f>500026.32</f>
        <v>500026.32</v>
      </c>
      <c r="T363" s="32" t="n">
        <f>28504</f>
        <v>28504.0</v>
      </c>
      <c r="U363" s="32" t="n">
        <f>5879</f>
        <v>5879.0</v>
      </c>
      <c r="V363" s="32" t="n">
        <f>14216734467</f>
        <v>1.4216734467E10</v>
      </c>
      <c r="W363" s="32" t="n">
        <f>2944990967</f>
        <v>2.944990967E9</v>
      </c>
      <c r="X363" s="36" t="n">
        <f>19</f>
        <v>19.0</v>
      </c>
    </row>
    <row r="364">
      <c r="A364" s="27" t="s">
        <v>42</v>
      </c>
      <c r="B364" s="27" t="s">
        <v>1141</v>
      </c>
      <c r="C364" s="27" t="s">
        <v>1142</v>
      </c>
      <c r="D364" s="27" t="s">
        <v>1143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150900</f>
        <v>150900.0</v>
      </c>
      <c r="L364" s="34" t="s">
        <v>48</v>
      </c>
      <c r="M364" s="33" t="n">
        <f>158000</f>
        <v>158000.0</v>
      </c>
      <c r="N364" s="34" t="s">
        <v>100</v>
      </c>
      <c r="O364" s="33" t="n">
        <f>145100</f>
        <v>145100.0</v>
      </c>
      <c r="P364" s="34" t="s">
        <v>113</v>
      </c>
      <c r="Q364" s="33" t="n">
        <f>151100</f>
        <v>151100.0</v>
      </c>
      <c r="R364" s="34" t="s">
        <v>49</v>
      </c>
      <c r="S364" s="35" t="n">
        <f>150573.68</f>
        <v>150573.68</v>
      </c>
      <c r="T364" s="32" t="n">
        <f>53757</f>
        <v>53757.0</v>
      </c>
      <c r="U364" s="32" t="n">
        <f>13048</f>
        <v>13048.0</v>
      </c>
      <c r="V364" s="32" t="n">
        <f>8089151475</f>
        <v>8.089151475E9</v>
      </c>
      <c r="W364" s="32" t="n">
        <f>1967135275</f>
        <v>1.967135275E9</v>
      </c>
      <c r="X364" s="36" t="n">
        <f>19</f>
        <v>19.0</v>
      </c>
    </row>
    <row r="365">
      <c r="A365" s="27" t="s">
        <v>42</v>
      </c>
      <c r="B365" s="27" t="s">
        <v>1144</v>
      </c>
      <c r="C365" s="27" t="s">
        <v>1145</v>
      </c>
      <c r="D365" s="27" t="s">
        <v>1146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312500</f>
        <v>312500.0</v>
      </c>
      <c r="L365" s="34" t="s">
        <v>48</v>
      </c>
      <c r="M365" s="33" t="n">
        <f>314500</f>
        <v>314500.0</v>
      </c>
      <c r="N365" s="34" t="s">
        <v>48</v>
      </c>
      <c r="O365" s="33" t="n">
        <f>294600</f>
        <v>294600.0</v>
      </c>
      <c r="P365" s="34" t="s">
        <v>399</v>
      </c>
      <c r="Q365" s="33" t="n">
        <f>296100</f>
        <v>296100.0</v>
      </c>
      <c r="R365" s="34" t="s">
        <v>49</v>
      </c>
      <c r="S365" s="35" t="n">
        <f>302521.05</f>
        <v>302521.05</v>
      </c>
      <c r="T365" s="32" t="n">
        <f>55540</f>
        <v>55540.0</v>
      </c>
      <c r="U365" s="32" t="n">
        <f>9217</f>
        <v>9217.0</v>
      </c>
      <c r="V365" s="32" t="n">
        <f>16785068901</f>
        <v>1.6785068901E10</v>
      </c>
      <c r="W365" s="32" t="n">
        <f>2792037101</f>
        <v>2.792037101E9</v>
      </c>
      <c r="X365" s="36" t="n">
        <f>19</f>
        <v>19.0</v>
      </c>
    </row>
    <row r="366">
      <c r="A366" s="27" t="s">
        <v>42</v>
      </c>
      <c r="B366" s="27" t="s">
        <v>1147</v>
      </c>
      <c r="C366" s="27" t="s">
        <v>1148</v>
      </c>
      <c r="D366" s="27" t="s">
        <v>1149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170800</f>
        <v>170800.0</v>
      </c>
      <c r="L366" s="34" t="s">
        <v>48</v>
      </c>
      <c r="M366" s="33" t="n">
        <f>171000</f>
        <v>171000.0</v>
      </c>
      <c r="N366" s="34" t="s">
        <v>48</v>
      </c>
      <c r="O366" s="33" t="n">
        <f>161100</f>
        <v>161100.0</v>
      </c>
      <c r="P366" s="34" t="s">
        <v>113</v>
      </c>
      <c r="Q366" s="33" t="n">
        <f>167100</f>
        <v>167100.0</v>
      </c>
      <c r="R366" s="34" t="s">
        <v>49</v>
      </c>
      <c r="S366" s="35" t="n">
        <f>166410.53</f>
        <v>166410.53</v>
      </c>
      <c r="T366" s="32" t="n">
        <f>31022</f>
        <v>31022.0</v>
      </c>
      <c r="U366" s="32" t="n">
        <f>5625</f>
        <v>5625.0</v>
      </c>
      <c r="V366" s="32" t="n">
        <f>5159457023</f>
        <v>5.159457023E9</v>
      </c>
      <c r="W366" s="32" t="n">
        <f>938439823</f>
        <v>9.38439823E8</v>
      </c>
      <c r="X366" s="36" t="n">
        <f>19</f>
        <v>19.0</v>
      </c>
    </row>
    <row r="367">
      <c r="A367" s="27" t="s">
        <v>42</v>
      </c>
      <c r="B367" s="27" t="s">
        <v>1150</v>
      </c>
      <c r="C367" s="27" t="s">
        <v>1151</v>
      </c>
      <c r="D367" s="27" t="s">
        <v>1152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320500</f>
        <v>320500.0</v>
      </c>
      <c r="L367" s="34" t="s">
        <v>48</v>
      </c>
      <c r="M367" s="33" t="n">
        <f>322000</f>
        <v>322000.0</v>
      </c>
      <c r="N367" s="34" t="s">
        <v>48</v>
      </c>
      <c r="O367" s="33" t="n">
        <f>302000</f>
        <v>302000.0</v>
      </c>
      <c r="P367" s="34" t="s">
        <v>399</v>
      </c>
      <c r="Q367" s="33" t="n">
        <f>308500</f>
        <v>308500.0</v>
      </c>
      <c r="R367" s="34" t="s">
        <v>49</v>
      </c>
      <c r="S367" s="35" t="n">
        <f>311315.79</f>
        <v>311315.79</v>
      </c>
      <c r="T367" s="32" t="n">
        <f>62646</f>
        <v>62646.0</v>
      </c>
      <c r="U367" s="32" t="n">
        <f>14520</f>
        <v>14520.0</v>
      </c>
      <c r="V367" s="32" t="n">
        <f>19506016746</f>
        <v>1.9506016746E10</v>
      </c>
      <c r="W367" s="32" t="n">
        <f>4526543746</f>
        <v>4.526543746E9</v>
      </c>
      <c r="X367" s="36" t="n">
        <f>19</f>
        <v>19.0</v>
      </c>
    </row>
    <row r="368">
      <c r="A368" s="27" t="s">
        <v>42</v>
      </c>
      <c r="B368" s="27" t="s">
        <v>1153</v>
      </c>
      <c r="C368" s="27" t="s">
        <v>1154</v>
      </c>
      <c r="D368" s="27" t="s">
        <v>1155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85300</f>
        <v>85300.0</v>
      </c>
      <c r="L368" s="34" t="s">
        <v>48</v>
      </c>
      <c r="M368" s="33" t="n">
        <f>86200</f>
        <v>86200.0</v>
      </c>
      <c r="N368" s="34" t="s">
        <v>100</v>
      </c>
      <c r="O368" s="33" t="n">
        <f>83200</f>
        <v>83200.0</v>
      </c>
      <c r="P368" s="34" t="s">
        <v>56</v>
      </c>
      <c r="Q368" s="33" t="n">
        <f>85100</f>
        <v>85100.0</v>
      </c>
      <c r="R368" s="34" t="s">
        <v>49</v>
      </c>
      <c r="S368" s="35" t="n">
        <f>84726.32</f>
        <v>84726.32</v>
      </c>
      <c r="T368" s="32" t="n">
        <f>116246</f>
        <v>116246.0</v>
      </c>
      <c r="U368" s="32" t="n">
        <f>13768</f>
        <v>13768.0</v>
      </c>
      <c r="V368" s="32" t="n">
        <f>9865119812</f>
        <v>9.865119812E9</v>
      </c>
      <c r="W368" s="32" t="n">
        <f>1166707912</f>
        <v>1.166707912E9</v>
      </c>
      <c r="X368" s="36" t="n">
        <f>19</f>
        <v>19.0</v>
      </c>
    </row>
    <row r="369">
      <c r="A369" s="27" t="s">
        <v>42</v>
      </c>
      <c r="B369" s="27" t="s">
        <v>1156</v>
      </c>
      <c r="C369" s="27" t="s">
        <v>1157</v>
      </c>
      <c r="D369" s="27" t="s">
        <v>1158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638000</f>
        <v>638000.0</v>
      </c>
      <c r="L369" s="34" t="s">
        <v>48</v>
      </c>
      <c r="M369" s="33" t="n">
        <f>638000</f>
        <v>638000.0</v>
      </c>
      <c r="N369" s="34" t="s">
        <v>48</v>
      </c>
      <c r="O369" s="33" t="n">
        <f>599000</f>
        <v>599000.0</v>
      </c>
      <c r="P369" s="34" t="s">
        <v>49</v>
      </c>
      <c r="Q369" s="33" t="n">
        <f>611000</f>
        <v>611000.0</v>
      </c>
      <c r="R369" s="34" t="s">
        <v>49</v>
      </c>
      <c r="S369" s="35" t="n">
        <f>622368.42</f>
        <v>622368.42</v>
      </c>
      <c r="T369" s="32" t="n">
        <f>27594</f>
        <v>27594.0</v>
      </c>
      <c r="U369" s="32" t="n">
        <f>4705</f>
        <v>4705.0</v>
      </c>
      <c r="V369" s="32" t="n">
        <f>17080973037</f>
        <v>1.7080973037E10</v>
      </c>
      <c r="W369" s="32" t="n">
        <f>2914099037</f>
        <v>2.914099037E9</v>
      </c>
      <c r="X369" s="36" t="n">
        <f>19</f>
        <v>19.0</v>
      </c>
    </row>
    <row r="370">
      <c r="A370" s="27" t="s">
        <v>42</v>
      </c>
      <c r="B370" s="27" t="s">
        <v>1159</v>
      </c>
      <c r="C370" s="27" t="s">
        <v>1160</v>
      </c>
      <c r="D370" s="27" t="s">
        <v>1161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152600</f>
        <v>152600.0</v>
      </c>
      <c r="L370" s="34" t="s">
        <v>48</v>
      </c>
      <c r="M370" s="33" t="n">
        <f>152600</f>
        <v>152600.0</v>
      </c>
      <c r="N370" s="34" t="s">
        <v>48</v>
      </c>
      <c r="O370" s="33" t="n">
        <f>141200</f>
        <v>141200.0</v>
      </c>
      <c r="P370" s="34" t="s">
        <v>113</v>
      </c>
      <c r="Q370" s="33" t="n">
        <f>143200</f>
        <v>143200.0</v>
      </c>
      <c r="R370" s="34" t="s">
        <v>49</v>
      </c>
      <c r="S370" s="35" t="n">
        <f>145552.63</f>
        <v>145552.63</v>
      </c>
      <c r="T370" s="32" t="n">
        <f>26207</f>
        <v>26207.0</v>
      </c>
      <c r="U370" s="32" t="n">
        <f>4390</f>
        <v>4390.0</v>
      </c>
      <c r="V370" s="32" t="n">
        <f>3816968935</f>
        <v>3.816968935E9</v>
      </c>
      <c r="W370" s="32" t="n">
        <f>639439835</f>
        <v>6.39439835E8</v>
      </c>
      <c r="X370" s="36" t="n">
        <f>19</f>
        <v>19.0</v>
      </c>
    </row>
    <row r="371">
      <c r="A371" s="27" t="s">
        <v>42</v>
      </c>
      <c r="B371" s="27" t="s">
        <v>1162</v>
      </c>
      <c r="C371" s="27" t="s">
        <v>1163</v>
      </c>
      <c r="D371" s="27" t="s">
        <v>1164</v>
      </c>
      <c r="E371" s="28" t="s">
        <v>46</v>
      </c>
      <c r="F371" s="29" t="s">
        <v>46</v>
      </c>
      <c r="G371" s="30" t="s">
        <v>46</v>
      </c>
      <c r="H371" s="31"/>
      <c r="I371" s="31" t="s">
        <v>594</v>
      </c>
      <c r="J371" s="32" t="n">
        <v>1.0</v>
      </c>
      <c r="K371" s="33" t="n">
        <f>236400</f>
        <v>236400.0</v>
      </c>
      <c r="L371" s="34" t="s">
        <v>48</v>
      </c>
      <c r="M371" s="33" t="n">
        <f>237000</f>
        <v>237000.0</v>
      </c>
      <c r="N371" s="34" t="s">
        <v>126</v>
      </c>
      <c r="O371" s="33" t="n">
        <f>217500</f>
        <v>217500.0</v>
      </c>
      <c r="P371" s="34" t="s">
        <v>113</v>
      </c>
      <c r="Q371" s="33" t="n">
        <f>227600</f>
        <v>227600.0</v>
      </c>
      <c r="R371" s="34" t="s">
        <v>49</v>
      </c>
      <c r="S371" s="35" t="n">
        <f>228400</f>
        <v>228400.0</v>
      </c>
      <c r="T371" s="32" t="n">
        <f>14465</f>
        <v>14465.0</v>
      </c>
      <c r="U371" s="32" t="n">
        <f>1861</f>
        <v>1861.0</v>
      </c>
      <c r="V371" s="32" t="n">
        <f>3302509657</f>
        <v>3.302509657E9</v>
      </c>
      <c r="W371" s="32" t="n">
        <f>426908457</f>
        <v>4.26908457E8</v>
      </c>
      <c r="X371" s="36" t="n">
        <f>19</f>
        <v>19.0</v>
      </c>
    </row>
    <row r="372">
      <c r="A372" s="27" t="s">
        <v>42</v>
      </c>
      <c r="B372" s="27" t="s">
        <v>1165</v>
      </c>
      <c r="C372" s="27" t="s">
        <v>1166</v>
      </c>
      <c r="D372" s="27" t="s">
        <v>1167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292800</f>
        <v>292800.0</v>
      </c>
      <c r="L372" s="34" t="s">
        <v>48</v>
      </c>
      <c r="M372" s="33" t="n">
        <f>294700</f>
        <v>294700.0</v>
      </c>
      <c r="N372" s="34" t="s">
        <v>48</v>
      </c>
      <c r="O372" s="33" t="n">
        <f>274800</f>
        <v>274800.0</v>
      </c>
      <c r="P372" s="34" t="s">
        <v>399</v>
      </c>
      <c r="Q372" s="33" t="n">
        <f>282800</f>
        <v>282800.0</v>
      </c>
      <c r="R372" s="34" t="s">
        <v>49</v>
      </c>
      <c r="S372" s="35" t="n">
        <f>282531.58</f>
        <v>282531.58</v>
      </c>
      <c r="T372" s="32" t="n">
        <f>106869</f>
        <v>106869.0</v>
      </c>
      <c r="U372" s="32" t="n">
        <f>18588</f>
        <v>18588.0</v>
      </c>
      <c r="V372" s="32" t="n">
        <f>30200466361</f>
        <v>3.0200466361E10</v>
      </c>
      <c r="W372" s="32" t="n">
        <f>5251398061</f>
        <v>5.251398061E9</v>
      </c>
      <c r="X372" s="36" t="n">
        <f>19</f>
        <v>19.0</v>
      </c>
    </row>
    <row r="373">
      <c r="A373" s="27" t="s">
        <v>42</v>
      </c>
      <c r="B373" s="27" t="s">
        <v>1168</v>
      </c>
      <c r="C373" s="27" t="s">
        <v>1169</v>
      </c>
      <c r="D373" s="27" t="s">
        <v>1170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76800</f>
        <v>76800.0</v>
      </c>
      <c r="L373" s="34" t="s">
        <v>48</v>
      </c>
      <c r="M373" s="33" t="n">
        <f>86200</f>
        <v>86200.0</v>
      </c>
      <c r="N373" s="34" t="s">
        <v>100</v>
      </c>
      <c r="O373" s="33" t="n">
        <f>74700</f>
        <v>74700.0</v>
      </c>
      <c r="P373" s="34" t="s">
        <v>56</v>
      </c>
      <c r="Q373" s="33" t="n">
        <f>82200</f>
        <v>82200.0</v>
      </c>
      <c r="R373" s="34" t="s">
        <v>49</v>
      </c>
      <c r="S373" s="35" t="n">
        <f>80468.42</f>
        <v>80468.42</v>
      </c>
      <c r="T373" s="32" t="n">
        <f>566263</f>
        <v>566263.0</v>
      </c>
      <c r="U373" s="32" t="n">
        <f>176305</f>
        <v>176305.0</v>
      </c>
      <c r="V373" s="32" t="n">
        <f>45651122480</f>
        <v>4.565112248E10</v>
      </c>
      <c r="W373" s="32" t="n">
        <f>14268691080</f>
        <v>1.426869108E10</v>
      </c>
      <c r="X373" s="36" t="n">
        <f>19</f>
        <v>19.0</v>
      </c>
    </row>
    <row r="374">
      <c r="A374" s="27" t="s">
        <v>42</v>
      </c>
      <c r="B374" s="27" t="s">
        <v>1171</v>
      </c>
      <c r="C374" s="27" t="s">
        <v>1172</v>
      </c>
      <c r="D374" s="27" t="s">
        <v>1173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114700</f>
        <v>114700.0</v>
      </c>
      <c r="L374" s="34" t="s">
        <v>48</v>
      </c>
      <c r="M374" s="33" t="n">
        <f>115200</f>
        <v>115200.0</v>
      </c>
      <c r="N374" s="34" t="s">
        <v>48</v>
      </c>
      <c r="O374" s="33" t="n">
        <f>106100</f>
        <v>106100.0</v>
      </c>
      <c r="P374" s="34" t="s">
        <v>224</v>
      </c>
      <c r="Q374" s="33" t="n">
        <f>108700</f>
        <v>108700.0</v>
      </c>
      <c r="R374" s="34" t="s">
        <v>49</v>
      </c>
      <c r="S374" s="35" t="n">
        <f>110642.11</f>
        <v>110642.11</v>
      </c>
      <c r="T374" s="32" t="n">
        <f>101620</f>
        <v>101620.0</v>
      </c>
      <c r="U374" s="32" t="n">
        <f>19838</f>
        <v>19838.0</v>
      </c>
      <c r="V374" s="32" t="n">
        <f>11237400246</f>
        <v>1.1237400246E10</v>
      </c>
      <c r="W374" s="32" t="n">
        <f>2193774046</f>
        <v>2.193774046E9</v>
      </c>
      <c r="X374" s="36" t="n">
        <f>19</f>
        <v>19.0</v>
      </c>
    </row>
    <row r="375">
      <c r="A375" s="27" t="s">
        <v>42</v>
      </c>
      <c r="B375" s="27" t="s">
        <v>1174</v>
      </c>
      <c r="C375" s="27" t="s">
        <v>1175</v>
      </c>
      <c r="D375" s="27" t="s">
        <v>1176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131000</f>
        <v>131000.0</v>
      </c>
      <c r="L375" s="34" t="s">
        <v>48</v>
      </c>
      <c r="M375" s="33" t="n">
        <f>131700</f>
        <v>131700.0</v>
      </c>
      <c r="N375" s="34" t="s">
        <v>48</v>
      </c>
      <c r="O375" s="33" t="n">
        <f>121900</f>
        <v>121900.0</v>
      </c>
      <c r="P375" s="34" t="s">
        <v>113</v>
      </c>
      <c r="Q375" s="33" t="n">
        <f>123900</f>
        <v>123900.0</v>
      </c>
      <c r="R375" s="34" t="s">
        <v>49</v>
      </c>
      <c r="S375" s="35" t="n">
        <f>126700</f>
        <v>126700.0</v>
      </c>
      <c r="T375" s="32" t="n">
        <f>84420</f>
        <v>84420.0</v>
      </c>
      <c r="U375" s="32" t="n">
        <f>13398</f>
        <v>13398.0</v>
      </c>
      <c r="V375" s="32" t="n">
        <f>10753934118</f>
        <v>1.0753934118E10</v>
      </c>
      <c r="W375" s="32" t="n">
        <f>1705687318</f>
        <v>1.705687318E9</v>
      </c>
      <c r="X375" s="36" t="n">
        <f>19</f>
        <v>19.0</v>
      </c>
    </row>
    <row r="376">
      <c r="A376" s="27" t="s">
        <v>42</v>
      </c>
      <c r="B376" s="27" t="s">
        <v>1177</v>
      </c>
      <c r="C376" s="27" t="s">
        <v>1178</v>
      </c>
      <c r="D376" s="27" t="s">
        <v>1179</v>
      </c>
      <c r="E376" s="28" t="s">
        <v>46</v>
      </c>
      <c r="F376" s="29" t="s">
        <v>46</v>
      </c>
      <c r="G376" s="30" t="s">
        <v>46</v>
      </c>
      <c r="H376" s="31" t="s">
        <v>75</v>
      </c>
      <c r="I376" s="31"/>
      <c r="J376" s="32" t="n">
        <v>1.0</v>
      </c>
      <c r="K376" s="33" t="n">
        <f>126700</f>
        <v>126700.0</v>
      </c>
      <c r="L376" s="34" t="s">
        <v>48</v>
      </c>
      <c r="M376" s="33" t="n">
        <f>126800</f>
        <v>126800.0</v>
      </c>
      <c r="N376" s="34" t="s">
        <v>48</v>
      </c>
      <c r="O376" s="33" t="n">
        <f>126700</f>
        <v>126700.0</v>
      </c>
      <c r="P376" s="34" t="s">
        <v>48</v>
      </c>
      <c r="Q376" s="33" t="n">
        <f>126700</f>
        <v>126700.0</v>
      </c>
      <c r="R376" s="34" t="s">
        <v>49</v>
      </c>
      <c r="S376" s="35" t="n">
        <f>126731.58</f>
        <v>126731.58</v>
      </c>
      <c r="T376" s="32" t="n">
        <f>5634</f>
        <v>5634.0</v>
      </c>
      <c r="U376" s="32" t="n">
        <f>236</f>
        <v>236.0</v>
      </c>
      <c r="V376" s="32" t="n">
        <f>713855400</f>
        <v>7.138554E8</v>
      </c>
      <c r="W376" s="32" t="n">
        <f>29901200</f>
        <v>2.99012E7</v>
      </c>
      <c r="X376" s="36" t="n">
        <f>19</f>
        <v>19.0</v>
      </c>
    </row>
    <row r="377">
      <c r="A377" s="27" t="s">
        <v>42</v>
      </c>
      <c r="B377" s="27" t="s">
        <v>1180</v>
      </c>
      <c r="C377" s="27" t="s">
        <v>1181</v>
      </c>
      <c r="D377" s="27" t="s">
        <v>1182</v>
      </c>
      <c r="E377" s="28" t="s">
        <v>46</v>
      </c>
      <c r="F377" s="29" t="s">
        <v>46</v>
      </c>
      <c r="G377" s="30" t="s">
        <v>46</v>
      </c>
      <c r="H377" s="31"/>
      <c r="I377" s="31" t="s">
        <v>594</v>
      </c>
      <c r="J377" s="32" t="n">
        <v>1.0</v>
      </c>
      <c r="K377" s="33" t="n">
        <f>70800</f>
        <v>70800.0</v>
      </c>
      <c r="L377" s="34" t="s">
        <v>48</v>
      </c>
      <c r="M377" s="33" t="n">
        <f>72100</f>
        <v>72100.0</v>
      </c>
      <c r="N377" s="34" t="s">
        <v>49</v>
      </c>
      <c r="O377" s="33" t="n">
        <f>70500</f>
        <v>70500.0</v>
      </c>
      <c r="P377" s="34" t="s">
        <v>48</v>
      </c>
      <c r="Q377" s="33" t="n">
        <f>72000</f>
        <v>72000.0</v>
      </c>
      <c r="R377" s="34" t="s">
        <v>49</v>
      </c>
      <c r="S377" s="35" t="n">
        <f>71342.11</f>
        <v>71342.11</v>
      </c>
      <c r="T377" s="32" t="n">
        <f>1440</f>
        <v>1440.0</v>
      </c>
      <c r="U377" s="32" t="n">
        <f>177</f>
        <v>177.0</v>
      </c>
      <c r="V377" s="32" t="n">
        <f>102713700</f>
        <v>1.027137E8</v>
      </c>
      <c r="W377" s="32" t="n">
        <f>12638700</f>
        <v>1.26387E7</v>
      </c>
      <c r="X377" s="36" t="n">
        <f>19</f>
        <v>19.0</v>
      </c>
    </row>
    <row r="378">
      <c r="A378" s="27" t="s">
        <v>42</v>
      </c>
      <c r="B378" s="27" t="s">
        <v>1183</v>
      </c>
      <c r="C378" s="27" t="s">
        <v>1184</v>
      </c>
      <c r="D378" s="27" t="s">
        <v>1185</v>
      </c>
      <c r="E378" s="28" t="s">
        <v>46</v>
      </c>
      <c r="F378" s="29" t="s">
        <v>46</v>
      </c>
      <c r="G378" s="30" t="s">
        <v>46</v>
      </c>
      <c r="H378" s="31"/>
      <c r="I378" s="31" t="s">
        <v>594</v>
      </c>
      <c r="J378" s="32" t="n">
        <v>1.0</v>
      </c>
      <c r="K378" s="33" t="n">
        <f>124000</f>
        <v>124000.0</v>
      </c>
      <c r="L378" s="34" t="s">
        <v>48</v>
      </c>
      <c r="M378" s="33" t="n">
        <f>124100</f>
        <v>124100.0</v>
      </c>
      <c r="N378" s="34" t="s">
        <v>48</v>
      </c>
      <c r="O378" s="33" t="n">
        <f>122500</f>
        <v>122500.0</v>
      </c>
      <c r="P378" s="34" t="s">
        <v>49</v>
      </c>
      <c r="Q378" s="33" t="n">
        <f>122600</f>
        <v>122600.0</v>
      </c>
      <c r="R378" s="34" t="s">
        <v>49</v>
      </c>
      <c r="S378" s="35" t="n">
        <f>123105.26</f>
        <v>123105.26</v>
      </c>
      <c r="T378" s="32" t="n">
        <f>8028</f>
        <v>8028.0</v>
      </c>
      <c r="U378" s="32" t="n">
        <f>656</f>
        <v>656.0</v>
      </c>
      <c r="V378" s="32" t="n">
        <f>989085952</f>
        <v>9.89085952E8</v>
      </c>
      <c r="W378" s="32" t="n">
        <f>81484952</f>
        <v>8.1484952E7</v>
      </c>
      <c r="X378" s="36" t="n">
        <f>19</f>
        <v>19.0</v>
      </c>
    </row>
    <row r="379">
      <c r="A379" s="27" t="s">
        <v>42</v>
      </c>
      <c r="B379" s="27" t="s">
        <v>1186</v>
      </c>
      <c r="C379" s="27" t="s">
        <v>1187</v>
      </c>
      <c r="D379" s="27" t="s">
        <v>1188</v>
      </c>
      <c r="E379" s="28" t="s">
        <v>46</v>
      </c>
      <c r="F379" s="29" t="s">
        <v>46</v>
      </c>
      <c r="G379" s="30" t="s">
        <v>46</v>
      </c>
      <c r="H379" s="31"/>
      <c r="I379" s="31" t="s">
        <v>594</v>
      </c>
      <c r="J379" s="32" t="n">
        <v>1.0</v>
      </c>
      <c r="K379" s="33" t="n">
        <f>92500</f>
        <v>92500.0</v>
      </c>
      <c r="L379" s="34" t="s">
        <v>48</v>
      </c>
      <c r="M379" s="33" t="n">
        <f>92900</f>
        <v>92900.0</v>
      </c>
      <c r="N379" s="34" t="s">
        <v>126</v>
      </c>
      <c r="O379" s="33" t="n">
        <f>92000</f>
        <v>92000.0</v>
      </c>
      <c r="P379" s="34" t="s">
        <v>48</v>
      </c>
      <c r="Q379" s="33" t="n">
        <f>92500</f>
        <v>92500.0</v>
      </c>
      <c r="R379" s="34" t="s">
        <v>49</v>
      </c>
      <c r="S379" s="35" t="n">
        <f>92500</f>
        <v>92500.0</v>
      </c>
      <c r="T379" s="32" t="n">
        <f>4751</f>
        <v>4751.0</v>
      </c>
      <c r="U379" s="32" t="n">
        <f>23</f>
        <v>23.0</v>
      </c>
      <c r="V379" s="32" t="n">
        <f>439448800</f>
        <v>4.394488E8</v>
      </c>
      <c r="W379" s="32" t="n">
        <f>2124800</f>
        <v>2124800.0</v>
      </c>
      <c r="X379" s="36" t="n">
        <f>19</f>
        <v>19.0</v>
      </c>
    </row>
    <row r="380">
      <c r="A380" s="27" t="s">
        <v>42</v>
      </c>
      <c r="B380" s="27" t="s">
        <v>1189</v>
      </c>
      <c r="C380" s="27" t="s">
        <v>1190</v>
      </c>
      <c r="D380" s="27" t="s">
        <v>1191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92100</f>
        <v>92100.0</v>
      </c>
      <c r="L380" s="34" t="s">
        <v>48</v>
      </c>
      <c r="M380" s="33" t="n">
        <f>93200</f>
        <v>93200.0</v>
      </c>
      <c r="N380" s="34" t="s">
        <v>80</v>
      </c>
      <c r="O380" s="33" t="n">
        <f>90600</f>
        <v>90600.0</v>
      </c>
      <c r="P380" s="34" t="s">
        <v>49</v>
      </c>
      <c r="Q380" s="33" t="n">
        <f>90700</f>
        <v>90700.0</v>
      </c>
      <c r="R380" s="34" t="s">
        <v>49</v>
      </c>
      <c r="S380" s="35" t="n">
        <f>92305.26</f>
        <v>92305.26</v>
      </c>
      <c r="T380" s="32" t="n">
        <f>32526</f>
        <v>32526.0</v>
      </c>
      <c r="U380" s="32" t="n">
        <f>715</f>
        <v>715.0</v>
      </c>
      <c r="V380" s="32" t="n">
        <f>2977695150</f>
        <v>2.97769515E9</v>
      </c>
      <c r="W380" s="32" t="n">
        <f>66913650</f>
        <v>6.691365E7</v>
      </c>
      <c r="X380" s="36" t="n">
        <f>19</f>
        <v>19.0</v>
      </c>
    </row>
    <row r="381">
      <c r="A381" s="27" t="s">
        <v>42</v>
      </c>
      <c r="B381" s="27" t="s">
        <v>1192</v>
      </c>
      <c r="C381" s="27" t="s">
        <v>1193</v>
      </c>
      <c r="D381" s="27" t="s">
        <v>1194</v>
      </c>
      <c r="E381" s="28" t="s">
        <v>46</v>
      </c>
      <c r="F381" s="29" t="s">
        <v>46</v>
      </c>
      <c r="G381" s="30" t="s">
        <v>46</v>
      </c>
      <c r="H381" s="31"/>
      <c r="I381" s="31" t="s">
        <v>594</v>
      </c>
      <c r="J381" s="32" t="n">
        <v>1.0</v>
      </c>
      <c r="K381" s="33" t="n">
        <f>90200</f>
        <v>90200.0</v>
      </c>
      <c r="L381" s="34" t="s">
        <v>48</v>
      </c>
      <c r="M381" s="33" t="n">
        <f>91000</f>
        <v>91000.0</v>
      </c>
      <c r="N381" s="34" t="s">
        <v>415</v>
      </c>
      <c r="O381" s="33" t="n">
        <f>90100</f>
        <v>90100.0</v>
      </c>
      <c r="P381" s="34" t="s">
        <v>49</v>
      </c>
      <c r="Q381" s="33" t="n">
        <f>90300</f>
        <v>90300.0</v>
      </c>
      <c r="R381" s="34" t="s">
        <v>49</v>
      </c>
      <c r="S381" s="35" t="n">
        <f>90473.68</f>
        <v>90473.68</v>
      </c>
      <c r="T381" s="32" t="n">
        <f>17930</f>
        <v>17930.0</v>
      </c>
      <c r="U381" s="32" t="n">
        <f>652</f>
        <v>652.0</v>
      </c>
      <c r="V381" s="32" t="n">
        <f>1622243450</f>
        <v>1.62224345E9</v>
      </c>
      <c r="W381" s="32" t="n">
        <f>59486350</f>
        <v>5.948635E7</v>
      </c>
      <c r="X381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