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<sst xmlns="http://schemas.openxmlformats.org/spreadsheetml/2006/main" count="4574" uniqueCount="1208">
  <si>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</si>
  <si>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</si>
  <si>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</si>
  <si>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</si>
  <si>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</si>
  <si>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</si>
  <si>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</si>
  <si>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</si>
  <si>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</si>
  <si>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</si>
  <si>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</si>
  <si>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</si>
  <si>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</si>
  <si>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</si>
  <si>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</si>
  <si>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</si>
  <si>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</si>
  <si>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</si>
  <si>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</si>
  <si>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</si>
  <si>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</si>
  <si>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</si>
  <si>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</si>
  <si>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</si>
  <si>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</si>
  <si>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</si>
  <si>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</si>
  <si>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</si>
  <si>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</si>
  <si>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</si>
  <si>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</si>
  <si>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</si>
  <si>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</si>
  <si>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</si>
  <si>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</si>
  <si>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</si>
  <si>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</si>
  <si>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</si>
  <si>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</si>
  <si>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</si>
  <si>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</si>
  <si>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</si>
  <si>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2023/03</t>
  </si>
  <si>
    <t>1305</t>
  </si>
  <si>
    <t>ダイワ上場投信－トピックス　受益証券</t>
  </si>
  <si>
    <t>Daiwa ETF-TOPIX</t>
  </si>
  <si>
    <t/>
  </si>
  <si>
    <t>貸借</t>
  </si>
  <si>
    <t>1</t>
  </si>
  <si>
    <t>9</t>
  </si>
  <si>
    <t>16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</si>
  <si>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</si>
  <si>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</si>
  <si>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</si>
  <si>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</si>
  <si>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</si>
  <si>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</si>
  <si>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</si>
  <si>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</si>
  <si>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</si>
  <si>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</si>
  <si>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6</t>
  </si>
  <si>
    <t>20</t>
  </si>
  <si>
    <t>1311</t>
  </si>
  <si>
    <t>ＮＥＸＴ　ＦＵＮＤＳ　ＴＯＰＩＸ　Ｃｏｒｅ　３０連動型上場投信　受益証券</t>
  </si>
  <si>
    <t>NEXT FUNDS TOPIX Core 30 Exchange Traded Fund</t>
  </si>
  <si>
    <t>7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</si>
  <si>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</si>
  <si>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</si>
  <si>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</si>
  <si>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 xml:space="preserve">上場廃止  </t>
  </si>
  <si>
    <t xml:space="preserve">Removal  </t>
  </si>
  <si>
    <t xml:space="preserve">2023/03/08  </t>
  </si>
  <si>
    <t>整</t>
  </si>
  <si>
    <t>1319</t>
  </si>
  <si>
    <t>ＮＥＸＴ　ＦＵＮＤＳ　日経３００株価指数連動型上場投信　受益証券</t>
  </si>
  <si>
    <t>NEXT FUNDS Nikkei 300 Index Exchange Traded Fund</t>
  </si>
  <si>
    <t>2</t>
  </si>
  <si>
    <t>10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</si>
  <si>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</si>
  <si>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</si>
  <si>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</si>
  <si>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</si>
  <si>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</si>
  <si>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</si>
  <si>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</si>
  <si>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</si>
  <si>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</si>
  <si>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</si>
  <si>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</si>
  <si>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</si>
  <si>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</si>
  <si>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</si>
  <si>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</si>
  <si>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3</t>
  </si>
  <si>
    <t>24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</si>
  <si>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</si>
  <si>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</si>
  <si>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</si>
  <si>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</si>
  <si>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</si>
  <si>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</si>
  <si>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</si>
  <si>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</si>
  <si>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</si>
  <si>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</si>
  <si>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</si>
  <si>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</si>
  <si>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</si>
  <si>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</si>
  <si>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</si>
  <si>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</si>
  <si>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</si>
  <si>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</si>
  <si>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</si>
  <si>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</si>
  <si>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</si>
  <si>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</si>
  <si>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</si>
  <si>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</si>
  <si>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</si>
  <si>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</si>
  <si>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</si>
  <si>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27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</si>
  <si>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</si>
  <si>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</si>
  <si>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</si>
  <si>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</si>
  <si>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</si>
  <si>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</si>
  <si>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</si>
  <si>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</si>
  <si>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</si>
  <si>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</si>
  <si>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</si>
  <si>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</si>
  <si>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</si>
  <si>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</si>
  <si>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</si>
  <si>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</si>
  <si>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</si>
  <si>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</si>
  <si>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</si>
  <si>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</si>
  <si>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</si>
  <si>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</si>
  <si>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</si>
  <si>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</si>
  <si>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</si>
  <si>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</si>
  <si>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</si>
  <si>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</si>
  <si>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</si>
  <si>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</si>
  <si>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</si>
  <si>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</si>
  <si>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</si>
  <si>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</si>
  <si>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</si>
  <si>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</si>
  <si>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</si>
  <si>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</si>
  <si>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</si>
  <si>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8</t>
  </si>
  <si>
    <t>29</t>
  </si>
  <si>
    <t>1388</t>
  </si>
  <si>
    <t>ＵＢＳ　ＥＴＦ　ユーロ圏小型株（ＭＳＣＩ　ＥＭＵ小型株）　受益証券</t>
  </si>
  <si>
    <t>UBS ETF MSCI EMU Small Cap UCITS ETF-JDR</t>
  </si>
  <si>
    <t>17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</si>
  <si>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</si>
  <si>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</si>
  <si>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</si>
  <si>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</si>
  <si>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</si>
  <si>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</si>
  <si>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</si>
  <si>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</si>
  <si>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</si>
  <si>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</si>
  <si>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</si>
  <si>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</si>
  <si>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</si>
  <si>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</si>
  <si>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</si>
  <si>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</si>
  <si>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</si>
  <si>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</si>
  <si>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28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</si>
  <si>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</si>
  <si>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</si>
  <si>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</si>
  <si>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</si>
  <si>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</si>
  <si>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</si>
  <si>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</si>
  <si>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</si>
  <si>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</si>
  <si>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</si>
  <si>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</si>
  <si>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</si>
  <si>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</si>
  <si>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</si>
  <si>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</si>
  <si>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</si>
  <si>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</si>
  <si>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</si>
  <si>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</si>
  <si>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</si>
  <si>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</si>
  <si>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</si>
  <si>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</si>
  <si>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</si>
  <si>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</si>
  <si>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</si>
  <si>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</si>
  <si>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</si>
  <si>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</si>
  <si>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</si>
  <si>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</si>
  <si>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</si>
  <si>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</si>
  <si>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</si>
  <si>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</si>
  <si>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</si>
  <si>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</si>
  <si>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</si>
  <si>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</si>
  <si>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</si>
  <si>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</si>
  <si>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</si>
  <si>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</si>
  <si>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</si>
  <si>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</si>
  <si>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</si>
  <si>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</si>
  <si>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</si>
  <si>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</si>
  <si>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</si>
  <si>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</si>
  <si>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</si>
  <si>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</si>
  <si>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</si>
  <si>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</si>
  <si>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</si>
  <si>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</si>
  <si>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</si>
  <si>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</si>
  <si>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</si>
  <si>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</si>
  <si>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</si>
  <si>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</si>
  <si>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</si>
  <si>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</si>
  <si>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</si>
  <si>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</si>
  <si>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</si>
  <si>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</si>
  <si>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</si>
  <si>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</si>
  <si>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</si>
  <si>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</si>
  <si>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</si>
  <si>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</si>
  <si>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13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</si>
  <si>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</si>
  <si>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</si>
  <si>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</si>
  <si>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</si>
  <si>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</si>
  <si>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</si>
  <si>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</si>
  <si>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</si>
  <si>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</si>
  <si>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</si>
  <si>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</si>
  <si>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</si>
  <si>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</si>
  <si>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</si>
  <si>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</si>
  <si>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</si>
  <si>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</si>
  <si>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</si>
  <si>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</si>
  <si>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</si>
  <si>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</si>
  <si>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</si>
  <si>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</si>
  <si>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</si>
  <si>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</si>
  <si>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</si>
  <si>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</si>
  <si>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</si>
  <si>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</si>
  <si>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</si>
  <si>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</si>
  <si>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</si>
  <si>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</si>
  <si>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</si>
  <si>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</si>
  <si>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</si>
  <si>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</si>
  <si>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</si>
  <si>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</si>
  <si>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</si>
  <si>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</si>
  <si>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</si>
  <si>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</si>
  <si>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</si>
  <si>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</si>
  <si>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</si>
  <si>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</si>
  <si>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</si>
  <si>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</si>
  <si>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</si>
  <si>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</si>
  <si>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</si>
  <si>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</si>
  <si>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</si>
  <si>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</si>
  <si>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</si>
  <si>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</si>
  <si>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</si>
  <si>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</si>
  <si>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</si>
  <si>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</si>
  <si>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</si>
  <si>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</si>
  <si>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</si>
  <si>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</si>
  <si>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</si>
  <si>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</si>
  <si>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</si>
  <si>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</si>
  <si>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</si>
  <si>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</si>
  <si>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</si>
  <si>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</si>
  <si>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</si>
  <si>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</si>
  <si>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</si>
  <si>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</si>
  <si>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</si>
  <si>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</si>
  <si>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</si>
  <si>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</si>
  <si>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</si>
  <si>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</si>
  <si>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</si>
  <si>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</si>
  <si>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</si>
  <si>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</si>
  <si>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</si>
  <si>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</si>
  <si>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</si>
  <si>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</si>
  <si>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</si>
  <si>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</si>
  <si>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</si>
  <si>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</si>
  <si>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</si>
  <si>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</si>
  <si>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</si>
  <si>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</si>
  <si>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</si>
  <si>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</si>
  <si>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</si>
  <si>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</si>
  <si>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</si>
  <si>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</si>
  <si>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</si>
  <si>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</si>
  <si>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</si>
  <si>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</si>
  <si>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</si>
  <si>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</si>
  <si>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</si>
  <si>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</si>
  <si>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</si>
  <si>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</si>
  <si>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</si>
  <si>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</si>
  <si>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</si>
  <si>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</si>
  <si>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</si>
  <si>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</si>
  <si>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</si>
  <si>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</si>
  <si>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</si>
  <si>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</si>
  <si>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</si>
  <si>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</si>
  <si>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</si>
  <si>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</si>
  <si>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ダイワ上場投信・ＴＯＰＩＸ　Ｅｘ－Ｆｉｎａｎｃｉａｌｓ　受益証券</t>
  </si>
  <si>
    <t>Daiwa ETF TOPIX Ex-Financials</t>
  </si>
  <si>
    <t>30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</si>
  <si>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</si>
  <si>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</si>
  <si>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</si>
  <si>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</si>
  <si>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</si>
  <si>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</si>
  <si>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</si>
  <si>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</si>
  <si>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</si>
  <si>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</si>
  <si>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</si>
  <si>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</si>
  <si>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</si>
  <si>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</si>
  <si>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</si>
  <si>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</si>
  <si>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</si>
  <si>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</si>
  <si>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</si>
  <si>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</si>
  <si>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</si>
  <si>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</si>
  <si>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</si>
  <si>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</si>
  <si>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</si>
  <si>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</si>
  <si>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</si>
  <si>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</si>
  <si>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</si>
  <si>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</si>
  <si>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</si>
  <si>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</si>
  <si>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</si>
  <si>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</si>
  <si>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</si>
  <si>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</si>
  <si>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</si>
  <si>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</si>
  <si>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</si>
  <si>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</si>
  <si>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</si>
  <si>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</si>
  <si>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</si>
  <si>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</si>
  <si>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</si>
  <si>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</si>
  <si>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</si>
  <si>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</si>
  <si>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</si>
  <si>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</si>
  <si>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</si>
  <si>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</si>
  <si>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</si>
  <si>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</si>
  <si>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</si>
  <si>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</si>
  <si>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</si>
  <si>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</si>
  <si>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</si>
  <si>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</si>
  <si>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23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</si>
  <si>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</si>
  <si>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</si>
  <si>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</si>
  <si>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</si>
  <si>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</si>
  <si>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</si>
  <si>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</si>
  <si>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</si>
  <si>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</si>
  <si>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</si>
  <si>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</si>
  <si>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</si>
  <si>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</si>
  <si>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</si>
  <si>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</si>
  <si>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</si>
  <si>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</si>
  <si>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</si>
  <si>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</si>
  <si>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</si>
  <si>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</si>
  <si>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</si>
  <si>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</si>
  <si>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</si>
  <si>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</si>
  <si>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</si>
  <si>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</si>
  <si>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</si>
  <si>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</si>
  <si>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</si>
  <si>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</si>
  <si>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</si>
  <si>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</si>
  <si>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</si>
  <si>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</si>
  <si>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</si>
  <si>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</si>
  <si>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</si>
  <si>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</si>
  <si>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</si>
  <si>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</si>
  <si>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</si>
  <si>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</si>
  <si>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</si>
  <si>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</si>
  <si>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</si>
  <si>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</si>
  <si>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</si>
  <si>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</si>
  <si>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</si>
  <si>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</si>
  <si>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</si>
  <si>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</si>
  <si>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</si>
  <si>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</si>
  <si>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</si>
  <si>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</si>
  <si>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</si>
  <si>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</si>
  <si>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</si>
  <si>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</si>
  <si>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</si>
  <si>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</si>
  <si>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15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</si>
  <si>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</si>
  <si>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</si>
  <si>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</si>
  <si>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</si>
  <si>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</si>
  <si>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</si>
  <si>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</si>
  <si>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</si>
  <si>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</si>
  <si>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</si>
  <si>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</si>
  <si>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</si>
  <si>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</si>
  <si>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</si>
  <si>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</si>
  <si>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</si>
  <si>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</si>
  <si>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</si>
  <si>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</si>
  <si>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</si>
  <si>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</si>
  <si>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</si>
  <si>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</si>
  <si>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</si>
  <si>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</si>
  <si>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</si>
  <si>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</si>
  <si>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</si>
  <si>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</si>
  <si>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</si>
  <si>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</si>
  <si>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</si>
  <si>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</si>
  <si>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</si>
  <si>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</si>
  <si>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</si>
  <si>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</si>
  <si>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</si>
  <si>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</si>
  <si>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</si>
  <si>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</si>
  <si>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</si>
  <si>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</si>
  <si>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</si>
  <si>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</si>
  <si>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</si>
  <si>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</si>
  <si>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</si>
  <si>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</si>
  <si>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</si>
  <si>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</si>
  <si>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</si>
  <si>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</si>
  <si>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</si>
  <si>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</si>
  <si>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</si>
  <si>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</si>
  <si>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</si>
  <si>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</si>
  <si>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</si>
  <si>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</si>
  <si>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</si>
  <si>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</si>
  <si>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</si>
  <si>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</si>
  <si>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</si>
  <si>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</si>
  <si>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</si>
  <si>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</si>
  <si>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</si>
  <si>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</si>
  <si>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</si>
  <si>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</si>
  <si>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</si>
  <si>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</si>
  <si>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</si>
  <si>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</si>
  <si>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</si>
  <si>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</si>
  <si>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</si>
  <si>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</si>
  <si>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</si>
  <si>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</si>
  <si>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</si>
  <si>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</si>
  <si>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</si>
  <si>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</si>
  <si>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</si>
  <si>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</si>
  <si>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</si>
  <si>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</si>
  <si>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</si>
  <si>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</si>
  <si>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</si>
  <si>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</si>
  <si>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</si>
  <si>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</si>
  <si>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</si>
  <si>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</si>
  <si>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</si>
  <si>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</si>
  <si>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</si>
  <si>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</si>
  <si>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</si>
  <si>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</si>
  <si>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</si>
  <si>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</si>
  <si>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</si>
  <si>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</si>
  <si>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</si>
  <si>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</si>
  <si>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</si>
  <si>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</si>
  <si>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</si>
  <si>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</si>
  <si>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</si>
  <si>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</si>
  <si>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</si>
  <si>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</si>
  <si>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</si>
  <si>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</si>
  <si>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</si>
  <si>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</si>
  <si>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</si>
  <si>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</si>
  <si>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</si>
  <si>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</si>
  <si>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</si>
  <si>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</si>
  <si>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</si>
  <si>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</si>
  <si>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</si>
  <si>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</si>
  <si>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</si>
  <si>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</si>
  <si>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</si>
  <si>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</si>
  <si>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</si>
  <si>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</si>
  <si>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</si>
  <si>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</si>
  <si>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</si>
  <si>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</si>
  <si>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</si>
  <si>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</si>
  <si>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</si>
  <si>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</si>
  <si>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</si>
  <si>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</si>
  <si>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</si>
  <si>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</si>
  <si>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</si>
  <si>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</si>
  <si>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</si>
  <si>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</si>
  <si>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</si>
  <si>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</si>
  <si>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</si>
  <si>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</si>
  <si>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</si>
  <si>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</si>
  <si>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</si>
  <si>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</si>
  <si>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</si>
  <si>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</si>
  <si>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</si>
  <si>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 xml:space="preserve">新規上場  </t>
  </si>
  <si>
    <t xml:space="preserve">New Listing  </t>
  </si>
  <si>
    <t xml:space="preserve">2023/03/17  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</si>
  <si>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</si>
  <si>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</si>
  <si>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</si>
  <si>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</si>
  <si>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</si>
  <si>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</si>
  <si>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 xml:space="preserve">2023/03/10  </t>
  </si>
  <si>
    <t>2242</t>
  </si>
  <si>
    <t>ＭＡＸＩＳ　ＮＹダウ上場投信（為替ヘッジあり）　受益証券</t>
  </si>
  <si>
    <t>MAXIS NY Dow Industrial Average ETF (JPY Hedged)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</si>
  <si>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</si>
  <si>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</si>
  <si>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</si>
  <si>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</si>
  <si>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</si>
  <si>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</si>
  <si>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</si>
  <si>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</si>
  <si>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</si>
  <si>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</si>
  <si>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</si>
  <si>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</si>
  <si>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</si>
  <si>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</si>
  <si>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</si>
  <si>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</si>
  <si>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</si>
  <si>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</si>
  <si>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</si>
  <si>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</si>
  <si>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</si>
  <si>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</si>
  <si>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</si>
  <si>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</si>
  <si>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</si>
  <si>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</si>
  <si>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</si>
  <si>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</si>
  <si>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</si>
  <si>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</si>
  <si>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</si>
  <si>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</si>
  <si>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</si>
  <si>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</si>
  <si>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</si>
  <si>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</si>
  <si>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</si>
  <si>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</si>
  <si>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</si>
  <si>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</si>
  <si>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</si>
  <si>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</si>
  <si>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</si>
  <si>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</si>
  <si>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</si>
  <si>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</si>
  <si>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</si>
  <si>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</si>
  <si>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</si>
  <si>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</si>
  <si>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</si>
  <si>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</si>
  <si>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</si>
  <si>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</si>
  <si>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</si>
  <si>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</si>
  <si>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</si>
  <si>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</si>
  <si>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</si>
  <si>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</si>
  <si>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</si>
  <si>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</si>
  <si>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</si>
  <si>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</si>
  <si>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</si>
  <si>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</si>
  <si>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</si>
  <si>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</si>
  <si>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</si>
  <si>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</si>
  <si>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</si>
  <si>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</si>
  <si>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</si>
  <si>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</si>
  <si>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</si>
  <si>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</si>
  <si>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</si>
  <si>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</si>
  <si>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</si>
  <si>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</si>
  <si>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</si>
  <si>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</si>
  <si>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</si>
  <si>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</si>
  <si>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</si>
  <si>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</si>
  <si>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</si>
  <si>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</si>
  <si>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</si>
  <si>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</si>
  <si>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</si>
  <si>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</si>
  <si>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</si>
  <si>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</si>
  <si>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</si>
  <si>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</si>
  <si>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</si>
  <si>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</si>
  <si>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</si>
  <si>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</si>
  <si>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</si>
  <si>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</si>
  <si>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</si>
  <si>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</si>
  <si>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</si>
  <si>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</si>
  <si>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</si>
  <si>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</si>
  <si>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22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</si>
  <si>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</si>
  <si>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</si>
  <si>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</si>
  <si>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</si>
  <si>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</si>
  <si>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</si>
  <si>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</si>
  <si>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</si>
  <si>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</si>
  <si>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</si>
  <si>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</si>
  <si>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</si>
  <si>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</si>
  <si>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</si>
  <si>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</si>
  <si>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</si>
  <si>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</si>
  <si>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</si>
  <si>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</si>
  <si>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</si>
  <si>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</si>
  <si>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</si>
  <si>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</si>
  <si>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</si>
  <si>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</si>
  <si>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</si>
  <si>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</si>
  <si>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</si>
  <si>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</si>
  <si>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</si>
  <si>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</si>
  <si>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</si>
  <si>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</si>
  <si>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</si>
  <si>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</si>
  <si>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</si>
  <si>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</si>
  <si>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</si>
  <si>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</si>
  <si>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</si>
  <si>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</si>
  <si>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</si>
  <si>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</si>
  <si>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</si>
  <si>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</si>
  <si>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</si>
  <si>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</si>
  <si>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</si>
  <si>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</si>
  <si>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</si>
  <si>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</si>
  <si>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</si>
  <si>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</si>
  <si>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</si>
  <si>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</si>
  <si>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</si>
  <si>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</si>
  <si>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</si>
  <si>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</si>
  <si>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</si>
  <si>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</si>
  <si>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</si>
  <si>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</si>
  <si>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</si>
  <si>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</si>
  <si>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</si>
  <si>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</si>
  <si>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</si>
  <si>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</si>
  <si>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</si>
  <si>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</si>
  <si>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</si>
  <si>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</si>
  <si>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</si>
  <si>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</si>
  <si>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</si>
  <si>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</si>
  <si>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</si>
  <si>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</si>
  <si>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</si>
  <si>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</si>
  <si>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</si>
  <si>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</si>
  <si>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</si>
  <si>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</si>
  <si>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</si>
  <si>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</si>
  <si>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</si>
  <si>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</si>
  <si>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</si>
  <si>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</si>
  <si>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</si>
  <si>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</si>
  <si>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</si>
  <si>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</si>
  <si>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</si>
  <si>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</si>
  <si>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</si>
  <si>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</si>
  <si>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</si>
  <si>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</si>
  <si>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</si>
  <si>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</si>
  <si>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</si>
  <si>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</si>
  <si>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</si>
  <si>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</si>
  <si>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</si>
  <si>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</si>
  <si>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</si>
  <si>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</si>
  <si>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</si>
  <si>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</si>
  <si>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</si>
  <si>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</si>
  <si>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</si>
  <si>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</si>
  <si>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</si>
  <si>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</si>
  <si>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</si>
  <si>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</si>
  <si>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</si>
  <si>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</si>
  <si>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</si>
  <si>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</si>
  <si>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</si>
  <si>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</si>
  <si>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</si>
  <si>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</si>
  <si>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</si>
  <si>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</si>
  <si>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</si>
  <si>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</si>
  <si>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</si>
  <si>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</si>
  <si>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</si>
  <si>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</si>
  <si>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</si>
  <si>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</si>
  <si>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</si>
  <si>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</si>
  <si>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</si>
  <si>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</si>
  <si>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</si>
  <si>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</si>
  <si>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</si>
  <si>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</si>
  <si>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</si>
  <si>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</si>
  <si>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</si>
  <si>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</si>
  <si>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</si>
  <si>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</si>
  <si>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</si>
  <si>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</si>
  <si>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</si>
  <si>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</si>
  <si>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</si>
  <si>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</si>
  <si>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</si>
  <si>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</si>
  <si>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</si>
  <si>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</si>
  <si>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</si>
  <si>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</si>
  <si>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</si>
  <si>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</si>
  <si>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</si>
  <si>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</si>
  <si>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</si>
  <si>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</si>
  <si>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</si>
  <si>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</si>
  <si>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</si>
  <si>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</si>
  <si>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</si>
  <si>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</si>
  <si>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</si>
  <si>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</si>
  <si>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</si>
  <si>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</si>
  <si>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</si>
  <si>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</si>
  <si>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</si>
  <si>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</si>
  <si>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</si>
  <si>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</si>
  <si>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</si>
  <si>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</si>
  <si>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</si>
  <si>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</si>
  <si>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</si>
  <si>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</si>
  <si>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</si>
  <si>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</si>
  <si>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</si>
  <si>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</si>
  <si>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</si>
  <si>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</si>
  <si>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</si>
  <si>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Leveraged(2x)</t>
  </si>
  <si>
    <t>2870</t>
  </si>
  <si>
    <t>ｉＦｒｅｅＥＴＦ　ＮＡＳＤＡＱ１００ダブルインバース　受益証券</t>
  </si>
  <si>
    <t>iFreeETF NASDAQ100 Double Inverse(-2x)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</si>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</sst>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8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2101</f>
        <v>2101.0</v>
      </c>
      <c r="L7" s="34" t="s">
        <v>48</v>
      </c>
      <c r="M7" s="33" t="n">
        <f>2188.5</f>
        <v>2188.5</v>
      </c>
      <c r="N7" s="34" t="s">
        <v>49</v>
      </c>
      <c r="O7" s="33" t="n">
        <f>2017.5</f>
        <v>2017.5</v>
      </c>
      <c r="P7" s="34" t="s">
        <v>50</v>
      </c>
      <c r="Q7" s="33" t="n">
        <f>2142</f>
        <v>2142.0</v>
      </c>
      <c r="R7" s="34" t="s">
        <v>51</v>
      </c>
      <c r="S7" s="35" t="n">
        <f>2103.66</f>
        <v>2103.66</v>
      </c>
      <c r="T7" s="32" t="n">
        <f>6524610</f>
        <v>6524610.0</v>
      </c>
      <c r="U7" s="32" t="n">
        <f>1060000</f>
        <v>1060000.0</v>
      </c>
      <c r="V7" s="32" t="n">
        <f>13667163270</f>
        <v>1.366716327E10</v>
      </c>
      <c r="W7" s="32" t="n">
        <f>2206928945</f>
        <v>2.206928945E9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2077</f>
        <v>2077.0</v>
      </c>
      <c r="L8" s="34" t="s">
        <v>48</v>
      </c>
      <c r="M8" s="33" t="n">
        <f>2164</f>
        <v>2164.0</v>
      </c>
      <c r="N8" s="34" t="s">
        <v>49</v>
      </c>
      <c r="O8" s="33" t="n">
        <f>1993.5</f>
        <v>1993.5</v>
      </c>
      <c r="P8" s="34" t="s">
        <v>50</v>
      </c>
      <c r="Q8" s="33" t="n">
        <f>2119</f>
        <v>2119.0</v>
      </c>
      <c r="R8" s="34" t="s">
        <v>51</v>
      </c>
      <c r="S8" s="35" t="n">
        <f>2079.86</f>
        <v>2079.86</v>
      </c>
      <c r="T8" s="32" t="n">
        <f>52119240</f>
        <v>5.211924E7</v>
      </c>
      <c r="U8" s="32" t="n">
        <f>6181120</f>
        <v>6181120.0</v>
      </c>
      <c r="V8" s="32" t="n">
        <f>107876703023</f>
        <v>1.07876703023E11</v>
      </c>
      <c r="W8" s="32" t="n">
        <f>12777337343</f>
        <v>1.2777337343E10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2054</f>
        <v>2054.0</v>
      </c>
      <c r="L9" s="34" t="s">
        <v>48</v>
      </c>
      <c r="M9" s="33" t="n">
        <f>2138.5</f>
        <v>2138.5</v>
      </c>
      <c r="N9" s="34" t="s">
        <v>49</v>
      </c>
      <c r="O9" s="33" t="n">
        <f>1971</f>
        <v>1971.0</v>
      </c>
      <c r="P9" s="34" t="s">
        <v>50</v>
      </c>
      <c r="Q9" s="33" t="n">
        <f>2093.5</f>
        <v>2093.5</v>
      </c>
      <c r="R9" s="34" t="s">
        <v>51</v>
      </c>
      <c r="S9" s="35" t="n">
        <f>2055.14</f>
        <v>2055.14</v>
      </c>
      <c r="T9" s="32" t="n">
        <f>9452100</f>
        <v>9452100.0</v>
      </c>
      <c r="U9" s="32" t="n">
        <f>1531500</f>
        <v>1531500.0</v>
      </c>
      <c r="V9" s="32" t="n">
        <f>19549785615</f>
        <v>1.9549785615E10</v>
      </c>
      <c r="W9" s="32" t="n">
        <f>3146376865</f>
        <v>3.146376865E9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40700</f>
        <v>40700.0</v>
      </c>
      <c r="L10" s="34" t="s">
        <v>48</v>
      </c>
      <c r="M10" s="33" t="n">
        <f>42700</f>
        <v>42700.0</v>
      </c>
      <c r="N10" s="34" t="s">
        <v>61</v>
      </c>
      <c r="O10" s="33" t="n">
        <f>38700</f>
        <v>38700.0</v>
      </c>
      <c r="P10" s="34" t="s">
        <v>62</v>
      </c>
      <c r="Q10" s="33" t="n">
        <f>40000</f>
        <v>40000.0</v>
      </c>
      <c r="R10" s="34" t="s">
        <v>51</v>
      </c>
      <c r="S10" s="35" t="n">
        <f>40139.09</f>
        <v>40139.09</v>
      </c>
      <c r="T10" s="32" t="n">
        <f>3749</f>
        <v>3749.0</v>
      </c>
      <c r="U10" s="32" t="str">
        <f>"－"</f>
        <v>－</v>
      </c>
      <c r="V10" s="32" t="n">
        <f>151344100</f>
        <v>1.513441E8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973.8</f>
        <v>973.8</v>
      </c>
      <c r="L11" s="34" t="s">
        <v>48</v>
      </c>
      <c r="M11" s="33" t="n">
        <f>1020</f>
        <v>1020.0</v>
      </c>
      <c r="N11" s="34" t="s">
        <v>66</v>
      </c>
      <c r="O11" s="33" t="n">
        <f>930</f>
        <v>930.0</v>
      </c>
      <c r="P11" s="34" t="s">
        <v>50</v>
      </c>
      <c r="Q11" s="33" t="n">
        <f>998.8</f>
        <v>998.8</v>
      </c>
      <c r="R11" s="34" t="s">
        <v>51</v>
      </c>
      <c r="S11" s="35" t="n">
        <f>977.16</f>
        <v>977.16</v>
      </c>
      <c r="T11" s="32" t="n">
        <f>267810</f>
        <v>267810.0</v>
      </c>
      <c r="U11" s="32" t="n">
        <f>100010</f>
        <v>100010.0</v>
      </c>
      <c r="V11" s="32" t="n">
        <f>264578459</f>
        <v>2.64578459E8</v>
      </c>
      <c r="W11" s="32" t="n">
        <f>101389755</f>
        <v>1.01389755E8</v>
      </c>
      <c r="X11" s="36" t="n">
        <f>22</f>
        <v>22.0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70</v>
      </c>
      <c r="F12" s="29" t="s">
        <v>71</v>
      </c>
      <c r="G12" s="30" t="s">
        <v>72</v>
      </c>
      <c r="H12" s="31" t="s">
        <v>73</v>
      </c>
      <c r="I12" s="31"/>
      <c r="J12" s="32" t="n">
        <v>1.0</v>
      </c>
      <c r="K12" s="33" t="n">
        <f>21200</f>
        <v>21200.0</v>
      </c>
      <c r="L12" s="34" t="s">
        <v>48</v>
      </c>
      <c r="M12" s="33" t="n">
        <f>21660</f>
        <v>21660.0</v>
      </c>
      <c r="N12" s="34" t="s">
        <v>66</v>
      </c>
      <c r="O12" s="33" t="n">
        <f>21060</f>
        <v>21060.0</v>
      </c>
      <c r="P12" s="34" t="s">
        <v>48</v>
      </c>
      <c r="Q12" s="33" t="n">
        <f>21615</f>
        <v>21615.0</v>
      </c>
      <c r="R12" s="34" t="s">
        <v>66</v>
      </c>
      <c r="S12" s="35" t="n">
        <f>21407</f>
        <v>21407.0</v>
      </c>
      <c r="T12" s="32" t="n">
        <f>2496</f>
        <v>2496.0</v>
      </c>
      <c r="U12" s="32" t="str">
        <f>"－"</f>
        <v>－</v>
      </c>
      <c r="V12" s="32" t="n">
        <f>53594355</f>
        <v>5.3594355E7</v>
      </c>
      <c r="W12" s="32" t="str">
        <f>"－"</f>
        <v>－</v>
      </c>
      <c r="X12" s="36" t="n">
        <f>5</f>
        <v>5.0</v>
      </c>
    </row>
    <row r="13">
      <c r="A13" s="27" t="s">
        <v>42</v>
      </c>
      <c r="B13" s="27" t="s">
        <v>74</v>
      </c>
      <c r="C13" s="27" t="s">
        <v>75</v>
      </c>
      <c r="D13" s="27" t="s">
        <v>76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1000.0</v>
      </c>
      <c r="K13" s="33" t="n">
        <f>348</f>
        <v>348.0</v>
      </c>
      <c r="L13" s="34" t="s">
        <v>77</v>
      </c>
      <c r="M13" s="33" t="n">
        <f>358.3</f>
        <v>358.3</v>
      </c>
      <c r="N13" s="34" t="s">
        <v>78</v>
      </c>
      <c r="O13" s="33" t="n">
        <f>333.6</f>
        <v>333.6</v>
      </c>
      <c r="P13" s="34" t="s">
        <v>50</v>
      </c>
      <c r="Q13" s="33" t="n">
        <f>339</f>
        <v>339.0</v>
      </c>
      <c r="R13" s="34" t="s">
        <v>51</v>
      </c>
      <c r="S13" s="35" t="n">
        <f>343.62</f>
        <v>343.62</v>
      </c>
      <c r="T13" s="32" t="n">
        <f>45000</f>
        <v>45000.0</v>
      </c>
      <c r="U13" s="32" t="n">
        <f>2000</f>
        <v>2000.0</v>
      </c>
      <c r="V13" s="32" t="n">
        <f>15526100</f>
        <v>1.55261E7</v>
      </c>
      <c r="W13" s="32" t="n">
        <f>691700</f>
        <v>691700.0</v>
      </c>
      <c r="X13" s="36" t="n">
        <f>17</f>
        <v>17.0</v>
      </c>
    </row>
    <row r="14">
      <c r="A14" s="27" t="s">
        <v>42</v>
      </c>
      <c r="B14" s="27" t="s">
        <v>79</v>
      </c>
      <c r="C14" s="27" t="s">
        <v>80</v>
      </c>
      <c r="D14" s="27" t="s">
        <v>81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28250</f>
        <v>28250.0</v>
      </c>
      <c r="L14" s="34" t="s">
        <v>48</v>
      </c>
      <c r="M14" s="33" t="n">
        <f>29645</f>
        <v>29645.0</v>
      </c>
      <c r="N14" s="34" t="s">
        <v>49</v>
      </c>
      <c r="O14" s="33" t="n">
        <f>27500</f>
        <v>27500.0</v>
      </c>
      <c r="P14" s="34" t="s">
        <v>50</v>
      </c>
      <c r="Q14" s="33" t="n">
        <f>29225</f>
        <v>29225.0</v>
      </c>
      <c r="R14" s="34" t="s">
        <v>51</v>
      </c>
      <c r="S14" s="35" t="n">
        <f>28604.77</f>
        <v>28604.77</v>
      </c>
      <c r="T14" s="32" t="n">
        <f>1422379</f>
        <v>1422379.0</v>
      </c>
      <c r="U14" s="32" t="n">
        <f>62985</f>
        <v>62985.0</v>
      </c>
      <c r="V14" s="32" t="n">
        <f>40580383584</f>
        <v>4.0580383584E10</v>
      </c>
      <c r="W14" s="32" t="n">
        <f>1792585024</f>
        <v>1.792585024E9</v>
      </c>
      <c r="X14" s="36" t="n">
        <f>22</f>
        <v>22.0</v>
      </c>
    </row>
    <row r="15">
      <c r="A15" s="27" t="s">
        <v>42</v>
      </c>
      <c r="B15" s="27" t="s">
        <v>82</v>
      </c>
      <c r="C15" s="27" t="s">
        <v>83</v>
      </c>
      <c r="D15" s="27" t="s">
        <v>84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28345</f>
        <v>28345.0</v>
      </c>
      <c r="L15" s="34" t="s">
        <v>48</v>
      </c>
      <c r="M15" s="33" t="n">
        <f>29730</f>
        <v>29730.0</v>
      </c>
      <c r="N15" s="34" t="s">
        <v>49</v>
      </c>
      <c r="O15" s="33" t="n">
        <f>27580</f>
        <v>27580.0</v>
      </c>
      <c r="P15" s="34" t="s">
        <v>50</v>
      </c>
      <c r="Q15" s="33" t="n">
        <f>29290</f>
        <v>29290.0</v>
      </c>
      <c r="R15" s="34" t="s">
        <v>51</v>
      </c>
      <c r="S15" s="35" t="n">
        <f>28687.5</f>
        <v>28687.5</v>
      </c>
      <c r="T15" s="32" t="n">
        <f>7434726</f>
        <v>7434726.0</v>
      </c>
      <c r="U15" s="32" t="n">
        <f>249727</f>
        <v>249727.0</v>
      </c>
      <c r="V15" s="32" t="n">
        <f>213154050082</f>
        <v>2.13154050082E11</v>
      </c>
      <c r="W15" s="32" t="n">
        <f>7129290792</f>
        <v>7.129290792E9</v>
      </c>
      <c r="X15" s="36" t="n">
        <f>22</f>
        <v>22.0</v>
      </c>
    </row>
    <row r="16">
      <c r="A16" s="27" t="s">
        <v>42</v>
      </c>
      <c r="B16" s="27" t="s">
        <v>85</v>
      </c>
      <c r="C16" s="27" t="s">
        <v>86</v>
      </c>
      <c r="D16" s="27" t="s">
        <v>87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7950</f>
        <v>7950.0</v>
      </c>
      <c r="L16" s="34" t="s">
        <v>48</v>
      </c>
      <c r="M16" s="33" t="n">
        <f>8200</f>
        <v>8200.0</v>
      </c>
      <c r="N16" s="34" t="s">
        <v>61</v>
      </c>
      <c r="O16" s="33" t="n">
        <f>7576</f>
        <v>7576.0</v>
      </c>
      <c r="P16" s="34" t="s">
        <v>62</v>
      </c>
      <c r="Q16" s="33" t="n">
        <f>7827</f>
        <v>7827.0</v>
      </c>
      <c r="R16" s="34" t="s">
        <v>51</v>
      </c>
      <c r="S16" s="35" t="n">
        <f>7807.68</f>
        <v>7807.68</v>
      </c>
      <c r="T16" s="32" t="n">
        <f>6430</f>
        <v>6430.0</v>
      </c>
      <c r="U16" s="32" t="str">
        <f>"－"</f>
        <v>－</v>
      </c>
      <c r="V16" s="32" t="n">
        <f>50462580</f>
        <v>5.046258E7</v>
      </c>
      <c r="W16" s="32" t="str">
        <f>"－"</f>
        <v>－</v>
      </c>
      <c r="X16" s="36" t="n">
        <f>22</f>
        <v>22.0</v>
      </c>
    </row>
    <row r="17">
      <c r="A17" s="27" t="s">
        <v>42</v>
      </c>
      <c r="B17" s="27" t="s">
        <v>88</v>
      </c>
      <c r="C17" s="27" t="s">
        <v>89</v>
      </c>
      <c r="D17" s="27" t="s">
        <v>90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str">
        <f>"－"</f>
        <v>－</v>
      </c>
      <c r="L17" s="34"/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5" t="str">
        <f>"－"</f>
        <v>－</v>
      </c>
      <c r="T17" s="32" t="str">
        <f>"－"</f>
        <v>－</v>
      </c>
      <c r="U17" s="32" t="str">
        <f>"－"</f>
        <v>－</v>
      </c>
      <c r="V17" s="32" t="str">
        <f>"－"</f>
        <v>－</v>
      </c>
      <c r="W17" s="32" t="str">
        <f>"－"</f>
        <v>－</v>
      </c>
      <c r="X17" s="36" t="str">
        <f>"－"</f>
        <v>－</v>
      </c>
    </row>
    <row r="18">
      <c r="A18" s="27" t="s">
        <v>42</v>
      </c>
      <c r="B18" s="27" t="s">
        <v>91</v>
      </c>
      <c r="C18" s="27" t="s">
        <v>92</v>
      </c>
      <c r="D18" s="27" t="s">
        <v>93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202.7</f>
        <v>202.7</v>
      </c>
      <c r="L18" s="34" t="s">
        <v>48</v>
      </c>
      <c r="M18" s="33" t="n">
        <f>204.7</f>
        <v>204.7</v>
      </c>
      <c r="N18" s="34" t="s">
        <v>94</v>
      </c>
      <c r="O18" s="33" t="n">
        <f>187.9</f>
        <v>187.9</v>
      </c>
      <c r="P18" s="34" t="s">
        <v>95</v>
      </c>
      <c r="Q18" s="33" t="n">
        <f>195.4</f>
        <v>195.4</v>
      </c>
      <c r="R18" s="34" t="s">
        <v>51</v>
      </c>
      <c r="S18" s="35" t="n">
        <f>195.46</f>
        <v>195.46</v>
      </c>
      <c r="T18" s="32" t="n">
        <f>376900</f>
        <v>376900.0</v>
      </c>
      <c r="U18" s="32" t="str">
        <f>"－"</f>
        <v>－</v>
      </c>
      <c r="V18" s="32" t="n">
        <f>73517320</f>
        <v>7.351732E7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96</v>
      </c>
      <c r="C19" s="27" t="s">
        <v>97</v>
      </c>
      <c r="D19" s="27" t="s">
        <v>98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23135</f>
        <v>23135.0</v>
      </c>
      <c r="L19" s="34" t="s">
        <v>48</v>
      </c>
      <c r="M19" s="33" t="n">
        <f>24550</f>
        <v>24550.0</v>
      </c>
      <c r="N19" s="34" t="s">
        <v>51</v>
      </c>
      <c r="O19" s="33" t="n">
        <f>23070</f>
        <v>23070.0</v>
      </c>
      <c r="P19" s="34" t="s">
        <v>49</v>
      </c>
      <c r="Q19" s="33" t="n">
        <f>24465</f>
        <v>24465.0</v>
      </c>
      <c r="R19" s="34" t="s">
        <v>51</v>
      </c>
      <c r="S19" s="35" t="n">
        <f>23703.64</f>
        <v>23703.64</v>
      </c>
      <c r="T19" s="32" t="n">
        <f>150184</f>
        <v>150184.0</v>
      </c>
      <c r="U19" s="32" t="n">
        <f>9464</f>
        <v>9464.0</v>
      </c>
      <c r="V19" s="32" t="n">
        <f>3565983179</f>
        <v>3.565983179E9</v>
      </c>
      <c r="W19" s="32" t="n">
        <f>224078089</f>
        <v>2.24078089E8</v>
      </c>
      <c r="X19" s="36" t="n">
        <f>22</f>
        <v>22.0</v>
      </c>
    </row>
    <row r="20">
      <c r="A20" s="27" t="s">
        <v>42</v>
      </c>
      <c r="B20" s="27" t="s">
        <v>99</v>
      </c>
      <c r="C20" s="27" t="s">
        <v>100</v>
      </c>
      <c r="D20" s="27" t="s">
        <v>101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10.0</v>
      </c>
      <c r="K20" s="33" t="n">
        <f>6188</f>
        <v>6188.0</v>
      </c>
      <c r="L20" s="34" t="s">
        <v>48</v>
      </c>
      <c r="M20" s="33" t="n">
        <f>6564</f>
        <v>6564.0</v>
      </c>
      <c r="N20" s="34" t="s">
        <v>51</v>
      </c>
      <c r="O20" s="33" t="n">
        <f>6165</f>
        <v>6165.0</v>
      </c>
      <c r="P20" s="34" t="s">
        <v>49</v>
      </c>
      <c r="Q20" s="33" t="n">
        <f>6544</f>
        <v>6544.0</v>
      </c>
      <c r="R20" s="34" t="s">
        <v>51</v>
      </c>
      <c r="S20" s="35" t="n">
        <f>6345.73</f>
        <v>6345.73</v>
      </c>
      <c r="T20" s="32" t="n">
        <f>195380</f>
        <v>195380.0</v>
      </c>
      <c r="U20" s="32" t="n">
        <f>30</f>
        <v>30.0</v>
      </c>
      <c r="V20" s="32" t="n">
        <f>1245977650</f>
        <v>1.24597765E9</v>
      </c>
      <c r="W20" s="32" t="n">
        <f>190500</f>
        <v>190500.0</v>
      </c>
      <c r="X20" s="36" t="n">
        <f>22</f>
        <v>22.0</v>
      </c>
    </row>
    <row r="21">
      <c r="A21" s="27" t="s">
        <v>42</v>
      </c>
      <c r="B21" s="27" t="s">
        <v>102</v>
      </c>
      <c r="C21" s="27" t="s">
        <v>103</v>
      </c>
      <c r="D21" s="27" t="s">
        <v>104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28245</f>
        <v>28245.0</v>
      </c>
      <c r="L21" s="34" t="s">
        <v>48</v>
      </c>
      <c r="M21" s="33" t="n">
        <f>29625</f>
        <v>29625.0</v>
      </c>
      <c r="N21" s="34" t="s">
        <v>49</v>
      </c>
      <c r="O21" s="33" t="n">
        <f>27475</f>
        <v>27475.0</v>
      </c>
      <c r="P21" s="34" t="s">
        <v>50</v>
      </c>
      <c r="Q21" s="33" t="n">
        <f>29195</f>
        <v>29195.0</v>
      </c>
      <c r="R21" s="34" t="s">
        <v>51</v>
      </c>
      <c r="S21" s="35" t="n">
        <f>28578.64</f>
        <v>28578.64</v>
      </c>
      <c r="T21" s="32" t="n">
        <f>741276</f>
        <v>741276.0</v>
      </c>
      <c r="U21" s="32" t="n">
        <f>87643</f>
        <v>87643.0</v>
      </c>
      <c r="V21" s="32" t="n">
        <f>21199269338</f>
        <v>2.1199269338E10</v>
      </c>
      <c r="W21" s="32" t="n">
        <f>2526867078</f>
        <v>2.526867078E9</v>
      </c>
      <c r="X21" s="36" t="n">
        <f>22</f>
        <v>22.0</v>
      </c>
    </row>
    <row r="22">
      <c r="A22" s="27" t="s">
        <v>42</v>
      </c>
      <c r="B22" s="27" t="s">
        <v>105</v>
      </c>
      <c r="C22" s="27" t="s">
        <v>106</v>
      </c>
      <c r="D22" s="27" t="s">
        <v>107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28370</f>
        <v>28370.0</v>
      </c>
      <c r="L22" s="34" t="s">
        <v>48</v>
      </c>
      <c r="M22" s="33" t="n">
        <f>29755</f>
        <v>29755.0</v>
      </c>
      <c r="N22" s="34" t="s">
        <v>49</v>
      </c>
      <c r="O22" s="33" t="n">
        <f>27590</f>
        <v>27590.0</v>
      </c>
      <c r="P22" s="34" t="s">
        <v>50</v>
      </c>
      <c r="Q22" s="33" t="n">
        <f>29320</f>
        <v>29320.0</v>
      </c>
      <c r="R22" s="34" t="s">
        <v>51</v>
      </c>
      <c r="S22" s="35" t="n">
        <f>28709.77</f>
        <v>28709.77</v>
      </c>
      <c r="T22" s="32" t="n">
        <f>1097650</f>
        <v>1097650.0</v>
      </c>
      <c r="U22" s="32" t="n">
        <f>143190</f>
        <v>143190.0</v>
      </c>
      <c r="V22" s="32" t="n">
        <f>31549031035</f>
        <v>3.1549031035E10</v>
      </c>
      <c r="W22" s="32" t="n">
        <f>4147122185</f>
        <v>4.147122185E9</v>
      </c>
      <c r="X22" s="36" t="n">
        <f>22</f>
        <v>22.0</v>
      </c>
    </row>
    <row r="23">
      <c r="A23" s="27" t="s">
        <v>42</v>
      </c>
      <c r="B23" s="27" t="s">
        <v>108</v>
      </c>
      <c r="C23" s="27" t="s">
        <v>109</v>
      </c>
      <c r="D23" s="27" t="s">
        <v>110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1989</f>
        <v>1989.0</v>
      </c>
      <c r="L23" s="34" t="s">
        <v>48</v>
      </c>
      <c r="M23" s="33" t="n">
        <f>1989</f>
        <v>1989.0</v>
      </c>
      <c r="N23" s="34" t="s">
        <v>48</v>
      </c>
      <c r="O23" s="33" t="n">
        <f>1881</f>
        <v>1881.0</v>
      </c>
      <c r="P23" s="34" t="s">
        <v>62</v>
      </c>
      <c r="Q23" s="33" t="n">
        <f>1925</f>
        <v>1925.0</v>
      </c>
      <c r="R23" s="34" t="s">
        <v>51</v>
      </c>
      <c r="S23" s="35" t="n">
        <f>1935.89</f>
        <v>1935.89</v>
      </c>
      <c r="T23" s="32" t="n">
        <f>19277890</f>
        <v>1.927789E7</v>
      </c>
      <c r="U23" s="32" t="n">
        <f>1540560</f>
        <v>1540560.0</v>
      </c>
      <c r="V23" s="32" t="n">
        <f>37120438446</f>
        <v>3.7120438446E10</v>
      </c>
      <c r="W23" s="32" t="n">
        <f>2978645371</f>
        <v>2.978645371E9</v>
      </c>
      <c r="X23" s="36" t="n">
        <f>22</f>
        <v>22.0</v>
      </c>
    </row>
    <row r="24">
      <c r="A24" s="27" t="s">
        <v>42</v>
      </c>
      <c r="B24" s="27" t="s">
        <v>111</v>
      </c>
      <c r="C24" s="27" t="s">
        <v>112</v>
      </c>
      <c r="D24" s="27" t="s">
        <v>113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100.0</v>
      </c>
      <c r="K24" s="33" t="n">
        <f>1883.5</f>
        <v>1883.5</v>
      </c>
      <c r="L24" s="34" t="s">
        <v>48</v>
      </c>
      <c r="M24" s="33" t="n">
        <f>1883.5</f>
        <v>1883.5</v>
      </c>
      <c r="N24" s="34" t="s">
        <v>48</v>
      </c>
      <c r="O24" s="33" t="n">
        <f>1764</f>
        <v>1764.0</v>
      </c>
      <c r="P24" s="34" t="s">
        <v>62</v>
      </c>
      <c r="Q24" s="33" t="n">
        <f>1805.5</f>
        <v>1805.5</v>
      </c>
      <c r="R24" s="34" t="s">
        <v>51</v>
      </c>
      <c r="S24" s="35" t="n">
        <f>1818.73</f>
        <v>1818.73</v>
      </c>
      <c r="T24" s="32" t="n">
        <f>1793200</f>
        <v>1793200.0</v>
      </c>
      <c r="U24" s="32" t="n">
        <f>212500</f>
        <v>212500.0</v>
      </c>
      <c r="V24" s="32" t="n">
        <f>3259083462</f>
        <v>3.259083462E9</v>
      </c>
      <c r="W24" s="32" t="n">
        <f>388112362</f>
        <v>3.88112362E8</v>
      </c>
      <c r="X24" s="36" t="n">
        <f>22</f>
        <v>22.0</v>
      </c>
    </row>
    <row r="25">
      <c r="A25" s="27" t="s">
        <v>42</v>
      </c>
      <c r="B25" s="27" t="s">
        <v>114</v>
      </c>
      <c r="C25" s="27" t="s">
        <v>115</v>
      </c>
      <c r="D25" s="27" t="s">
        <v>116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28180</f>
        <v>28180.0</v>
      </c>
      <c r="L25" s="34" t="s">
        <v>48</v>
      </c>
      <c r="M25" s="33" t="n">
        <f>29570</f>
        <v>29570.0</v>
      </c>
      <c r="N25" s="34" t="s">
        <v>49</v>
      </c>
      <c r="O25" s="33" t="n">
        <f>27425</f>
        <v>27425.0</v>
      </c>
      <c r="P25" s="34" t="s">
        <v>50</v>
      </c>
      <c r="Q25" s="33" t="n">
        <f>29150</f>
        <v>29150.0</v>
      </c>
      <c r="R25" s="34" t="s">
        <v>51</v>
      </c>
      <c r="S25" s="35" t="n">
        <f>28529.55</f>
        <v>28529.55</v>
      </c>
      <c r="T25" s="32" t="n">
        <f>675491</f>
        <v>675491.0</v>
      </c>
      <c r="U25" s="32" t="n">
        <f>96998</f>
        <v>96998.0</v>
      </c>
      <c r="V25" s="32" t="n">
        <f>19263838238</f>
        <v>1.9263838238E10</v>
      </c>
      <c r="W25" s="32" t="n">
        <f>2793361578</f>
        <v>2.793361578E9</v>
      </c>
      <c r="X25" s="36" t="n">
        <f>22</f>
        <v>22.0</v>
      </c>
    </row>
    <row r="26">
      <c r="A26" s="27" t="s">
        <v>42</v>
      </c>
      <c r="B26" s="27" t="s">
        <v>117</v>
      </c>
      <c r="C26" s="27" t="s">
        <v>118</v>
      </c>
      <c r="D26" s="27" t="s">
        <v>119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2055</f>
        <v>2055.0</v>
      </c>
      <c r="L26" s="34" t="s">
        <v>48</v>
      </c>
      <c r="M26" s="33" t="n">
        <f>2139.5</f>
        <v>2139.5</v>
      </c>
      <c r="N26" s="34" t="s">
        <v>49</v>
      </c>
      <c r="O26" s="33" t="n">
        <f>1972</f>
        <v>1972.0</v>
      </c>
      <c r="P26" s="34" t="s">
        <v>50</v>
      </c>
      <c r="Q26" s="33" t="n">
        <f>2094.5</f>
        <v>2094.5</v>
      </c>
      <c r="R26" s="34" t="s">
        <v>51</v>
      </c>
      <c r="S26" s="35" t="n">
        <f>2056.2</f>
        <v>2056.2</v>
      </c>
      <c r="T26" s="32" t="n">
        <f>7649410</f>
        <v>7649410.0</v>
      </c>
      <c r="U26" s="32" t="n">
        <f>4593770</f>
        <v>4593770.0</v>
      </c>
      <c r="V26" s="32" t="n">
        <f>15762919867</f>
        <v>1.5762919867E10</v>
      </c>
      <c r="W26" s="32" t="n">
        <f>9503966527</f>
        <v>9.503966527E9</v>
      </c>
      <c r="X26" s="36" t="n">
        <f>22</f>
        <v>22.0</v>
      </c>
    </row>
    <row r="27">
      <c r="A27" s="27" t="s">
        <v>42</v>
      </c>
      <c r="B27" s="27" t="s">
        <v>120</v>
      </c>
      <c r="C27" s="27" t="s">
        <v>121</v>
      </c>
      <c r="D27" s="27" t="s">
        <v>122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14385</f>
        <v>14385.0</v>
      </c>
      <c r="L27" s="34" t="s">
        <v>48</v>
      </c>
      <c r="M27" s="33" t="n">
        <f>14680</f>
        <v>14680.0</v>
      </c>
      <c r="N27" s="34" t="s">
        <v>62</v>
      </c>
      <c r="O27" s="33" t="n">
        <f>14260</f>
        <v>14260.0</v>
      </c>
      <c r="P27" s="34" t="s">
        <v>123</v>
      </c>
      <c r="Q27" s="33" t="n">
        <f>14590</f>
        <v>14590.0</v>
      </c>
      <c r="R27" s="34" t="s">
        <v>51</v>
      </c>
      <c r="S27" s="35" t="n">
        <f>14536.32</f>
        <v>14536.32</v>
      </c>
      <c r="T27" s="32" t="n">
        <f>438</f>
        <v>438.0</v>
      </c>
      <c r="U27" s="32" t="str">
        <f>"－"</f>
        <v>－</v>
      </c>
      <c r="V27" s="32" t="n">
        <f>6349825</f>
        <v>6349825.0</v>
      </c>
      <c r="W27" s="32" t="str">
        <f>"－"</f>
        <v>－</v>
      </c>
      <c r="X27" s="36" t="n">
        <f>19</f>
        <v>19.0</v>
      </c>
    </row>
    <row r="28">
      <c r="A28" s="27" t="s">
        <v>42</v>
      </c>
      <c r="B28" s="27" t="s">
        <v>124</v>
      </c>
      <c r="C28" s="27" t="s">
        <v>125</v>
      </c>
      <c r="D28" s="27" t="s">
        <v>126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859.3</f>
        <v>859.3</v>
      </c>
      <c r="L28" s="34" t="s">
        <v>48</v>
      </c>
      <c r="M28" s="33" t="n">
        <f>926</f>
        <v>926.0</v>
      </c>
      <c r="N28" s="34" t="s">
        <v>50</v>
      </c>
      <c r="O28" s="33" t="n">
        <f>790.5</f>
        <v>790.5</v>
      </c>
      <c r="P28" s="34" t="s">
        <v>49</v>
      </c>
      <c r="Q28" s="33" t="n">
        <f>816.6</f>
        <v>816.6</v>
      </c>
      <c r="R28" s="34" t="s">
        <v>51</v>
      </c>
      <c r="S28" s="35" t="n">
        <f>853.86</f>
        <v>853.86</v>
      </c>
      <c r="T28" s="32" t="n">
        <f>14529100</f>
        <v>1.45291E7</v>
      </c>
      <c r="U28" s="32" t="str">
        <f>"－"</f>
        <v>－</v>
      </c>
      <c r="V28" s="32" t="n">
        <f>12548426421</f>
        <v>1.2548426421E10</v>
      </c>
      <c r="W28" s="32" t="str">
        <f>"－"</f>
        <v>－</v>
      </c>
      <c r="X28" s="36" t="n">
        <f>22</f>
        <v>22.0</v>
      </c>
    </row>
    <row r="29">
      <c r="A29" s="27" t="s">
        <v>42</v>
      </c>
      <c r="B29" s="27" t="s">
        <v>127</v>
      </c>
      <c r="C29" s="27" t="s">
        <v>128</v>
      </c>
      <c r="D29" s="27" t="s">
        <v>129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351</f>
        <v>351.0</v>
      </c>
      <c r="L29" s="34" t="s">
        <v>48</v>
      </c>
      <c r="M29" s="33" t="n">
        <f>369</f>
        <v>369.0</v>
      </c>
      <c r="N29" s="34" t="s">
        <v>50</v>
      </c>
      <c r="O29" s="33" t="n">
        <f>317</f>
        <v>317.0</v>
      </c>
      <c r="P29" s="34" t="s">
        <v>49</v>
      </c>
      <c r="Q29" s="33" t="n">
        <f>325</f>
        <v>325.0</v>
      </c>
      <c r="R29" s="34" t="s">
        <v>51</v>
      </c>
      <c r="S29" s="35" t="n">
        <f>341</f>
        <v>341.0</v>
      </c>
      <c r="T29" s="32" t="n">
        <f>1716626585</f>
        <v>1.716626585E9</v>
      </c>
      <c r="U29" s="32" t="n">
        <f>4401791</f>
        <v>4401791.0</v>
      </c>
      <c r="V29" s="32" t="n">
        <f>586648806553</f>
        <v>5.86648806553E11</v>
      </c>
      <c r="W29" s="32" t="n">
        <f>1505814952</f>
        <v>1.505814952E9</v>
      </c>
      <c r="X29" s="36" t="n">
        <f>22</f>
        <v>22.0</v>
      </c>
    </row>
    <row r="30">
      <c r="A30" s="27" t="s">
        <v>42</v>
      </c>
      <c r="B30" s="27" t="s">
        <v>130</v>
      </c>
      <c r="C30" s="27" t="s">
        <v>131</v>
      </c>
      <c r="D30" s="27" t="s">
        <v>132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26015</f>
        <v>26015.0</v>
      </c>
      <c r="L30" s="34" t="s">
        <v>48</v>
      </c>
      <c r="M30" s="33" t="n">
        <f>28650</f>
        <v>28650.0</v>
      </c>
      <c r="N30" s="34" t="s">
        <v>49</v>
      </c>
      <c r="O30" s="33" t="n">
        <f>24570</f>
        <v>24570.0</v>
      </c>
      <c r="P30" s="34" t="s">
        <v>50</v>
      </c>
      <c r="Q30" s="33" t="n">
        <f>27725</f>
        <v>27725.0</v>
      </c>
      <c r="R30" s="34" t="s">
        <v>51</v>
      </c>
      <c r="S30" s="35" t="n">
        <f>26615.68</f>
        <v>26615.68</v>
      </c>
      <c r="T30" s="32" t="n">
        <f>425033</f>
        <v>425033.0</v>
      </c>
      <c r="U30" s="32" t="str">
        <f>"－"</f>
        <v>－</v>
      </c>
      <c r="V30" s="32" t="n">
        <f>11252966245</f>
        <v>1.1252966245E10</v>
      </c>
      <c r="W30" s="32" t="str">
        <f>"－"</f>
        <v>－</v>
      </c>
      <c r="X30" s="36" t="n">
        <f>22</f>
        <v>22.0</v>
      </c>
    </row>
    <row r="31">
      <c r="A31" s="27" t="s">
        <v>42</v>
      </c>
      <c r="B31" s="27" t="s">
        <v>133</v>
      </c>
      <c r="C31" s="27" t="s">
        <v>134</v>
      </c>
      <c r="D31" s="27" t="s">
        <v>135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10.0</v>
      </c>
      <c r="K31" s="33" t="n">
        <f>856.6</f>
        <v>856.6</v>
      </c>
      <c r="L31" s="34" t="s">
        <v>48</v>
      </c>
      <c r="M31" s="33" t="n">
        <f>900.9</f>
        <v>900.9</v>
      </c>
      <c r="N31" s="34" t="s">
        <v>50</v>
      </c>
      <c r="O31" s="33" t="n">
        <f>776.7</f>
        <v>776.7</v>
      </c>
      <c r="P31" s="34" t="s">
        <v>49</v>
      </c>
      <c r="Q31" s="33" t="n">
        <f>794.7</f>
        <v>794.7</v>
      </c>
      <c r="R31" s="34" t="s">
        <v>51</v>
      </c>
      <c r="S31" s="35" t="n">
        <f>833.62</f>
        <v>833.62</v>
      </c>
      <c r="T31" s="32" t="n">
        <f>293434020</f>
        <v>2.9343402E8</v>
      </c>
      <c r="U31" s="32" t="n">
        <f>146490</f>
        <v>146490.0</v>
      </c>
      <c r="V31" s="32" t="n">
        <f>246911986074</f>
        <v>2.46911986074E11</v>
      </c>
      <c r="W31" s="32" t="n">
        <f>125296336</f>
        <v>1.25296336E8</v>
      </c>
      <c r="X31" s="36" t="n">
        <f>22</f>
        <v>22.0</v>
      </c>
    </row>
    <row r="32">
      <c r="A32" s="27" t="s">
        <v>42</v>
      </c>
      <c r="B32" s="27" t="s">
        <v>136</v>
      </c>
      <c r="C32" s="27" t="s">
        <v>137</v>
      </c>
      <c r="D32" s="27" t="s">
        <v>138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18210</f>
        <v>18210.0</v>
      </c>
      <c r="L32" s="34" t="s">
        <v>48</v>
      </c>
      <c r="M32" s="33" t="n">
        <f>19000</f>
        <v>19000.0</v>
      </c>
      <c r="N32" s="34" t="s">
        <v>49</v>
      </c>
      <c r="O32" s="33" t="n">
        <f>17520</f>
        <v>17520.0</v>
      </c>
      <c r="P32" s="34" t="s">
        <v>50</v>
      </c>
      <c r="Q32" s="33" t="n">
        <f>18585</f>
        <v>18585.0</v>
      </c>
      <c r="R32" s="34" t="s">
        <v>51</v>
      </c>
      <c r="S32" s="35" t="n">
        <f>18276.36</f>
        <v>18276.36</v>
      </c>
      <c r="T32" s="32" t="n">
        <f>37067</f>
        <v>37067.0</v>
      </c>
      <c r="U32" s="32" t="n">
        <f>30052</f>
        <v>30052.0</v>
      </c>
      <c r="V32" s="32" t="n">
        <f>691940810</f>
        <v>6.9194081E8</v>
      </c>
      <c r="W32" s="32" t="n">
        <f>562813170</f>
        <v>5.6281317E8</v>
      </c>
      <c r="X32" s="36" t="n">
        <f>22</f>
        <v>22.0</v>
      </c>
    </row>
    <row r="33">
      <c r="A33" s="27" t="s">
        <v>42</v>
      </c>
      <c r="B33" s="27" t="s">
        <v>139</v>
      </c>
      <c r="C33" s="27" t="s">
        <v>140</v>
      </c>
      <c r="D33" s="27" t="s">
        <v>141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21660</f>
        <v>21660.0</v>
      </c>
      <c r="L33" s="34" t="s">
        <v>48</v>
      </c>
      <c r="M33" s="33" t="n">
        <f>23830</f>
        <v>23830.0</v>
      </c>
      <c r="N33" s="34" t="s">
        <v>49</v>
      </c>
      <c r="O33" s="33" t="n">
        <f>20415</f>
        <v>20415.0</v>
      </c>
      <c r="P33" s="34" t="s">
        <v>50</v>
      </c>
      <c r="Q33" s="33" t="n">
        <f>23065</f>
        <v>23065.0</v>
      </c>
      <c r="R33" s="34" t="s">
        <v>51</v>
      </c>
      <c r="S33" s="35" t="n">
        <f>22140.23</f>
        <v>22140.23</v>
      </c>
      <c r="T33" s="32" t="n">
        <f>681987</f>
        <v>681987.0</v>
      </c>
      <c r="U33" s="32" t="str">
        <f>"－"</f>
        <v>－</v>
      </c>
      <c r="V33" s="32" t="n">
        <f>15024980360</f>
        <v>1.502498036E10</v>
      </c>
      <c r="W33" s="32" t="str">
        <f>"－"</f>
        <v>－</v>
      </c>
      <c r="X33" s="36" t="n">
        <f>22</f>
        <v>22.0</v>
      </c>
    </row>
    <row r="34">
      <c r="A34" s="27" t="s">
        <v>42</v>
      </c>
      <c r="B34" s="27" t="s">
        <v>142</v>
      </c>
      <c r="C34" s="27" t="s">
        <v>143</v>
      </c>
      <c r="D34" s="27" t="s">
        <v>144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913</f>
        <v>913.0</v>
      </c>
      <c r="L34" s="34" t="s">
        <v>48</v>
      </c>
      <c r="M34" s="33" t="n">
        <f>960</f>
        <v>960.0</v>
      </c>
      <c r="N34" s="34" t="s">
        <v>50</v>
      </c>
      <c r="O34" s="33" t="n">
        <f>827</f>
        <v>827.0</v>
      </c>
      <c r="P34" s="34" t="s">
        <v>49</v>
      </c>
      <c r="Q34" s="33" t="n">
        <f>846</f>
        <v>846.0</v>
      </c>
      <c r="R34" s="34" t="s">
        <v>51</v>
      </c>
      <c r="S34" s="35" t="n">
        <f>888</f>
        <v>888.0</v>
      </c>
      <c r="T34" s="32" t="n">
        <f>20401308</f>
        <v>2.0401308E7</v>
      </c>
      <c r="U34" s="32" t="n">
        <f>700</f>
        <v>700.0</v>
      </c>
      <c r="V34" s="32" t="n">
        <f>18202335022</f>
        <v>1.8202335022E10</v>
      </c>
      <c r="W34" s="32" t="n">
        <f>611960</f>
        <v>611960.0</v>
      </c>
      <c r="X34" s="36" t="n">
        <f>22</f>
        <v>22.0</v>
      </c>
    </row>
    <row r="35">
      <c r="A35" s="27" t="s">
        <v>42</v>
      </c>
      <c r="B35" s="27" t="s">
        <v>145</v>
      </c>
      <c r="C35" s="27" t="s">
        <v>146</v>
      </c>
      <c r="D35" s="27" t="s">
        <v>147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19625</f>
        <v>19625.0</v>
      </c>
      <c r="L35" s="34" t="s">
        <v>48</v>
      </c>
      <c r="M35" s="33" t="n">
        <f>21300</f>
        <v>21300.0</v>
      </c>
      <c r="N35" s="34" t="s">
        <v>49</v>
      </c>
      <c r="O35" s="33" t="n">
        <f>18000</f>
        <v>18000.0</v>
      </c>
      <c r="P35" s="34" t="s">
        <v>50</v>
      </c>
      <c r="Q35" s="33" t="n">
        <f>20350</f>
        <v>20350.0</v>
      </c>
      <c r="R35" s="34" t="s">
        <v>51</v>
      </c>
      <c r="S35" s="35" t="n">
        <f>19638.41</f>
        <v>19638.41</v>
      </c>
      <c r="T35" s="32" t="n">
        <f>331157</f>
        <v>331157.0</v>
      </c>
      <c r="U35" s="32" t="str">
        <f>"－"</f>
        <v>－</v>
      </c>
      <c r="V35" s="32" t="n">
        <f>6412944680</f>
        <v>6.41294468E9</v>
      </c>
      <c r="W35" s="32" t="str">
        <f>"－"</f>
        <v>－</v>
      </c>
      <c r="X35" s="36" t="n">
        <f>22</f>
        <v>22.0</v>
      </c>
    </row>
    <row r="36">
      <c r="A36" s="27" t="s">
        <v>42</v>
      </c>
      <c r="B36" s="27" t="s">
        <v>148</v>
      </c>
      <c r="C36" s="27" t="s">
        <v>149</v>
      </c>
      <c r="D36" s="27" t="s">
        <v>150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1244</f>
        <v>1244.0</v>
      </c>
      <c r="L36" s="34" t="s">
        <v>48</v>
      </c>
      <c r="M36" s="33" t="n">
        <f>1342</f>
        <v>1342.0</v>
      </c>
      <c r="N36" s="34" t="s">
        <v>50</v>
      </c>
      <c r="O36" s="33" t="n">
        <f>1145</f>
        <v>1145.0</v>
      </c>
      <c r="P36" s="34" t="s">
        <v>49</v>
      </c>
      <c r="Q36" s="33" t="n">
        <f>1183</f>
        <v>1183.0</v>
      </c>
      <c r="R36" s="34" t="s">
        <v>51</v>
      </c>
      <c r="S36" s="35" t="n">
        <f>1238.05</f>
        <v>1238.05</v>
      </c>
      <c r="T36" s="32" t="n">
        <f>1332714</f>
        <v>1332714.0</v>
      </c>
      <c r="U36" s="32" t="n">
        <f>22000</f>
        <v>22000.0</v>
      </c>
      <c r="V36" s="32" t="n">
        <f>1664327895</f>
        <v>1.664327895E9</v>
      </c>
      <c r="W36" s="32" t="n">
        <f>26989600</f>
        <v>2.69896E7</v>
      </c>
      <c r="X36" s="36" t="n">
        <f>22</f>
        <v>22.0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27380</f>
        <v>27380.0</v>
      </c>
      <c r="L37" s="34" t="s">
        <v>48</v>
      </c>
      <c r="M37" s="33" t="n">
        <f>28715</f>
        <v>28715.0</v>
      </c>
      <c r="N37" s="34" t="s">
        <v>49</v>
      </c>
      <c r="O37" s="33" t="n">
        <f>26645</f>
        <v>26645.0</v>
      </c>
      <c r="P37" s="34" t="s">
        <v>50</v>
      </c>
      <c r="Q37" s="33" t="n">
        <f>28320</f>
        <v>28320.0</v>
      </c>
      <c r="R37" s="34" t="s">
        <v>51</v>
      </c>
      <c r="S37" s="35" t="n">
        <f>27720.68</f>
        <v>27720.68</v>
      </c>
      <c r="T37" s="32" t="n">
        <f>299315</f>
        <v>299315.0</v>
      </c>
      <c r="U37" s="32" t="n">
        <f>53539</f>
        <v>53539.0</v>
      </c>
      <c r="V37" s="32" t="n">
        <f>8358551602</f>
        <v>8.358551602E9</v>
      </c>
      <c r="W37" s="32" t="n">
        <f>1516815312</f>
        <v>1.516815312E9</v>
      </c>
      <c r="X37" s="36" t="n">
        <f>22</f>
        <v>22.0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6180</f>
        <v>6180.0</v>
      </c>
      <c r="L38" s="34" t="s">
        <v>48</v>
      </c>
      <c r="M38" s="33" t="n">
        <f>6290</f>
        <v>6290.0</v>
      </c>
      <c r="N38" s="34" t="s">
        <v>66</v>
      </c>
      <c r="O38" s="33" t="n">
        <f>5730</f>
        <v>5730.0</v>
      </c>
      <c r="P38" s="34" t="s">
        <v>50</v>
      </c>
      <c r="Q38" s="33" t="n">
        <f>6230</f>
        <v>6230.0</v>
      </c>
      <c r="R38" s="34" t="s">
        <v>51</v>
      </c>
      <c r="S38" s="35" t="n">
        <f>6058.64</f>
        <v>6058.64</v>
      </c>
      <c r="T38" s="32" t="n">
        <f>4603</f>
        <v>4603.0</v>
      </c>
      <c r="U38" s="32" t="str">
        <f>"－"</f>
        <v>－</v>
      </c>
      <c r="V38" s="32" t="n">
        <f>27749070</f>
        <v>2.774907E7</v>
      </c>
      <c r="W38" s="32" t="str">
        <f>"－"</f>
        <v>－</v>
      </c>
      <c r="X38" s="36" t="n">
        <f>22</f>
        <v>22.0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10895</f>
        <v>10895.0</v>
      </c>
      <c r="L39" s="34" t="s">
        <v>48</v>
      </c>
      <c r="M39" s="33" t="n">
        <f>10990</f>
        <v>10990.0</v>
      </c>
      <c r="N39" s="34" t="s">
        <v>48</v>
      </c>
      <c r="O39" s="33" t="n">
        <f>10170</f>
        <v>10170.0</v>
      </c>
      <c r="P39" s="34" t="s">
        <v>62</v>
      </c>
      <c r="Q39" s="33" t="n">
        <f>10795</f>
        <v>10795.0</v>
      </c>
      <c r="R39" s="34" t="s">
        <v>51</v>
      </c>
      <c r="S39" s="35" t="n">
        <f>10613.33</f>
        <v>10613.33</v>
      </c>
      <c r="T39" s="32" t="n">
        <f>1184</f>
        <v>1184.0</v>
      </c>
      <c r="U39" s="32" t="str">
        <f>"－"</f>
        <v>－</v>
      </c>
      <c r="V39" s="32" t="n">
        <f>12568215</f>
        <v>1.2568215E7</v>
      </c>
      <c r="W39" s="32" t="str">
        <f>"－"</f>
        <v>－</v>
      </c>
      <c r="X39" s="36" t="n">
        <f>21</f>
        <v>21.0</v>
      </c>
    </row>
    <row r="40">
      <c r="A40" s="27" t="s">
        <v>42</v>
      </c>
      <c r="B40" s="27" t="s">
        <v>160</v>
      </c>
      <c r="C40" s="27" t="s">
        <v>161</v>
      </c>
      <c r="D40" s="27" t="s">
        <v>162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21080</f>
        <v>21080.0</v>
      </c>
      <c r="L40" s="34" t="s">
        <v>61</v>
      </c>
      <c r="M40" s="33" t="n">
        <f>21210</f>
        <v>21210.0</v>
      </c>
      <c r="N40" s="34" t="s">
        <v>163</v>
      </c>
      <c r="O40" s="33" t="n">
        <f>19525</f>
        <v>19525.0</v>
      </c>
      <c r="P40" s="34" t="s">
        <v>50</v>
      </c>
      <c r="Q40" s="33" t="n">
        <f>19920</f>
        <v>19920.0</v>
      </c>
      <c r="R40" s="34" t="s">
        <v>164</v>
      </c>
      <c r="S40" s="35" t="n">
        <f>20358.57</f>
        <v>20358.57</v>
      </c>
      <c r="T40" s="32" t="n">
        <f>59</f>
        <v>59.0</v>
      </c>
      <c r="U40" s="32" t="str">
        <f>"－"</f>
        <v>－</v>
      </c>
      <c r="V40" s="32" t="n">
        <f>1167980</f>
        <v>1167980.0</v>
      </c>
      <c r="W40" s="32" t="str">
        <f>"－"</f>
        <v>－</v>
      </c>
      <c r="X40" s="36" t="n">
        <f>7</f>
        <v>7.0</v>
      </c>
    </row>
    <row r="41">
      <c r="A41" s="27" t="s">
        <v>42</v>
      </c>
      <c r="B41" s="27" t="s">
        <v>165</v>
      </c>
      <c r="C41" s="27" t="s">
        <v>166</v>
      </c>
      <c r="D41" s="27" t="s">
        <v>167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17255</f>
        <v>17255.0</v>
      </c>
      <c r="L41" s="34" t="s">
        <v>61</v>
      </c>
      <c r="M41" s="33" t="n">
        <f>17795</f>
        <v>17795.0</v>
      </c>
      <c r="N41" s="34" t="s">
        <v>49</v>
      </c>
      <c r="O41" s="33" t="n">
        <f>15290</f>
        <v>15290.0</v>
      </c>
      <c r="P41" s="34" t="s">
        <v>168</v>
      </c>
      <c r="Q41" s="33" t="n">
        <f>15890</f>
        <v>15890.0</v>
      </c>
      <c r="R41" s="34" t="s">
        <v>164</v>
      </c>
      <c r="S41" s="35" t="n">
        <f>16559.38</f>
        <v>16559.38</v>
      </c>
      <c r="T41" s="32" t="n">
        <f>26</f>
        <v>26.0</v>
      </c>
      <c r="U41" s="32" t="str">
        <f>"－"</f>
        <v>－</v>
      </c>
      <c r="V41" s="32" t="n">
        <f>430510</f>
        <v>430510.0</v>
      </c>
      <c r="W41" s="32" t="str">
        <f>"－"</f>
        <v>－</v>
      </c>
      <c r="X41" s="36" t="n">
        <f>8</f>
        <v>8.0</v>
      </c>
    </row>
    <row r="42">
      <c r="A42" s="27" t="s">
        <v>42</v>
      </c>
      <c r="B42" s="27" t="s">
        <v>169</v>
      </c>
      <c r="C42" s="27" t="s">
        <v>170</v>
      </c>
      <c r="D42" s="27" t="s">
        <v>171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11760</f>
        <v>11760.0</v>
      </c>
      <c r="L42" s="34" t="s">
        <v>48</v>
      </c>
      <c r="M42" s="33" t="n">
        <f>11925</f>
        <v>11925.0</v>
      </c>
      <c r="N42" s="34" t="s">
        <v>61</v>
      </c>
      <c r="O42" s="33" t="n">
        <f>10870</f>
        <v>10870.0</v>
      </c>
      <c r="P42" s="34" t="s">
        <v>168</v>
      </c>
      <c r="Q42" s="33" t="n">
        <f>11785</f>
        <v>11785.0</v>
      </c>
      <c r="R42" s="34" t="s">
        <v>51</v>
      </c>
      <c r="S42" s="35" t="n">
        <f>11471.14</f>
        <v>11471.14</v>
      </c>
      <c r="T42" s="32" t="n">
        <f>985</f>
        <v>985.0</v>
      </c>
      <c r="U42" s="32" t="str">
        <f>"－"</f>
        <v>－</v>
      </c>
      <c r="V42" s="32" t="n">
        <f>11024005</f>
        <v>1.1024005E7</v>
      </c>
      <c r="W42" s="32" t="str">
        <f>"－"</f>
        <v>－</v>
      </c>
      <c r="X42" s="36" t="n">
        <f>22</f>
        <v>22.0</v>
      </c>
    </row>
    <row r="43">
      <c r="A43" s="27" t="s">
        <v>42</v>
      </c>
      <c r="B43" s="27" t="s">
        <v>172</v>
      </c>
      <c r="C43" s="27" t="s">
        <v>173</v>
      </c>
      <c r="D43" s="27" t="s">
        <v>174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5820</f>
        <v>5820.0</v>
      </c>
      <c r="L43" s="34" t="s">
        <v>48</v>
      </c>
      <c r="M43" s="33" t="n">
        <f>5940</f>
        <v>5940.0</v>
      </c>
      <c r="N43" s="34" t="s">
        <v>61</v>
      </c>
      <c r="O43" s="33" t="n">
        <f>5420</f>
        <v>5420.0</v>
      </c>
      <c r="P43" s="34" t="s">
        <v>50</v>
      </c>
      <c r="Q43" s="33" t="n">
        <f>5760</f>
        <v>5760.0</v>
      </c>
      <c r="R43" s="34" t="s">
        <v>51</v>
      </c>
      <c r="S43" s="35" t="n">
        <f>5680</f>
        <v>5680.0</v>
      </c>
      <c r="T43" s="32" t="n">
        <f>4131</f>
        <v>4131.0</v>
      </c>
      <c r="U43" s="32" t="str">
        <f>"－"</f>
        <v>－</v>
      </c>
      <c r="V43" s="32" t="n">
        <f>23352980</f>
        <v>2.335298E7</v>
      </c>
      <c r="W43" s="32" t="str">
        <f>"－"</f>
        <v>－</v>
      </c>
      <c r="X43" s="36" t="n">
        <f>22</f>
        <v>22.0</v>
      </c>
    </row>
    <row r="44">
      <c r="A44" s="27" t="s">
        <v>42</v>
      </c>
      <c r="B44" s="27" t="s">
        <v>175</v>
      </c>
      <c r="C44" s="27" t="s">
        <v>176</v>
      </c>
      <c r="D44" s="27" t="s">
        <v>177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3115</f>
        <v>3115.0</v>
      </c>
      <c r="L44" s="34" t="s">
        <v>48</v>
      </c>
      <c r="M44" s="33" t="n">
        <f>3115</f>
        <v>3115.0</v>
      </c>
      <c r="N44" s="34" t="s">
        <v>48</v>
      </c>
      <c r="O44" s="33" t="n">
        <f>2898</f>
        <v>2898.0</v>
      </c>
      <c r="P44" s="34" t="s">
        <v>62</v>
      </c>
      <c r="Q44" s="33" t="n">
        <f>3075</f>
        <v>3075.0</v>
      </c>
      <c r="R44" s="34" t="s">
        <v>51</v>
      </c>
      <c r="S44" s="35" t="n">
        <f>3011.05</f>
        <v>3011.05</v>
      </c>
      <c r="T44" s="32" t="n">
        <f>3136</f>
        <v>3136.0</v>
      </c>
      <c r="U44" s="32" t="str">
        <f>"－"</f>
        <v>－</v>
      </c>
      <c r="V44" s="32" t="n">
        <f>9388594</f>
        <v>9388594.0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178</v>
      </c>
      <c r="C45" s="27" t="s">
        <v>179</v>
      </c>
      <c r="D45" s="27" t="s">
        <v>180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3215</f>
        <v>3215.0</v>
      </c>
      <c r="L45" s="34" t="s">
        <v>48</v>
      </c>
      <c r="M45" s="33" t="n">
        <f>3270</f>
        <v>3270.0</v>
      </c>
      <c r="N45" s="34" t="s">
        <v>66</v>
      </c>
      <c r="O45" s="33" t="n">
        <f>2966</f>
        <v>2966.0</v>
      </c>
      <c r="P45" s="34" t="s">
        <v>123</v>
      </c>
      <c r="Q45" s="33" t="n">
        <f>3145</f>
        <v>3145.0</v>
      </c>
      <c r="R45" s="34" t="s">
        <v>51</v>
      </c>
      <c r="S45" s="35" t="n">
        <f>3142.9</f>
        <v>3142.9</v>
      </c>
      <c r="T45" s="32" t="n">
        <f>1236</f>
        <v>1236.0</v>
      </c>
      <c r="U45" s="32" t="str">
        <f>"－"</f>
        <v>－</v>
      </c>
      <c r="V45" s="32" t="n">
        <f>3852423</f>
        <v>3852423.0</v>
      </c>
      <c r="W45" s="32" t="str">
        <f>"－"</f>
        <v>－</v>
      </c>
      <c r="X45" s="36" t="n">
        <f>21</f>
        <v>21.0</v>
      </c>
    </row>
    <row r="46">
      <c r="A46" s="27" t="s">
        <v>42</v>
      </c>
      <c r="B46" s="27" t="s">
        <v>181</v>
      </c>
      <c r="C46" s="27" t="s">
        <v>182</v>
      </c>
      <c r="D46" s="27" t="s">
        <v>183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52250</f>
        <v>52250.0</v>
      </c>
      <c r="L46" s="34" t="s">
        <v>48</v>
      </c>
      <c r="M46" s="33" t="n">
        <f>53490</f>
        <v>53490.0</v>
      </c>
      <c r="N46" s="34" t="s">
        <v>61</v>
      </c>
      <c r="O46" s="33" t="n">
        <f>50000</f>
        <v>50000.0</v>
      </c>
      <c r="P46" s="34" t="s">
        <v>62</v>
      </c>
      <c r="Q46" s="33" t="n">
        <f>52250</f>
        <v>52250.0</v>
      </c>
      <c r="R46" s="34" t="s">
        <v>51</v>
      </c>
      <c r="S46" s="35" t="n">
        <f>51542.38</f>
        <v>51542.38</v>
      </c>
      <c r="T46" s="32" t="n">
        <f>789</f>
        <v>789.0</v>
      </c>
      <c r="U46" s="32" t="str">
        <f>"－"</f>
        <v>－</v>
      </c>
      <c r="V46" s="32" t="n">
        <f>40427620</f>
        <v>4.042762E7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184</v>
      </c>
      <c r="C47" s="27" t="s">
        <v>185</v>
      </c>
      <c r="D47" s="27" t="s">
        <v>186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37770</f>
        <v>37770.0</v>
      </c>
      <c r="L47" s="34" t="s">
        <v>48</v>
      </c>
      <c r="M47" s="33" t="n">
        <f>38560</f>
        <v>38560.0</v>
      </c>
      <c r="N47" s="34" t="s">
        <v>49</v>
      </c>
      <c r="O47" s="33" t="n">
        <f>35680</f>
        <v>35680.0</v>
      </c>
      <c r="P47" s="34" t="s">
        <v>187</v>
      </c>
      <c r="Q47" s="33" t="n">
        <f>36000</f>
        <v>36000.0</v>
      </c>
      <c r="R47" s="34" t="s">
        <v>164</v>
      </c>
      <c r="S47" s="35" t="n">
        <f>37133</f>
        <v>37133.0</v>
      </c>
      <c r="T47" s="32" t="n">
        <f>97</f>
        <v>97.0</v>
      </c>
      <c r="U47" s="32" t="n">
        <f>1</f>
        <v>1.0</v>
      </c>
      <c r="V47" s="32" t="n">
        <f>3584100</f>
        <v>3584100.0</v>
      </c>
      <c r="W47" s="32" t="n">
        <f>36410</f>
        <v>36410.0</v>
      </c>
      <c r="X47" s="36" t="n">
        <f>10</f>
        <v>10.0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27670</f>
        <v>27670.0</v>
      </c>
      <c r="L48" s="34" t="s">
        <v>48</v>
      </c>
      <c r="M48" s="33" t="n">
        <f>29000</f>
        <v>29000.0</v>
      </c>
      <c r="N48" s="34" t="s">
        <v>49</v>
      </c>
      <c r="O48" s="33" t="n">
        <f>26935</f>
        <v>26935.0</v>
      </c>
      <c r="P48" s="34" t="s">
        <v>50</v>
      </c>
      <c r="Q48" s="33" t="n">
        <f>28605</f>
        <v>28605.0</v>
      </c>
      <c r="R48" s="34" t="s">
        <v>51</v>
      </c>
      <c r="S48" s="35" t="n">
        <f>27975.23</f>
        <v>27975.23</v>
      </c>
      <c r="T48" s="32" t="n">
        <f>174456</f>
        <v>174456.0</v>
      </c>
      <c r="U48" s="32" t="n">
        <f>61700</f>
        <v>61700.0</v>
      </c>
      <c r="V48" s="32" t="n">
        <f>4898082745</f>
        <v>4.898082745E9</v>
      </c>
      <c r="W48" s="32" t="n">
        <f>1742076900</f>
        <v>1.7420769E9</v>
      </c>
      <c r="X48" s="36" t="n">
        <f>22</f>
        <v>22.0</v>
      </c>
    </row>
    <row r="49">
      <c r="A49" s="27" t="s">
        <v>42</v>
      </c>
      <c r="B49" s="27" t="s">
        <v>191</v>
      </c>
      <c r="C49" s="27" t="s">
        <v>192</v>
      </c>
      <c r="D49" s="27" t="s">
        <v>193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1906</f>
        <v>1906.0</v>
      </c>
      <c r="L49" s="34" t="s">
        <v>48</v>
      </c>
      <c r="M49" s="33" t="n">
        <f>1906</f>
        <v>1906.0</v>
      </c>
      <c r="N49" s="34" t="s">
        <v>48</v>
      </c>
      <c r="O49" s="33" t="n">
        <f>1784.5</f>
        <v>1784.5</v>
      </c>
      <c r="P49" s="34" t="s">
        <v>62</v>
      </c>
      <c r="Q49" s="33" t="n">
        <f>1822.5</f>
        <v>1822.5</v>
      </c>
      <c r="R49" s="34" t="s">
        <v>51</v>
      </c>
      <c r="S49" s="35" t="n">
        <f>1836.68</f>
        <v>1836.68</v>
      </c>
      <c r="T49" s="32" t="n">
        <f>3303970</f>
        <v>3303970.0</v>
      </c>
      <c r="U49" s="32" t="n">
        <f>590020</f>
        <v>590020.0</v>
      </c>
      <c r="V49" s="32" t="n">
        <f>6013940940</f>
        <v>6.01394094E9</v>
      </c>
      <c r="W49" s="32" t="n">
        <f>1055606450</f>
        <v>1.05560645E9</v>
      </c>
      <c r="X49" s="36" t="n">
        <f>22</f>
        <v>22.0</v>
      </c>
    </row>
    <row r="50">
      <c r="A50" s="27" t="s">
        <v>42</v>
      </c>
      <c r="B50" s="27" t="s">
        <v>194</v>
      </c>
      <c r="C50" s="27" t="s">
        <v>195</v>
      </c>
      <c r="D50" s="27" t="s">
        <v>196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1655</f>
        <v>1655.0</v>
      </c>
      <c r="L50" s="34" t="s">
        <v>48</v>
      </c>
      <c r="M50" s="33" t="n">
        <f>1706</f>
        <v>1706.0</v>
      </c>
      <c r="N50" s="34" t="s">
        <v>49</v>
      </c>
      <c r="O50" s="33" t="n">
        <f>1615</f>
        <v>1615.0</v>
      </c>
      <c r="P50" s="34" t="s">
        <v>50</v>
      </c>
      <c r="Q50" s="33" t="n">
        <f>1678</f>
        <v>1678.0</v>
      </c>
      <c r="R50" s="34" t="s">
        <v>51</v>
      </c>
      <c r="S50" s="35" t="n">
        <f>1656.14</f>
        <v>1656.14</v>
      </c>
      <c r="T50" s="32" t="n">
        <f>618290</f>
        <v>618290.0</v>
      </c>
      <c r="U50" s="32" t="n">
        <f>614930</f>
        <v>614930.0</v>
      </c>
      <c r="V50" s="32" t="n">
        <f>1005569621</f>
        <v>1.005569621E9</v>
      </c>
      <c r="W50" s="32" t="n">
        <f>999999166</f>
        <v>9.99999166E8</v>
      </c>
      <c r="X50" s="36" t="n">
        <f>18</f>
        <v>18.0</v>
      </c>
    </row>
    <row r="51">
      <c r="A51" s="27" t="s">
        <v>42</v>
      </c>
      <c r="B51" s="27" t="s">
        <v>197</v>
      </c>
      <c r="C51" s="27" t="s">
        <v>198</v>
      </c>
      <c r="D51" s="27" t="s">
        <v>199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4090</f>
        <v>4090.0</v>
      </c>
      <c r="L51" s="34" t="s">
        <v>48</v>
      </c>
      <c r="M51" s="33" t="n">
        <f>4200</f>
        <v>4200.0</v>
      </c>
      <c r="N51" s="34" t="s">
        <v>50</v>
      </c>
      <c r="O51" s="33" t="n">
        <f>3900</f>
        <v>3900.0</v>
      </c>
      <c r="P51" s="34" t="s">
        <v>49</v>
      </c>
      <c r="Q51" s="33" t="n">
        <f>3945</f>
        <v>3945.0</v>
      </c>
      <c r="R51" s="34" t="s">
        <v>51</v>
      </c>
      <c r="S51" s="35" t="n">
        <f>4041.36</f>
        <v>4041.36</v>
      </c>
      <c r="T51" s="32" t="n">
        <f>2596355</f>
        <v>2596355.0</v>
      </c>
      <c r="U51" s="32" t="n">
        <f>1989895</f>
        <v>1989895.0</v>
      </c>
      <c r="V51" s="32" t="n">
        <f>10468905962</f>
        <v>1.0468905962E10</v>
      </c>
      <c r="W51" s="32" t="n">
        <f>8033917062</f>
        <v>8.033917062E9</v>
      </c>
      <c r="X51" s="36" t="n">
        <f>22</f>
        <v>22.0</v>
      </c>
    </row>
    <row r="52">
      <c r="A52" s="27" t="s">
        <v>42</v>
      </c>
      <c r="B52" s="27" t="s">
        <v>200</v>
      </c>
      <c r="C52" s="27" t="s">
        <v>201</v>
      </c>
      <c r="D52" s="27" t="s">
        <v>202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4690</f>
        <v>4690.0</v>
      </c>
      <c r="L52" s="34" t="s">
        <v>48</v>
      </c>
      <c r="M52" s="33" t="n">
        <f>4870</f>
        <v>4870.0</v>
      </c>
      <c r="N52" s="34" t="s">
        <v>50</v>
      </c>
      <c r="O52" s="33" t="n">
        <f>4500</f>
        <v>4500.0</v>
      </c>
      <c r="P52" s="34" t="s">
        <v>49</v>
      </c>
      <c r="Q52" s="33" t="n">
        <f>4570</f>
        <v>4570.0</v>
      </c>
      <c r="R52" s="34" t="s">
        <v>51</v>
      </c>
      <c r="S52" s="35" t="n">
        <f>4677.95</f>
        <v>4677.95</v>
      </c>
      <c r="T52" s="32" t="n">
        <f>1176090</f>
        <v>1176090.0</v>
      </c>
      <c r="U52" s="32" t="n">
        <f>898440</f>
        <v>898440.0</v>
      </c>
      <c r="V52" s="32" t="n">
        <f>5551801860</f>
        <v>5.55180186E9</v>
      </c>
      <c r="W52" s="32" t="n">
        <f>4279392845</f>
        <v>4.279392845E9</v>
      </c>
      <c r="X52" s="36" t="n">
        <f>22</f>
        <v>22.0</v>
      </c>
    </row>
    <row r="53">
      <c r="A53" s="27" t="s">
        <v>42</v>
      </c>
      <c r="B53" s="27" t="s">
        <v>203</v>
      </c>
      <c r="C53" s="27" t="s">
        <v>204</v>
      </c>
      <c r="D53" s="27" t="s">
        <v>205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16480</f>
        <v>16480.0</v>
      </c>
      <c r="L53" s="34" t="s">
        <v>48</v>
      </c>
      <c r="M53" s="33" t="n">
        <f>18145</f>
        <v>18145.0</v>
      </c>
      <c r="N53" s="34" t="s">
        <v>49</v>
      </c>
      <c r="O53" s="33" t="n">
        <f>15535</f>
        <v>15535.0</v>
      </c>
      <c r="P53" s="34" t="s">
        <v>50</v>
      </c>
      <c r="Q53" s="33" t="n">
        <f>17570</f>
        <v>17570.0</v>
      </c>
      <c r="R53" s="34" t="s">
        <v>51</v>
      </c>
      <c r="S53" s="35" t="n">
        <f>16855.68</f>
        <v>16855.68</v>
      </c>
      <c r="T53" s="32" t="n">
        <f>13728849</f>
        <v>1.3728849E7</v>
      </c>
      <c r="U53" s="32" t="n">
        <f>25</f>
        <v>25.0</v>
      </c>
      <c r="V53" s="32" t="n">
        <f>229314273605</f>
        <v>2.29314273605E11</v>
      </c>
      <c r="W53" s="32" t="n">
        <f>424025</f>
        <v>424025.0</v>
      </c>
      <c r="X53" s="36" t="n">
        <f>22</f>
        <v>22.0</v>
      </c>
    </row>
    <row r="54">
      <c r="A54" s="27" t="s">
        <v>42</v>
      </c>
      <c r="B54" s="27" t="s">
        <v>206</v>
      </c>
      <c r="C54" s="27" t="s">
        <v>207</v>
      </c>
      <c r="D54" s="27" t="s">
        <v>208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1410</f>
        <v>1410.0</v>
      </c>
      <c r="L54" s="34" t="s">
        <v>48</v>
      </c>
      <c r="M54" s="33" t="n">
        <f>1481</f>
        <v>1481.0</v>
      </c>
      <c r="N54" s="34" t="s">
        <v>50</v>
      </c>
      <c r="O54" s="33" t="n">
        <f>1278</f>
        <v>1278.0</v>
      </c>
      <c r="P54" s="34" t="s">
        <v>49</v>
      </c>
      <c r="Q54" s="33" t="n">
        <f>1306</f>
        <v>1306.0</v>
      </c>
      <c r="R54" s="34" t="s">
        <v>51</v>
      </c>
      <c r="S54" s="35" t="n">
        <f>1370.68</f>
        <v>1370.68</v>
      </c>
      <c r="T54" s="32" t="n">
        <f>213031847</f>
        <v>2.13031847E8</v>
      </c>
      <c r="U54" s="32" t="n">
        <f>532484</f>
        <v>532484.0</v>
      </c>
      <c r="V54" s="32" t="n">
        <f>293925383195</f>
        <v>2.93925383195E11</v>
      </c>
      <c r="W54" s="32" t="n">
        <f>723503895</f>
        <v>7.23503895E8</v>
      </c>
      <c r="X54" s="36" t="n">
        <f>22</f>
        <v>22.0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15800</f>
        <v>15800.0</v>
      </c>
      <c r="L55" s="34" t="s">
        <v>77</v>
      </c>
      <c r="M55" s="33" t="n">
        <f>16920</f>
        <v>16920.0</v>
      </c>
      <c r="N55" s="34" t="s">
        <v>49</v>
      </c>
      <c r="O55" s="33" t="n">
        <f>14340</f>
        <v>14340.0</v>
      </c>
      <c r="P55" s="34" t="s">
        <v>50</v>
      </c>
      <c r="Q55" s="33" t="n">
        <f>16130</f>
        <v>16130.0</v>
      </c>
      <c r="R55" s="34" t="s">
        <v>51</v>
      </c>
      <c r="S55" s="35" t="n">
        <f>15596.9</f>
        <v>15596.9</v>
      </c>
      <c r="T55" s="32" t="n">
        <f>5324</f>
        <v>5324.0</v>
      </c>
      <c r="U55" s="32" t="str">
        <f>"－"</f>
        <v>－</v>
      </c>
      <c r="V55" s="32" t="n">
        <f>82764975</f>
        <v>8.2764975E7</v>
      </c>
      <c r="W55" s="32" t="str">
        <f>"－"</f>
        <v>－</v>
      </c>
      <c r="X55" s="36" t="n">
        <f>21</f>
        <v>21.0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4490</f>
        <v>4490.0</v>
      </c>
      <c r="L56" s="34" t="s">
        <v>94</v>
      </c>
      <c r="M56" s="33" t="n">
        <f>4730</f>
        <v>4730.0</v>
      </c>
      <c r="N56" s="34" t="s">
        <v>50</v>
      </c>
      <c r="O56" s="33" t="n">
        <f>4395</f>
        <v>4395.0</v>
      </c>
      <c r="P56" s="34" t="s">
        <v>49</v>
      </c>
      <c r="Q56" s="33" t="n">
        <f>4405</f>
        <v>4405.0</v>
      </c>
      <c r="R56" s="34" t="s">
        <v>51</v>
      </c>
      <c r="S56" s="35" t="n">
        <f>4527.69</f>
        <v>4527.69</v>
      </c>
      <c r="T56" s="32" t="n">
        <f>1158</f>
        <v>1158.0</v>
      </c>
      <c r="U56" s="32" t="str">
        <f>"－"</f>
        <v>－</v>
      </c>
      <c r="V56" s="32" t="n">
        <f>5284545</f>
        <v>5284545.0</v>
      </c>
      <c r="W56" s="32" t="str">
        <f>"－"</f>
        <v>－</v>
      </c>
      <c r="X56" s="36" t="n">
        <f>13</f>
        <v>13.0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1601</f>
        <v>1601.0</v>
      </c>
      <c r="L57" s="34" t="s">
        <v>48</v>
      </c>
      <c r="M57" s="33" t="n">
        <f>1745</f>
        <v>1745.0</v>
      </c>
      <c r="N57" s="34" t="s">
        <v>50</v>
      </c>
      <c r="O57" s="33" t="n">
        <f>1471</f>
        <v>1471.0</v>
      </c>
      <c r="P57" s="34" t="s">
        <v>49</v>
      </c>
      <c r="Q57" s="33" t="n">
        <f>1535</f>
        <v>1535.0</v>
      </c>
      <c r="R57" s="34" t="s">
        <v>51</v>
      </c>
      <c r="S57" s="35" t="n">
        <f>1593.36</f>
        <v>1593.36</v>
      </c>
      <c r="T57" s="32" t="n">
        <f>42714</f>
        <v>42714.0</v>
      </c>
      <c r="U57" s="32" t="str">
        <f>"－"</f>
        <v>－</v>
      </c>
      <c r="V57" s="32" t="n">
        <f>68706127</f>
        <v>6.8706127E7</v>
      </c>
      <c r="W57" s="32" t="str">
        <f>"－"</f>
        <v>－</v>
      </c>
      <c r="X57" s="36" t="n">
        <f>22</f>
        <v>22.0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10.0</v>
      </c>
      <c r="K58" s="33" t="n">
        <f>14450</f>
        <v>14450.0</v>
      </c>
      <c r="L58" s="34" t="s">
        <v>48</v>
      </c>
      <c r="M58" s="33" t="n">
        <f>16000</f>
        <v>16000.0</v>
      </c>
      <c r="N58" s="34" t="s">
        <v>61</v>
      </c>
      <c r="O58" s="33" t="n">
        <f>13550</f>
        <v>13550.0</v>
      </c>
      <c r="P58" s="34" t="s">
        <v>62</v>
      </c>
      <c r="Q58" s="33" t="n">
        <f>14655</f>
        <v>14655.0</v>
      </c>
      <c r="R58" s="34" t="s">
        <v>51</v>
      </c>
      <c r="S58" s="35" t="n">
        <f>14503.25</f>
        <v>14503.25</v>
      </c>
      <c r="T58" s="32" t="n">
        <f>2070</f>
        <v>2070.0</v>
      </c>
      <c r="U58" s="32" t="str">
        <f>"－"</f>
        <v>－</v>
      </c>
      <c r="V58" s="32" t="n">
        <f>30281150</f>
        <v>3.028115E7</v>
      </c>
      <c r="W58" s="32" t="str">
        <f>"－"</f>
        <v>－</v>
      </c>
      <c r="X58" s="36" t="n">
        <f>20</f>
        <v>20.0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3734</f>
        <v>3734.0</v>
      </c>
      <c r="L59" s="34" t="s">
        <v>61</v>
      </c>
      <c r="M59" s="33" t="n">
        <f>3969</f>
        <v>3969.0</v>
      </c>
      <c r="N59" s="34" t="s">
        <v>62</v>
      </c>
      <c r="O59" s="33" t="n">
        <f>3661</f>
        <v>3661.0</v>
      </c>
      <c r="P59" s="34" t="s">
        <v>163</v>
      </c>
      <c r="Q59" s="33" t="n">
        <f>3700</f>
        <v>3700.0</v>
      </c>
      <c r="R59" s="34" t="s">
        <v>123</v>
      </c>
      <c r="S59" s="35" t="n">
        <f>3722.78</f>
        <v>3722.78</v>
      </c>
      <c r="T59" s="32" t="n">
        <f>860</f>
        <v>860.0</v>
      </c>
      <c r="U59" s="32" t="str">
        <f>"－"</f>
        <v>－</v>
      </c>
      <c r="V59" s="32" t="n">
        <f>3238820</f>
        <v>3238820.0</v>
      </c>
      <c r="W59" s="32" t="str">
        <f>"－"</f>
        <v>－</v>
      </c>
      <c r="X59" s="36" t="n">
        <f>9</f>
        <v>9.0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1589.5</f>
        <v>1589.5</v>
      </c>
      <c r="L60" s="34" t="s">
        <v>48</v>
      </c>
      <c r="M60" s="33" t="n">
        <f>1695.5</f>
        <v>1695.5</v>
      </c>
      <c r="N60" s="34" t="s">
        <v>50</v>
      </c>
      <c r="O60" s="33" t="n">
        <f>1460</f>
        <v>1460.0</v>
      </c>
      <c r="P60" s="34" t="s">
        <v>49</v>
      </c>
      <c r="Q60" s="33" t="n">
        <f>1500</f>
        <v>1500.0</v>
      </c>
      <c r="R60" s="34" t="s">
        <v>51</v>
      </c>
      <c r="S60" s="35" t="n">
        <f>1571.64</f>
        <v>1571.64</v>
      </c>
      <c r="T60" s="32" t="n">
        <f>112550</f>
        <v>112550.0</v>
      </c>
      <c r="U60" s="32" t="str">
        <f>"－"</f>
        <v>－</v>
      </c>
      <c r="V60" s="32" t="n">
        <f>178072280</f>
        <v>1.7807228E8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642</f>
        <v>642.0</v>
      </c>
      <c r="L61" s="34" t="s">
        <v>48</v>
      </c>
      <c r="M61" s="33" t="n">
        <f>690</f>
        <v>690.0</v>
      </c>
      <c r="N61" s="34" t="s">
        <v>50</v>
      </c>
      <c r="O61" s="33" t="n">
        <f>576</f>
        <v>576.0</v>
      </c>
      <c r="P61" s="34" t="s">
        <v>49</v>
      </c>
      <c r="Q61" s="33" t="n">
        <f>611</f>
        <v>611.0</v>
      </c>
      <c r="R61" s="34" t="s">
        <v>51</v>
      </c>
      <c r="S61" s="35" t="n">
        <f>638.91</f>
        <v>638.91</v>
      </c>
      <c r="T61" s="32" t="n">
        <f>145549</f>
        <v>145549.0</v>
      </c>
      <c r="U61" s="32" t="str">
        <f>"－"</f>
        <v>－</v>
      </c>
      <c r="V61" s="32" t="n">
        <f>94333398</f>
        <v>9.4333398E7</v>
      </c>
      <c r="W61" s="32" t="str">
        <f>"－"</f>
        <v>－</v>
      </c>
      <c r="X61" s="36" t="n">
        <f>22</f>
        <v>22.0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2010</f>
        <v>2010.0</v>
      </c>
      <c r="L62" s="34" t="s">
        <v>48</v>
      </c>
      <c r="M62" s="33" t="n">
        <f>2096.5</f>
        <v>2096.5</v>
      </c>
      <c r="N62" s="34" t="s">
        <v>49</v>
      </c>
      <c r="O62" s="33" t="n">
        <f>1933</f>
        <v>1933.0</v>
      </c>
      <c r="P62" s="34" t="s">
        <v>50</v>
      </c>
      <c r="Q62" s="33" t="n">
        <f>2051.5</f>
        <v>2051.5</v>
      </c>
      <c r="R62" s="34" t="s">
        <v>51</v>
      </c>
      <c r="S62" s="35" t="n">
        <f>2015.64</f>
        <v>2015.64</v>
      </c>
      <c r="T62" s="32" t="n">
        <f>929190</f>
        <v>929190.0</v>
      </c>
      <c r="U62" s="32" t="n">
        <f>250000</f>
        <v>250000.0</v>
      </c>
      <c r="V62" s="32" t="n">
        <f>1877203340</f>
        <v>1.87720334E9</v>
      </c>
      <c r="W62" s="32" t="n">
        <f>523750000</f>
        <v>5.2375E8</v>
      </c>
      <c r="X62" s="36" t="n">
        <f>22</f>
        <v>22.0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18060</f>
        <v>18060.0</v>
      </c>
      <c r="L63" s="34" t="s">
        <v>48</v>
      </c>
      <c r="M63" s="33" t="n">
        <f>18780</f>
        <v>18780.0</v>
      </c>
      <c r="N63" s="34" t="s">
        <v>49</v>
      </c>
      <c r="O63" s="33" t="n">
        <f>17350</f>
        <v>17350.0</v>
      </c>
      <c r="P63" s="34" t="s">
        <v>50</v>
      </c>
      <c r="Q63" s="33" t="n">
        <f>18415</f>
        <v>18415.0</v>
      </c>
      <c r="R63" s="34" t="s">
        <v>51</v>
      </c>
      <c r="S63" s="35" t="n">
        <f>18073.18</f>
        <v>18073.18</v>
      </c>
      <c r="T63" s="32" t="n">
        <f>17930</f>
        <v>17930.0</v>
      </c>
      <c r="U63" s="32" t="n">
        <f>4327</f>
        <v>4327.0</v>
      </c>
      <c r="V63" s="32" t="n">
        <f>323888691</f>
        <v>3.23888691E8</v>
      </c>
      <c r="W63" s="32" t="n">
        <f>80105751</f>
        <v>8.0105751E7</v>
      </c>
      <c r="X63" s="36" t="n">
        <f>22</f>
        <v>22.0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2031</f>
        <v>2031.0</v>
      </c>
      <c r="L64" s="34" t="s">
        <v>48</v>
      </c>
      <c r="M64" s="33" t="n">
        <f>2114</f>
        <v>2114.0</v>
      </c>
      <c r="N64" s="34" t="s">
        <v>49</v>
      </c>
      <c r="O64" s="33" t="n">
        <f>1948</f>
        <v>1948.0</v>
      </c>
      <c r="P64" s="34" t="s">
        <v>50</v>
      </c>
      <c r="Q64" s="33" t="n">
        <f>2071</f>
        <v>2071.0</v>
      </c>
      <c r="R64" s="34" t="s">
        <v>51</v>
      </c>
      <c r="S64" s="35" t="n">
        <f>2032.36</f>
        <v>2032.36</v>
      </c>
      <c r="T64" s="32" t="n">
        <f>36136682</f>
        <v>3.6136682E7</v>
      </c>
      <c r="U64" s="32" t="n">
        <f>28645833</f>
        <v>2.8645833E7</v>
      </c>
      <c r="V64" s="32" t="n">
        <f>72178277765</f>
        <v>7.2178277765E10</v>
      </c>
      <c r="W64" s="32" t="n">
        <f>56994221436</f>
        <v>5.6994221436E10</v>
      </c>
      <c r="X64" s="36" t="n">
        <f>22</f>
        <v>22.0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1907</f>
        <v>1907.0</v>
      </c>
      <c r="L65" s="34" t="s">
        <v>48</v>
      </c>
      <c r="M65" s="33" t="n">
        <f>1907</f>
        <v>1907.0</v>
      </c>
      <c r="N65" s="34" t="s">
        <v>48</v>
      </c>
      <c r="O65" s="33" t="n">
        <f>1803</f>
        <v>1803.0</v>
      </c>
      <c r="P65" s="34" t="s">
        <v>62</v>
      </c>
      <c r="Q65" s="33" t="n">
        <f>1845</f>
        <v>1845.0</v>
      </c>
      <c r="R65" s="34" t="s">
        <v>51</v>
      </c>
      <c r="S65" s="35" t="n">
        <f>1856</f>
        <v>1856.0</v>
      </c>
      <c r="T65" s="32" t="n">
        <f>5834526</f>
        <v>5834526.0</v>
      </c>
      <c r="U65" s="32" t="n">
        <f>3050293</f>
        <v>3050293.0</v>
      </c>
      <c r="V65" s="32" t="n">
        <f>10828687960</f>
        <v>1.082868796E10</v>
      </c>
      <c r="W65" s="32" t="n">
        <f>5684385376</f>
        <v>5.684385376E9</v>
      </c>
      <c r="X65" s="36" t="n">
        <f>22</f>
        <v>22.0</v>
      </c>
    </row>
    <row r="66">
      <c r="A66" s="27" t="s">
        <v>42</v>
      </c>
      <c r="B66" s="27" t="s">
        <v>242</v>
      </c>
      <c r="C66" s="27" t="s">
        <v>243</v>
      </c>
      <c r="D66" s="27" t="s">
        <v>244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1916</f>
        <v>1916.0</v>
      </c>
      <c r="L66" s="34" t="s">
        <v>48</v>
      </c>
      <c r="M66" s="33" t="n">
        <f>1979</f>
        <v>1979.0</v>
      </c>
      <c r="N66" s="34" t="s">
        <v>49</v>
      </c>
      <c r="O66" s="33" t="n">
        <f>1853</f>
        <v>1853.0</v>
      </c>
      <c r="P66" s="34" t="s">
        <v>50</v>
      </c>
      <c r="Q66" s="33" t="n">
        <f>1939</f>
        <v>1939.0</v>
      </c>
      <c r="R66" s="34" t="s">
        <v>51</v>
      </c>
      <c r="S66" s="35" t="n">
        <f>1913</f>
        <v>1913.0</v>
      </c>
      <c r="T66" s="32" t="n">
        <f>19140</f>
        <v>19140.0</v>
      </c>
      <c r="U66" s="32" t="n">
        <f>10376</f>
        <v>10376.0</v>
      </c>
      <c r="V66" s="32" t="n">
        <f>36818798</f>
        <v>3.6818798E7</v>
      </c>
      <c r="W66" s="32" t="n">
        <f>20127233</f>
        <v>2.0127233E7</v>
      </c>
      <c r="X66" s="36" t="n">
        <f>22</f>
        <v>22.0</v>
      </c>
    </row>
    <row r="67">
      <c r="A67" s="27" t="s">
        <v>42</v>
      </c>
      <c r="B67" s="27" t="s">
        <v>245</v>
      </c>
      <c r="C67" s="27" t="s">
        <v>246</v>
      </c>
      <c r="D67" s="27" t="s">
        <v>247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2446</f>
        <v>2446.0</v>
      </c>
      <c r="L67" s="34" t="s">
        <v>48</v>
      </c>
      <c r="M67" s="33" t="n">
        <f>2543</f>
        <v>2543.0</v>
      </c>
      <c r="N67" s="34" t="s">
        <v>49</v>
      </c>
      <c r="O67" s="33" t="n">
        <f>2368</f>
        <v>2368.0</v>
      </c>
      <c r="P67" s="34" t="s">
        <v>50</v>
      </c>
      <c r="Q67" s="33" t="n">
        <f>2482</f>
        <v>2482.0</v>
      </c>
      <c r="R67" s="34" t="s">
        <v>51</v>
      </c>
      <c r="S67" s="35" t="n">
        <f>2449.73</f>
        <v>2449.73</v>
      </c>
      <c r="T67" s="32" t="n">
        <f>922949</f>
        <v>922949.0</v>
      </c>
      <c r="U67" s="32" t="n">
        <f>378198</f>
        <v>378198.0</v>
      </c>
      <c r="V67" s="32" t="n">
        <f>2239544938</f>
        <v>2.239544938E9</v>
      </c>
      <c r="W67" s="32" t="n">
        <f>918035174</f>
        <v>9.18035174E8</v>
      </c>
      <c r="X67" s="36" t="n">
        <f>22</f>
        <v>22.0</v>
      </c>
    </row>
    <row r="68">
      <c r="A68" s="27" t="s">
        <v>42</v>
      </c>
      <c r="B68" s="27" t="s">
        <v>248</v>
      </c>
      <c r="C68" s="27" t="s">
        <v>249</v>
      </c>
      <c r="D68" s="27" t="s">
        <v>250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24330</f>
        <v>24330.0</v>
      </c>
      <c r="L68" s="34" t="s">
        <v>77</v>
      </c>
      <c r="M68" s="33" t="n">
        <f>24640</f>
        <v>24640.0</v>
      </c>
      <c r="N68" s="34" t="s">
        <v>51</v>
      </c>
      <c r="O68" s="33" t="n">
        <f>23400</f>
        <v>23400.0</v>
      </c>
      <c r="P68" s="34" t="s">
        <v>50</v>
      </c>
      <c r="Q68" s="33" t="n">
        <f>24640</f>
        <v>24640.0</v>
      </c>
      <c r="R68" s="34" t="s">
        <v>51</v>
      </c>
      <c r="S68" s="35" t="n">
        <f>24126.82</f>
        <v>24126.82</v>
      </c>
      <c r="T68" s="32" t="n">
        <f>21</f>
        <v>21.0</v>
      </c>
      <c r="U68" s="32" t="str">
        <f>"－"</f>
        <v>－</v>
      </c>
      <c r="V68" s="32" t="n">
        <f>502825</f>
        <v>502825.0</v>
      </c>
      <c r="W68" s="32" t="str">
        <f>"－"</f>
        <v>－</v>
      </c>
      <c r="X68" s="36" t="n">
        <f>11</f>
        <v>11.0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19910</f>
        <v>19910.0</v>
      </c>
      <c r="L69" s="34" t="s">
        <v>77</v>
      </c>
      <c r="M69" s="33" t="n">
        <f>20370</f>
        <v>20370.0</v>
      </c>
      <c r="N69" s="34" t="s">
        <v>51</v>
      </c>
      <c r="O69" s="33" t="n">
        <f>19245</f>
        <v>19245.0</v>
      </c>
      <c r="P69" s="34" t="s">
        <v>50</v>
      </c>
      <c r="Q69" s="33" t="n">
        <f>20370</f>
        <v>20370.0</v>
      </c>
      <c r="R69" s="34" t="s">
        <v>51</v>
      </c>
      <c r="S69" s="35" t="n">
        <f>19813</f>
        <v>19813.0</v>
      </c>
      <c r="T69" s="32" t="n">
        <f>197</f>
        <v>197.0</v>
      </c>
      <c r="U69" s="32" t="str">
        <f>"－"</f>
        <v>－</v>
      </c>
      <c r="V69" s="32" t="n">
        <f>3886675</f>
        <v>3886675.0</v>
      </c>
      <c r="W69" s="32" t="str">
        <f>"－"</f>
        <v>－</v>
      </c>
      <c r="X69" s="36" t="n">
        <f>10</f>
        <v>10.0</v>
      </c>
    </row>
    <row r="70">
      <c r="A70" s="27" t="s">
        <v>42</v>
      </c>
      <c r="B70" s="27" t="s">
        <v>254</v>
      </c>
      <c r="C70" s="27" t="s">
        <v>255</v>
      </c>
      <c r="D70" s="27" t="s">
        <v>256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2048</f>
        <v>2048.0</v>
      </c>
      <c r="L70" s="34" t="s">
        <v>48</v>
      </c>
      <c r="M70" s="33" t="n">
        <f>2130</f>
        <v>2130.0</v>
      </c>
      <c r="N70" s="34" t="s">
        <v>49</v>
      </c>
      <c r="O70" s="33" t="n">
        <f>1989</f>
        <v>1989.0</v>
      </c>
      <c r="P70" s="34" t="s">
        <v>50</v>
      </c>
      <c r="Q70" s="33" t="n">
        <f>2098</f>
        <v>2098.0</v>
      </c>
      <c r="R70" s="34" t="s">
        <v>51</v>
      </c>
      <c r="S70" s="35" t="n">
        <f>2057.8</f>
        <v>2057.8</v>
      </c>
      <c r="T70" s="32" t="n">
        <f>1992</f>
        <v>1992.0</v>
      </c>
      <c r="U70" s="32" t="str">
        <f>"－"</f>
        <v>－</v>
      </c>
      <c r="V70" s="32" t="n">
        <f>4101050</f>
        <v>4101050.0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257</v>
      </c>
      <c r="C71" s="27" t="s">
        <v>258</v>
      </c>
      <c r="D71" s="27" t="s">
        <v>259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1869</f>
        <v>1869.0</v>
      </c>
      <c r="L71" s="34" t="s">
        <v>48</v>
      </c>
      <c r="M71" s="33" t="n">
        <f>1948</f>
        <v>1948.0</v>
      </c>
      <c r="N71" s="34" t="s">
        <v>123</v>
      </c>
      <c r="O71" s="33" t="n">
        <f>1847</f>
        <v>1847.0</v>
      </c>
      <c r="P71" s="34" t="s">
        <v>94</v>
      </c>
      <c r="Q71" s="33" t="n">
        <f>1921</f>
        <v>1921.0</v>
      </c>
      <c r="R71" s="34" t="s">
        <v>51</v>
      </c>
      <c r="S71" s="35" t="n">
        <f>1901.77</f>
        <v>1901.77</v>
      </c>
      <c r="T71" s="32" t="n">
        <f>7231142</f>
        <v>7231142.0</v>
      </c>
      <c r="U71" s="32" t="n">
        <f>4789621</f>
        <v>4789621.0</v>
      </c>
      <c r="V71" s="32" t="n">
        <f>13690621677</f>
        <v>1.3690621677E10</v>
      </c>
      <c r="W71" s="32" t="n">
        <f>9078770933</f>
        <v>9.078770933E9</v>
      </c>
      <c r="X71" s="36" t="n">
        <f>22</f>
        <v>22.0</v>
      </c>
    </row>
    <row r="72">
      <c r="A72" s="27" t="s">
        <v>42</v>
      </c>
      <c r="B72" s="27" t="s">
        <v>260</v>
      </c>
      <c r="C72" s="27" t="s">
        <v>261</v>
      </c>
      <c r="D72" s="27" t="s">
        <v>262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2064</f>
        <v>2064.0</v>
      </c>
      <c r="L72" s="34" t="s">
        <v>48</v>
      </c>
      <c r="M72" s="33" t="n">
        <f>2161</f>
        <v>2161.0</v>
      </c>
      <c r="N72" s="34" t="s">
        <v>263</v>
      </c>
      <c r="O72" s="33" t="n">
        <f>2000</f>
        <v>2000.0</v>
      </c>
      <c r="P72" s="34" t="s">
        <v>62</v>
      </c>
      <c r="Q72" s="33" t="n">
        <f>2042</f>
        <v>2042.0</v>
      </c>
      <c r="R72" s="34" t="s">
        <v>51</v>
      </c>
      <c r="S72" s="35" t="n">
        <f>2062.55</f>
        <v>2062.55</v>
      </c>
      <c r="T72" s="32" t="n">
        <f>3166</f>
        <v>3166.0</v>
      </c>
      <c r="U72" s="32" t="str">
        <f>"－"</f>
        <v>－</v>
      </c>
      <c r="V72" s="32" t="n">
        <f>6533654</f>
        <v>6533654.0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10.0</v>
      </c>
      <c r="K73" s="33" t="n">
        <f>2028</f>
        <v>2028.0</v>
      </c>
      <c r="L73" s="34" t="s">
        <v>48</v>
      </c>
      <c r="M73" s="33" t="n">
        <f>2110</f>
        <v>2110.0</v>
      </c>
      <c r="N73" s="34" t="s">
        <v>49</v>
      </c>
      <c r="O73" s="33" t="n">
        <f>1959</f>
        <v>1959.0</v>
      </c>
      <c r="P73" s="34" t="s">
        <v>50</v>
      </c>
      <c r="Q73" s="33" t="n">
        <f>2068.5</f>
        <v>2068.5</v>
      </c>
      <c r="R73" s="34" t="s">
        <v>51</v>
      </c>
      <c r="S73" s="35" t="n">
        <f>2030.14</f>
        <v>2030.14</v>
      </c>
      <c r="T73" s="32" t="n">
        <f>47720</f>
        <v>47720.0</v>
      </c>
      <c r="U73" s="32" t="str">
        <f>"－"</f>
        <v>－</v>
      </c>
      <c r="V73" s="32" t="n">
        <f>98034005</f>
        <v>9.8034005E7</v>
      </c>
      <c r="W73" s="32" t="str">
        <f>"－"</f>
        <v>－</v>
      </c>
      <c r="X73" s="36" t="n">
        <f>22</f>
        <v>22.0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29810</f>
        <v>29810.0</v>
      </c>
      <c r="L74" s="34" t="s">
        <v>94</v>
      </c>
      <c r="M74" s="33" t="n">
        <f>31490</f>
        <v>31490.0</v>
      </c>
      <c r="N74" s="34" t="s">
        <v>51</v>
      </c>
      <c r="O74" s="33" t="n">
        <f>29810</f>
        <v>29810.0</v>
      </c>
      <c r="P74" s="34" t="s">
        <v>94</v>
      </c>
      <c r="Q74" s="33" t="n">
        <f>31490</f>
        <v>31490.0</v>
      </c>
      <c r="R74" s="34" t="s">
        <v>51</v>
      </c>
      <c r="S74" s="35" t="n">
        <f>31055</f>
        <v>31055.0</v>
      </c>
      <c r="T74" s="32" t="n">
        <f>16</f>
        <v>16.0</v>
      </c>
      <c r="U74" s="32" t="str">
        <f>"－"</f>
        <v>－</v>
      </c>
      <c r="V74" s="32" t="n">
        <f>496850</f>
        <v>496850.0</v>
      </c>
      <c r="W74" s="32" t="str">
        <f>"－"</f>
        <v>－</v>
      </c>
      <c r="X74" s="36" t="n">
        <f>2</f>
        <v>2.0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21535</f>
        <v>21535.0</v>
      </c>
      <c r="L75" s="34" t="s">
        <v>48</v>
      </c>
      <c r="M75" s="33" t="n">
        <f>21820</f>
        <v>21820.0</v>
      </c>
      <c r="N75" s="34" t="s">
        <v>50</v>
      </c>
      <c r="O75" s="33" t="n">
        <f>21340</f>
        <v>21340.0</v>
      </c>
      <c r="P75" s="34" t="s">
        <v>164</v>
      </c>
      <c r="Q75" s="33" t="n">
        <f>21700</f>
        <v>21700.0</v>
      </c>
      <c r="R75" s="34" t="s">
        <v>51</v>
      </c>
      <c r="S75" s="35" t="n">
        <f>21577.05</f>
        <v>21577.05</v>
      </c>
      <c r="T75" s="32" t="n">
        <f>116416</f>
        <v>116416.0</v>
      </c>
      <c r="U75" s="32" t="n">
        <f>3</f>
        <v>3.0</v>
      </c>
      <c r="V75" s="32" t="n">
        <f>2513274415</f>
        <v>2.513274415E9</v>
      </c>
      <c r="W75" s="32" t="n">
        <f>65040</f>
        <v>65040.0</v>
      </c>
      <c r="X75" s="36" t="n">
        <f>22</f>
        <v>22.0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14350</f>
        <v>14350.0</v>
      </c>
      <c r="L76" s="34" t="s">
        <v>48</v>
      </c>
      <c r="M76" s="33" t="n">
        <f>14990</f>
        <v>14990.0</v>
      </c>
      <c r="N76" s="34" t="s">
        <v>123</v>
      </c>
      <c r="O76" s="33" t="n">
        <f>14190</f>
        <v>14190.0</v>
      </c>
      <c r="P76" s="34" t="s">
        <v>94</v>
      </c>
      <c r="Q76" s="33" t="n">
        <f>14775</f>
        <v>14775.0</v>
      </c>
      <c r="R76" s="34" t="s">
        <v>51</v>
      </c>
      <c r="S76" s="35" t="n">
        <f>14619.77</f>
        <v>14619.77</v>
      </c>
      <c r="T76" s="32" t="n">
        <f>415175</f>
        <v>415175.0</v>
      </c>
      <c r="U76" s="32" t="n">
        <f>154201</f>
        <v>154201.0</v>
      </c>
      <c r="V76" s="32" t="n">
        <f>6075526635</f>
        <v>6.075526635E9</v>
      </c>
      <c r="W76" s="32" t="n">
        <f>2248954705</f>
        <v>2.248954705E9</v>
      </c>
      <c r="X76" s="36" t="n">
        <f>22</f>
        <v>22.0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10.0</v>
      </c>
      <c r="K77" s="33" t="n">
        <f>1921</f>
        <v>1921.0</v>
      </c>
      <c r="L77" s="34" t="s">
        <v>48</v>
      </c>
      <c r="M77" s="33" t="n">
        <f>1921</f>
        <v>1921.0</v>
      </c>
      <c r="N77" s="34" t="s">
        <v>48</v>
      </c>
      <c r="O77" s="33" t="n">
        <f>1793</f>
        <v>1793.0</v>
      </c>
      <c r="P77" s="34" t="s">
        <v>62</v>
      </c>
      <c r="Q77" s="33" t="n">
        <f>1837</f>
        <v>1837.0</v>
      </c>
      <c r="R77" s="34" t="s">
        <v>51</v>
      </c>
      <c r="S77" s="35" t="n">
        <f>1848.73</f>
        <v>1848.73</v>
      </c>
      <c r="T77" s="32" t="n">
        <f>1663720</f>
        <v>1663720.0</v>
      </c>
      <c r="U77" s="32" t="n">
        <f>677220</f>
        <v>677220.0</v>
      </c>
      <c r="V77" s="32" t="n">
        <f>3071292394</f>
        <v>3.071292394E9</v>
      </c>
      <c r="W77" s="32" t="n">
        <f>1248200139</f>
        <v>1.248200139E9</v>
      </c>
      <c r="X77" s="36" t="n">
        <f>22</f>
        <v>22.0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46680</f>
        <v>46680.0</v>
      </c>
      <c r="L78" s="34" t="s">
        <v>48</v>
      </c>
      <c r="M78" s="33" t="n">
        <f>48920</f>
        <v>48920.0</v>
      </c>
      <c r="N78" s="34" t="s">
        <v>49</v>
      </c>
      <c r="O78" s="33" t="n">
        <f>43510</f>
        <v>43510.0</v>
      </c>
      <c r="P78" s="34" t="s">
        <v>62</v>
      </c>
      <c r="Q78" s="33" t="n">
        <f>46010</f>
        <v>46010.0</v>
      </c>
      <c r="R78" s="34" t="s">
        <v>51</v>
      </c>
      <c r="S78" s="35" t="n">
        <f>45879.55</f>
        <v>45879.55</v>
      </c>
      <c r="T78" s="32" t="n">
        <f>632680</f>
        <v>632680.0</v>
      </c>
      <c r="U78" s="32" t="n">
        <f>43651</f>
        <v>43651.0</v>
      </c>
      <c r="V78" s="32" t="n">
        <f>28902897535</f>
        <v>2.8902897535E10</v>
      </c>
      <c r="W78" s="32" t="n">
        <f>1969397985</f>
        <v>1.969397985E9</v>
      </c>
      <c r="X78" s="36" t="n">
        <f>22</f>
        <v>22.0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7702</f>
        <v>7702.0</v>
      </c>
      <c r="L79" s="34" t="s">
        <v>78</v>
      </c>
      <c r="M79" s="33" t="n">
        <f>7702</f>
        <v>7702.0</v>
      </c>
      <c r="N79" s="34" t="s">
        <v>78</v>
      </c>
      <c r="O79" s="33" t="n">
        <f>7569</f>
        <v>7569.0</v>
      </c>
      <c r="P79" s="34" t="s">
        <v>51</v>
      </c>
      <c r="Q79" s="33" t="n">
        <f>7569</f>
        <v>7569.0</v>
      </c>
      <c r="R79" s="34" t="s">
        <v>51</v>
      </c>
      <c r="S79" s="35" t="n">
        <f>7657.67</f>
        <v>7657.67</v>
      </c>
      <c r="T79" s="32" t="n">
        <f>40</f>
        <v>40.0</v>
      </c>
      <c r="U79" s="32" t="str">
        <f>"－"</f>
        <v>－</v>
      </c>
      <c r="V79" s="32" t="n">
        <f>306390</f>
        <v>306390.0</v>
      </c>
      <c r="W79" s="32" t="str">
        <f>"－"</f>
        <v>－</v>
      </c>
      <c r="X79" s="36" t="n">
        <f>3</f>
        <v>3.0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15925</f>
        <v>15925.0</v>
      </c>
      <c r="L80" s="34" t="s">
        <v>48</v>
      </c>
      <c r="M80" s="33" t="n">
        <f>16525</f>
        <v>16525.0</v>
      </c>
      <c r="N80" s="34" t="s">
        <v>78</v>
      </c>
      <c r="O80" s="33" t="n">
        <f>15300</f>
        <v>15300.0</v>
      </c>
      <c r="P80" s="34" t="s">
        <v>62</v>
      </c>
      <c r="Q80" s="33" t="n">
        <f>15985</f>
        <v>15985.0</v>
      </c>
      <c r="R80" s="34" t="s">
        <v>51</v>
      </c>
      <c r="S80" s="35" t="n">
        <f>15876.67</f>
        <v>15876.67</v>
      </c>
      <c r="T80" s="32" t="n">
        <f>856</f>
        <v>856.0</v>
      </c>
      <c r="U80" s="32" t="str">
        <f>"－"</f>
        <v>－</v>
      </c>
      <c r="V80" s="32" t="n">
        <f>13685100</f>
        <v>1.36851E7</v>
      </c>
      <c r="W80" s="32" t="str">
        <f>"－"</f>
        <v>－</v>
      </c>
      <c r="X80" s="36" t="n">
        <f>21</f>
        <v>21.0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15850</f>
        <v>15850.0</v>
      </c>
      <c r="L81" s="34" t="s">
        <v>48</v>
      </c>
      <c r="M81" s="33" t="n">
        <f>16375</f>
        <v>16375.0</v>
      </c>
      <c r="N81" s="34" t="s">
        <v>49</v>
      </c>
      <c r="O81" s="33" t="n">
        <f>15195</f>
        <v>15195.0</v>
      </c>
      <c r="P81" s="34" t="s">
        <v>62</v>
      </c>
      <c r="Q81" s="33" t="n">
        <f>15995</f>
        <v>15995.0</v>
      </c>
      <c r="R81" s="34" t="s">
        <v>51</v>
      </c>
      <c r="S81" s="35" t="n">
        <f>15771.82</f>
        <v>15771.82</v>
      </c>
      <c r="T81" s="32" t="n">
        <f>860</f>
        <v>860.0</v>
      </c>
      <c r="U81" s="32" t="str">
        <f>"－"</f>
        <v>－</v>
      </c>
      <c r="V81" s="32" t="n">
        <f>13563380</f>
        <v>1.356338E7</v>
      </c>
      <c r="W81" s="32" t="str">
        <f>"－"</f>
        <v>－</v>
      </c>
      <c r="X81" s="36" t="n">
        <f>22</f>
        <v>22.0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21985</f>
        <v>21985.0</v>
      </c>
      <c r="L82" s="34" t="s">
        <v>48</v>
      </c>
      <c r="M82" s="33" t="n">
        <f>22850</f>
        <v>22850.0</v>
      </c>
      <c r="N82" s="34" t="s">
        <v>49</v>
      </c>
      <c r="O82" s="33" t="n">
        <f>20680</f>
        <v>20680.0</v>
      </c>
      <c r="P82" s="34" t="s">
        <v>62</v>
      </c>
      <c r="Q82" s="33" t="n">
        <f>21670</f>
        <v>21670.0</v>
      </c>
      <c r="R82" s="34" t="s">
        <v>51</v>
      </c>
      <c r="S82" s="35" t="n">
        <f>21604.32</f>
        <v>21604.32</v>
      </c>
      <c r="T82" s="32" t="n">
        <f>32280</f>
        <v>32280.0</v>
      </c>
      <c r="U82" s="32" t="n">
        <f>9000</f>
        <v>9000.0</v>
      </c>
      <c r="V82" s="32" t="n">
        <f>697522075</f>
        <v>6.97522075E8</v>
      </c>
      <c r="W82" s="32" t="n">
        <f>191824500</f>
        <v>1.918245E8</v>
      </c>
      <c r="X82" s="36" t="n">
        <f>22</f>
        <v>22.0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10600</f>
        <v>10600.0</v>
      </c>
      <c r="L83" s="34" t="s">
        <v>48</v>
      </c>
      <c r="M83" s="33" t="n">
        <f>10795</f>
        <v>10795.0</v>
      </c>
      <c r="N83" s="34" t="s">
        <v>77</v>
      </c>
      <c r="O83" s="33" t="n">
        <f>10110</f>
        <v>10110.0</v>
      </c>
      <c r="P83" s="34" t="s">
        <v>50</v>
      </c>
      <c r="Q83" s="33" t="n">
        <f>10510</f>
        <v>10510.0</v>
      </c>
      <c r="R83" s="34" t="s">
        <v>51</v>
      </c>
      <c r="S83" s="35" t="n">
        <f>10473.18</f>
        <v>10473.18</v>
      </c>
      <c r="T83" s="32" t="n">
        <f>9920</f>
        <v>9920.0</v>
      </c>
      <c r="U83" s="32" t="n">
        <f>130</f>
        <v>130.0</v>
      </c>
      <c r="V83" s="32" t="n">
        <f>103070000</f>
        <v>1.0307E8</v>
      </c>
      <c r="W83" s="32" t="n">
        <f>1343400</f>
        <v>1343400.0</v>
      </c>
      <c r="X83" s="36" t="n">
        <f>22</f>
        <v>22.0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1950</f>
        <v>1950.0</v>
      </c>
      <c r="L84" s="34" t="s">
        <v>48</v>
      </c>
      <c r="M84" s="33" t="n">
        <f>2015</f>
        <v>2015.0</v>
      </c>
      <c r="N84" s="34" t="s">
        <v>123</v>
      </c>
      <c r="O84" s="33" t="n">
        <f>1930</f>
        <v>1930.0</v>
      </c>
      <c r="P84" s="34" t="s">
        <v>77</v>
      </c>
      <c r="Q84" s="33" t="n">
        <f>1994</f>
        <v>1994.0</v>
      </c>
      <c r="R84" s="34" t="s">
        <v>51</v>
      </c>
      <c r="S84" s="35" t="n">
        <f>1972.64</f>
        <v>1972.64</v>
      </c>
      <c r="T84" s="32" t="n">
        <f>310617</f>
        <v>310617.0</v>
      </c>
      <c r="U84" s="32" t="str">
        <f>"－"</f>
        <v>－</v>
      </c>
      <c r="V84" s="32" t="n">
        <f>610784941</f>
        <v>6.10784941E8</v>
      </c>
      <c r="W84" s="32" t="str">
        <f>"－"</f>
        <v>－</v>
      </c>
      <c r="X84" s="36" t="n">
        <f>22</f>
        <v>22.0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1931</f>
        <v>1931.0</v>
      </c>
      <c r="L85" s="34" t="s">
        <v>48</v>
      </c>
      <c r="M85" s="33" t="n">
        <f>1950</f>
        <v>1950.0</v>
      </c>
      <c r="N85" s="34" t="s">
        <v>61</v>
      </c>
      <c r="O85" s="33" t="n">
        <f>1900</f>
        <v>1900.0</v>
      </c>
      <c r="P85" s="34" t="s">
        <v>303</v>
      </c>
      <c r="Q85" s="33" t="n">
        <f>1937</f>
        <v>1937.0</v>
      </c>
      <c r="R85" s="34" t="s">
        <v>51</v>
      </c>
      <c r="S85" s="35" t="n">
        <f>1922.73</f>
        <v>1922.73</v>
      </c>
      <c r="T85" s="32" t="n">
        <f>477601</f>
        <v>477601.0</v>
      </c>
      <c r="U85" s="32" t="str">
        <f>"－"</f>
        <v>－</v>
      </c>
      <c r="V85" s="32" t="n">
        <f>916867896</f>
        <v>9.16867896E8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304</v>
      </c>
      <c r="C86" s="27" t="s">
        <v>305</v>
      </c>
      <c r="D86" s="27" t="s">
        <v>306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15165</f>
        <v>15165.0</v>
      </c>
      <c r="L86" s="34" t="s">
        <v>48</v>
      </c>
      <c r="M86" s="33" t="n">
        <f>15735</f>
        <v>15735.0</v>
      </c>
      <c r="N86" s="34" t="s">
        <v>49</v>
      </c>
      <c r="O86" s="33" t="n">
        <f>14500</f>
        <v>14500.0</v>
      </c>
      <c r="P86" s="34" t="s">
        <v>50</v>
      </c>
      <c r="Q86" s="33" t="n">
        <f>15405</f>
        <v>15405.0</v>
      </c>
      <c r="R86" s="34" t="s">
        <v>51</v>
      </c>
      <c r="S86" s="35" t="n">
        <f>15104.09</f>
        <v>15104.09</v>
      </c>
      <c r="T86" s="32" t="n">
        <f>115923</f>
        <v>115923.0</v>
      </c>
      <c r="U86" s="32" t="n">
        <f>100641</f>
        <v>100641.0</v>
      </c>
      <c r="V86" s="32" t="n">
        <f>1766748635</f>
        <v>1.766748635E9</v>
      </c>
      <c r="W86" s="32" t="n">
        <f>1537930835</f>
        <v>1.537930835E9</v>
      </c>
      <c r="X86" s="36" t="n">
        <f>22</f>
        <v>22.0</v>
      </c>
    </row>
    <row r="87">
      <c r="A87" s="27" t="s">
        <v>42</v>
      </c>
      <c r="B87" s="27" t="s">
        <v>307</v>
      </c>
      <c r="C87" s="27" t="s">
        <v>308</v>
      </c>
      <c r="D87" s="27" t="s">
        <v>309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8785</f>
        <v>8785.0</v>
      </c>
      <c r="L87" s="34" t="s">
        <v>48</v>
      </c>
      <c r="M87" s="33" t="n">
        <f>9100</f>
        <v>9100.0</v>
      </c>
      <c r="N87" s="34" t="s">
        <v>303</v>
      </c>
      <c r="O87" s="33" t="n">
        <f>8751</f>
        <v>8751.0</v>
      </c>
      <c r="P87" s="34" t="s">
        <v>123</v>
      </c>
      <c r="Q87" s="33" t="n">
        <f>8824</f>
        <v>8824.0</v>
      </c>
      <c r="R87" s="34" t="s">
        <v>51</v>
      </c>
      <c r="S87" s="35" t="n">
        <f>8837.59</f>
        <v>8837.59</v>
      </c>
      <c r="T87" s="32" t="n">
        <f>41914</f>
        <v>41914.0</v>
      </c>
      <c r="U87" s="32" t="n">
        <f>40000</f>
        <v>40000.0</v>
      </c>
      <c r="V87" s="32" t="n">
        <f>365492147</f>
        <v>3.65492147E8</v>
      </c>
      <c r="W87" s="32" t="n">
        <f>348560000</f>
        <v>3.4856E8</v>
      </c>
      <c r="X87" s="36" t="n">
        <f>22</f>
        <v>22.0</v>
      </c>
    </row>
    <row r="88">
      <c r="A88" s="27" t="s">
        <v>42</v>
      </c>
      <c r="B88" s="27" t="s">
        <v>310</v>
      </c>
      <c r="C88" s="27" t="s">
        <v>311</v>
      </c>
      <c r="D88" s="27" t="s">
        <v>312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7599</f>
        <v>7599.0</v>
      </c>
      <c r="L88" s="34" t="s">
        <v>48</v>
      </c>
      <c r="M88" s="33" t="n">
        <f>8058</f>
        <v>8058.0</v>
      </c>
      <c r="N88" s="34" t="s">
        <v>51</v>
      </c>
      <c r="O88" s="33" t="n">
        <f>7588</f>
        <v>7588.0</v>
      </c>
      <c r="P88" s="34" t="s">
        <v>49</v>
      </c>
      <c r="Q88" s="33" t="n">
        <f>8045</f>
        <v>8045.0</v>
      </c>
      <c r="R88" s="34" t="s">
        <v>51</v>
      </c>
      <c r="S88" s="35" t="n">
        <f>7789.09</f>
        <v>7789.09</v>
      </c>
      <c r="T88" s="32" t="n">
        <f>2379346</f>
        <v>2379346.0</v>
      </c>
      <c r="U88" s="32" t="n">
        <f>69383</f>
        <v>69383.0</v>
      </c>
      <c r="V88" s="32" t="n">
        <f>18614020082</f>
        <v>1.8614020082E10</v>
      </c>
      <c r="W88" s="32" t="n">
        <f>549851301</f>
        <v>5.49851301E8</v>
      </c>
      <c r="X88" s="36" t="n">
        <f>22</f>
        <v>22.0</v>
      </c>
    </row>
    <row r="89">
      <c r="A89" s="27" t="s">
        <v>42</v>
      </c>
      <c r="B89" s="27" t="s">
        <v>313</v>
      </c>
      <c r="C89" s="27" t="s">
        <v>314</v>
      </c>
      <c r="D89" s="27" t="s">
        <v>315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3870</f>
        <v>3870.0</v>
      </c>
      <c r="L89" s="34" t="s">
        <v>48</v>
      </c>
      <c r="M89" s="33" t="n">
        <f>3960</f>
        <v>3960.0</v>
      </c>
      <c r="N89" s="34" t="s">
        <v>303</v>
      </c>
      <c r="O89" s="33" t="n">
        <f>3810</f>
        <v>3810.0</v>
      </c>
      <c r="P89" s="34" t="s">
        <v>164</v>
      </c>
      <c r="Q89" s="33" t="n">
        <f>3915</f>
        <v>3915.0</v>
      </c>
      <c r="R89" s="34" t="s">
        <v>51</v>
      </c>
      <c r="S89" s="35" t="n">
        <f>3885.68</f>
        <v>3885.68</v>
      </c>
      <c r="T89" s="32" t="n">
        <f>483991</f>
        <v>483991.0</v>
      </c>
      <c r="U89" s="32" t="n">
        <f>2000</f>
        <v>2000.0</v>
      </c>
      <c r="V89" s="32" t="n">
        <f>1879820550</f>
        <v>1.87982055E9</v>
      </c>
      <c r="W89" s="32" t="n">
        <f>7750000</f>
        <v>7750000.0</v>
      </c>
      <c r="X89" s="36" t="n">
        <f>22</f>
        <v>22.0</v>
      </c>
    </row>
    <row r="90">
      <c r="A90" s="27" t="s">
        <v>42</v>
      </c>
      <c r="B90" s="27" t="s">
        <v>316</v>
      </c>
      <c r="C90" s="27" t="s">
        <v>317</v>
      </c>
      <c r="D90" s="27" t="s">
        <v>318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8460</f>
        <v>8460.0</v>
      </c>
      <c r="L90" s="34" t="s">
        <v>48</v>
      </c>
      <c r="M90" s="33" t="n">
        <f>9400</f>
        <v>9400.0</v>
      </c>
      <c r="N90" s="34" t="s">
        <v>51</v>
      </c>
      <c r="O90" s="33" t="n">
        <f>8205</f>
        <v>8205.0</v>
      </c>
      <c r="P90" s="34" t="s">
        <v>78</v>
      </c>
      <c r="Q90" s="33" t="n">
        <f>9336</f>
        <v>9336.0</v>
      </c>
      <c r="R90" s="34" t="s">
        <v>51</v>
      </c>
      <c r="S90" s="35" t="n">
        <f>8716.45</f>
        <v>8716.45</v>
      </c>
      <c r="T90" s="32" t="n">
        <f>224169</f>
        <v>224169.0</v>
      </c>
      <c r="U90" s="32" t="n">
        <f>221</f>
        <v>221.0</v>
      </c>
      <c r="V90" s="32" t="n">
        <f>1958236220</f>
        <v>1.95823622E9</v>
      </c>
      <c r="W90" s="32" t="n">
        <f>2033824</f>
        <v>2033824.0</v>
      </c>
      <c r="X90" s="36" t="n">
        <f>22</f>
        <v>22.0</v>
      </c>
    </row>
    <row r="91">
      <c r="A91" s="27" t="s">
        <v>42</v>
      </c>
      <c r="B91" s="27" t="s">
        <v>319</v>
      </c>
      <c r="C91" s="27" t="s">
        <v>320</v>
      </c>
      <c r="D91" s="27" t="s">
        <v>321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60060</f>
        <v>60060.0</v>
      </c>
      <c r="L91" s="34" t="s">
        <v>48</v>
      </c>
      <c r="M91" s="33" t="n">
        <f>60470</f>
        <v>60470.0</v>
      </c>
      <c r="N91" s="34" t="s">
        <v>168</v>
      </c>
      <c r="O91" s="33" t="n">
        <f>54930</f>
        <v>54930.0</v>
      </c>
      <c r="P91" s="34" t="s">
        <v>123</v>
      </c>
      <c r="Q91" s="33" t="n">
        <f>58190</f>
        <v>58190.0</v>
      </c>
      <c r="R91" s="34" t="s">
        <v>51</v>
      </c>
      <c r="S91" s="35" t="n">
        <f>57776.82</f>
        <v>57776.82</v>
      </c>
      <c r="T91" s="32" t="n">
        <f>10689</f>
        <v>10689.0</v>
      </c>
      <c r="U91" s="32" t="n">
        <f>2</f>
        <v>2.0</v>
      </c>
      <c r="V91" s="32" t="n">
        <f>618533050</f>
        <v>6.1853305E8</v>
      </c>
      <c r="W91" s="32" t="n">
        <f>104920</f>
        <v>104920.0</v>
      </c>
      <c r="X91" s="36" t="n">
        <f>22</f>
        <v>22.0</v>
      </c>
    </row>
    <row r="92">
      <c r="A92" s="27" t="s">
        <v>42</v>
      </c>
      <c r="B92" s="27" t="s">
        <v>322</v>
      </c>
      <c r="C92" s="27" t="s">
        <v>323</v>
      </c>
      <c r="D92" s="27" t="s">
        <v>324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16605</f>
        <v>16605.0</v>
      </c>
      <c r="L92" s="34" t="s">
        <v>48</v>
      </c>
      <c r="M92" s="33" t="n">
        <f>17640</f>
        <v>17640.0</v>
      </c>
      <c r="N92" s="34" t="s">
        <v>51</v>
      </c>
      <c r="O92" s="33" t="n">
        <f>16135</f>
        <v>16135.0</v>
      </c>
      <c r="P92" s="34" t="s">
        <v>303</v>
      </c>
      <c r="Q92" s="33" t="n">
        <f>17545</f>
        <v>17545.0</v>
      </c>
      <c r="R92" s="34" t="s">
        <v>51</v>
      </c>
      <c r="S92" s="35" t="n">
        <f>16848.41</f>
        <v>16848.41</v>
      </c>
      <c r="T92" s="32" t="n">
        <f>1460416</f>
        <v>1460416.0</v>
      </c>
      <c r="U92" s="32" t="n">
        <f>78908</f>
        <v>78908.0</v>
      </c>
      <c r="V92" s="32" t="n">
        <f>24480244083</f>
        <v>2.4480244083E10</v>
      </c>
      <c r="W92" s="32" t="n">
        <f>1291162783</f>
        <v>1.291162783E9</v>
      </c>
      <c r="X92" s="36" t="n">
        <f>22</f>
        <v>22.0</v>
      </c>
    </row>
    <row r="93">
      <c r="A93" s="27" t="s">
        <v>42</v>
      </c>
      <c r="B93" s="27" t="s">
        <v>325</v>
      </c>
      <c r="C93" s="27" t="s">
        <v>326</v>
      </c>
      <c r="D93" s="27" t="s">
        <v>327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43510</f>
        <v>43510.0</v>
      </c>
      <c r="L93" s="34" t="s">
        <v>48</v>
      </c>
      <c r="M93" s="33" t="n">
        <f>44560</f>
        <v>44560.0</v>
      </c>
      <c r="N93" s="34" t="s">
        <v>66</v>
      </c>
      <c r="O93" s="33" t="n">
        <f>40940</f>
        <v>40940.0</v>
      </c>
      <c r="P93" s="34" t="s">
        <v>95</v>
      </c>
      <c r="Q93" s="33" t="n">
        <f>42850</f>
        <v>42850.0</v>
      </c>
      <c r="R93" s="34" t="s">
        <v>51</v>
      </c>
      <c r="S93" s="35" t="n">
        <f>42641.82</f>
        <v>42641.82</v>
      </c>
      <c r="T93" s="32" t="n">
        <f>316731</f>
        <v>316731.0</v>
      </c>
      <c r="U93" s="32" t="n">
        <f>140285</f>
        <v>140285.0</v>
      </c>
      <c r="V93" s="32" t="n">
        <f>13580504364</f>
        <v>1.3580504364E10</v>
      </c>
      <c r="W93" s="32" t="n">
        <f>6075022064</f>
        <v>6.075022064E9</v>
      </c>
      <c r="X93" s="36" t="n">
        <f>22</f>
        <v>22.0</v>
      </c>
    </row>
    <row r="94">
      <c r="A94" s="27" t="s">
        <v>42</v>
      </c>
      <c r="B94" s="27" t="s">
        <v>328</v>
      </c>
      <c r="C94" s="27" t="s">
        <v>329</v>
      </c>
      <c r="D94" s="27" t="s">
        <v>330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5862</f>
        <v>5862.0</v>
      </c>
      <c r="L94" s="34" t="s">
        <v>48</v>
      </c>
      <c r="M94" s="33" t="n">
        <f>5996</f>
        <v>5996.0</v>
      </c>
      <c r="N94" s="34" t="s">
        <v>66</v>
      </c>
      <c r="O94" s="33" t="n">
        <f>5581</f>
        <v>5581.0</v>
      </c>
      <c r="P94" s="34" t="s">
        <v>95</v>
      </c>
      <c r="Q94" s="33" t="n">
        <f>5866</f>
        <v>5866.0</v>
      </c>
      <c r="R94" s="34" t="s">
        <v>51</v>
      </c>
      <c r="S94" s="35" t="n">
        <f>5776.5</f>
        <v>5776.5</v>
      </c>
      <c r="T94" s="32" t="n">
        <f>2232540</f>
        <v>2232540.0</v>
      </c>
      <c r="U94" s="32" t="n">
        <f>494640</f>
        <v>494640.0</v>
      </c>
      <c r="V94" s="32" t="n">
        <f>12788468940</f>
        <v>1.278846894E10</v>
      </c>
      <c r="W94" s="32" t="n">
        <f>2821454380</f>
        <v>2.82145438E9</v>
      </c>
      <c r="X94" s="36" t="n">
        <f>22</f>
        <v>22.0</v>
      </c>
    </row>
    <row r="95">
      <c r="A95" s="27" t="s">
        <v>42</v>
      </c>
      <c r="B95" s="27" t="s">
        <v>331</v>
      </c>
      <c r="C95" s="27" t="s">
        <v>332</v>
      </c>
      <c r="D95" s="27" t="s">
        <v>333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3820</f>
        <v>3820.0</v>
      </c>
      <c r="L95" s="34" t="s">
        <v>48</v>
      </c>
      <c r="M95" s="33" t="n">
        <f>3895</f>
        <v>3895.0</v>
      </c>
      <c r="N95" s="34" t="s">
        <v>66</v>
      </c>
      <c r="O95" s="33" t="n">
        <f>3600</f>
        <v>3600.0</v>
      </c>
      <c r="P95" s="34" t="s">
        <v>303</v>
      </c>
      <c r="Q95" s="33" t="n">
        <f>3805</f>
        <v>3805.0</v>
      </c>
      <c r="R95" s="34" t="s">
        <v>51</v>
      </c>
      <c r="S95" s="35" t="n">
        <f>3749.5</f>
        <v>3749.5</v>
      </c>
      <c r="T95" s="32" t="n">
        <f>135260</f>
        <v>135260.0</v>
      </c>
      <c r="U95" s="32" t="n">
        <f>23020</f>
        <v>23020.0</v>
      </c>
      <c r="V95" s="32" t="n">
        <f>501361359</f>
        <v>5.01361359E8</v>
      </c>
      <c r="W95" s="32" t="n">
        <f>83934009</f>
        <v>8.3934009E7</v>
      </c>
      <c r="X95" s="36" t="n">
        <f>22</f>
        <v>22.0</v>
      </c>
    </row>
    <row r="96">
      <c r="A96" s="27" t="s">
        <v>42</v>
      </c>
      <c r="B96" s="27" t="s">
        <v>334</v>
      </c>
      <c r="C96" s="27" t="s">
        <v>335</v>
      </c>
      <c r="D96" s="27" t="s">
        <v>336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4369</f>
        <v>4369.0</v>
      </c>
      <c r="L96" s="34" t="s">
        <v>48</v>
      </c>
      <c r="M96" s="33" t="n">
        <f>4380</f>
        <v>4380.0</v>
      </c>
      <c r="N96" s="34" t="s">
        <v>77</v>
      </c>
      <c r="O96" s="33" t="n">
        <f>4142</f>
        <v>4142.0</v>
      </c>
      <c r="P96" s="34" t="s">
        <v>62</v>
      </c>
      <c r="Q96" s="33" t="n">
        <f>4281</f>
        <v>4281.0</v>
      </c>
      <c r="R96" s="34" t="s">
        <v>51</v>
      </c>
      <c r="S96" s="35" t="n">
        <f>4273.14</f>
        <v>4273.14</v>
      </c>
      <c r="T96" s="32" t="n">
        <f>2180</f>
        <v>2180.0</v>
      </c>
      <c r="U96" s="32" t="str">
        <f>"－"</f>
        <v>－</v>
      </c>
      <c r="V96" s="32" t="n">
        <f>9328040</f>
        <v>9328040.0</v>
      </c>
      <c r="W96" s="32" t="str">
        <f>"－"</f>
        <v>－</v>
      </c>
      <c r="X96" s="36" t="n">
        <f>22</f>
        <v>22.0</v>
      </c>
    </row>
    <row r="97">
      <c r="A97" s="27" t="s">
        <v>42</v>
      </c>
      <c r="B97" s="27" t="s">
        <v>337</v>
      </c>
      <c r="C97" s="27" t="s">
        <v>338</v>
      </c>
      <c r="D97" s="27" t="s">
        <v>339</v>
      </c>
      <c r="E97" s="28" t="s">
        <v>46</v>
      </c>
      <c r="F97" s="29" t="s">
        <v>46</v>
      </c>
      <c r="G97" s="30" t="s">
        <v>46</v>
      </c>
      <c r="H97" s="31" t="s">
        <v>340</v>
      </c>
      <c r="I97" s="31" t="s">
        <v>47</v>
      </c>
      <c r="J97" s="32" t="n">
        <v>1.0</v>
      </c>
      <c r="K97" s="33" t="n">
        <f>1264</f>
        <v>1264.0</v>
      </c>
      <c r="L97" s="34" t="s">
        <v>48</v>
      </c>
      <c r="M97" s="33" t="n">
        <f>1482</f>
        <v>1482.0</v>
      </c>
      <c r="N97" s="34" t="s">
        <v>62</v>
      </c>
      <c r="O97" s="33" t="n">
        <f>1153</f>
        <v>1153.0</v>
      </c>
      <c r="P97" s="34" t="s">
        <v>66</v>
      </c>
      <c r="Q97" s="33" t="n">
        <f>1198</f>
        <v>1198.0</v>
      </c>
      <c r="R97" s="34" t="s">
        <v>51</v>
      </c>
      <c r="S97" s="35" t="n">
        <f>1280.05</f>
        <v>1280.05</v>
      </c>
      <c r="T97" s="32" t="n">
        <f>57155624</f>
        <v>5.7155624E7</v>
      </c>
      <c r="U97" s="32" t="n">
        <f>50084</f>
        <v>50084.0</v>
      </c>
      <c r="V97" s="32" t="n">
        <f>75088268715</f>
        <v>7.5088268715E10</v>
      </c>
      <c r="W97" s="32" t="n">
        <f>65104107</f>
        <v>6.5104107E7</v>
      </c>
      <c r="X97" s="36" t="n">
        <f>22</f>
        <v>22.0</v>
      </c>
    </row>
    <row r="98">
      <c r="A98" s="27" t="s">
        <v>42</v>
      </c>
      <c r="B98" s="27" t="s">
        <v>341</v>
      </c>
      <c r="C98" s="27" t="s">
        <v>342</v>
      </c>
      <c r="D98" s="27" t="s">
        <v>343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3199</f>
        <v>3199.0</v>
      </c>
      <c r="L98" s="34" t="s">
        <v>48</v>
      </c>
      <c r="M98" s="33" t="n">
        <f>3269</f>
        <v>3269.0</v>
      </c>
      <c r="N98" s="34" t="s">
        <v>66</v>
      </c>
      <c r="O98" s="33" t="n">
        <f>3029</f>
        <v>3029.0</v>
      </c>
      <c r="P98" s="34" t="s">
        <v>62</v>
      </c>
      <c r="Q98" s="33" t="n">
        <f>3197</f>
        <v>3197.0</v>
      </c>
      <c r="R98" s="34" t="s">
        <v>51</v>
      </c>
      <c r="S98" s="35" t="n">
        <f>3144.55</f>
        <v>3144.55</v>
      </c>
      <c r="T98" s="32" t="n">
        <f>138880</f>
        <v>138880.0</v>
      </c>
      <c r="U98" s="32" t="n">
        <f>1500</f>
        <v>1500.0</v>
      </c>
      <c r="V98" s="32" t="n">
        <f>432112230</f>
        <v>4.3211223E8</v>
      </c>
      <c r="W98" s="32" t="n">
        <f>4726500</f>
        <v>4726500.0</v>
      </c>
      <c r="X98" s="36" t="n">
        <f>22</f>
        <v>22.0</v>
      </c>
    </row>
    <row r="99">
      <c r="A99" s="27" t="s">
        <v>42</v>
      </c>
      <c r="B99" s="27" t="s">
        <v>344</v>
      </c>
      <c r="C99" s="27" t="s">
        <v>345</v>
      </c>
      <c r="D99" s="27" t="s">
        <v>346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1737</f>
        <v>1737.0</v>
      </c>
      <c r="L99" s="34" t="s">
        <v>48</v>
      </c>
      <c r="M99" s="33" t="n">
        <f>1754</f>
        <v>1754.0</v>
      </c>
      <c r="N99" s="34" t="s">
        <v>66</v>
      </c>
      <c r="O99" s="33" t="n">
        <f>1522</f>
        <v>1522.0</v>
      </c>
      <c r="P99" s="34" t="s">
        <v>95</v>
      </c>
      <c r="Q99" s="33" t="n">
        <f>1594.5</f>
        <v>1594.5</v>
      </c>
      <c r="R99" s="34" t="s">
        <v>51</v>
      </c>
      <c r="S99" s="35" t="n">
        <f>1638.7</f>
        <v>1638.7</v>
      </c>
      <c r="T99" s="32" t="n">
        <f>194250</f>
        <v>194250.0</v>
      </c>
      <c r="U99" s="32" t="n">
        <f>20</f>
        <v>20.0</v>
      </c>
      <c r="V99" s="32" t="n">
        <f>315485660</f>
        <v>3.1548566E8</v>
      </c>
      <c r="W99" s="32" t="n">
        <f>33615</f>
        <v>33615.0</v>
      </c>
      <c r="X99" s="36" t="n">
        <f>22</f>
        <v>22.0</v>
      </c>
    </row>
    <row r="100">
      <c r="A100" s="27" t="s">
        <v>42</v>
      </c>
      <c r="B100" s="27" t="s">
        <v>347</v>
      </c>
      <c r="C100" s="27" t="s">
        <v>348</v>
      </c>
      <c r="D100" s="27" t="s">
        <v>349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53960</f>
        <v>53960.0</v>
      </c>
      <c r="L100" s="34" t="s">
        <v>48</v>
      </c>
      <c r="M100" s="33" t="n">
        <f>55160</f>
        <v>55160.0</v>
      </c>
      <c r="N100" s="34" t="s">
        <v>66</v>
      </c>
      <c r="O100" s="33" t="n">
        <f>51120</f>
        <v>51120.0</v>
      </c>
      <c r="P100" s="34" t="s">
        <v>95</v>
      </c>
      <c r="Q100" s="33" t="n">
        <f>53740</f>
        <v>53740.0</v>
      </c>
      <c r="R100" s="34" t="s">
        <v>51</v>
      </c>
      <c r="S100" s="35" t="n">
        <f>53055.91</f>
        <v>53055.91</v>
      </c>
      <c r="T100" s="32" t="n">
        <f>96216</f>
        <v>96216.0</v>
      </c>
      <c r="U100" s="32" t="n">
        <f>4776</f>
        <v>4776.0</v>
      </c>
      <c r="V100" s="32" t="n">
        <f>5087096748</f>
        <v>5.087096748E9</v>
      </c>
      <c r="W100" s="32" t="n">
        <f>250969248</f>
        <v>2.50969248E8</v>
      </c>
      <c r="X100" s="36" t="n">
        <f>22</f>
        <v>22.0</v>
      </c>
    </row>
    <row r="101">
      <c r="A101" s="27" t="s">
        <v>42</v>
      </c>
      <c r="B101" s="27" t="s">
        <v>350</v>
      </c>
      <c r="C101" s="27" t="s">
        <v>351</v>
      </c>
      <c r="D101" s="27" t="s">
        <v>352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3460</f>
        <v>3460.0</v>
      </c>
      <c r="L101" s="34" t="s">
        <v>48</v>
      </c>
      <c r="M101" s="33" t="n">
        <f>3470</f>
        <v>3470.0</v>
      </c>
      <c r="N101" s="34" t="s">
        <v>94</v>
      </c>
      <c r="O101" s="33" t="n">
        <f>3280</f>
        <v>3280.0</v>
      </c>
      <c r="P101" s="34" t="s">
        <v>50</v>
      </c>
      <c r="Q101" s="33" t="n">
        <f>3345</f>
        <v>3345.0</v>
      </c>
      <c r="R101" s="34" t="s">
        <v>51</v>
      </c>
      <c r="S101" s="35" t="n">
        <f>3375</f>
        <v>3375.0</v>
      </c>
      <c r="T101" s="32" t="n">
        <f>4215</f>
        <v>4215.0</v>
      </c>
      <c r="U101" s="32" t="str">
        <f>"－"</f>
        <v>－</v>
      </c>
      <c r="V101" s="32" t="n">
        <f>14226145</f>
        <v>1.4226145E7</v>
      </c>
      <c r="W101" s="32" t="str">
        <f>"－"</f>
        <v>－</v>
      </c>
      <c r="X101" s="36" t="n">
        <f>22</f>
        <v>22.0</v>
      </c>
    </row>
    <row r="102">
      <c r="A102" s="27" t="s">
        <v>42</v>
      </c>
      <c r="B102" s="27" t="s">
        <v>353</v>
      </c>
      <c r="C102" s="27" t="s">
        <v>354</v>
      </c>
      <c r="D102" s="27" t="s">
        <v>355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4310</f>
        <v>4310.0</v>
      </c>
      <c r="L102" s="34" t="s">
        <v>48</v>
      </c>
      <c r="M102" s="33" t="n">
        <f>4360</f>
        <v>4360.0</v>
      </c>
      <c r="N102" s="34" t="s">
        <v>51</v>
      </c>
      <c r="O102" s="33" t="n">
        <f>4110</f>
        <v>4110.0</v>
      </c>
      <c r="P102" s="34" t="s">
        <v>123</v>
      </c>
      <c r="Q102" s="33" t="n">
        <f>4330</f>
        <v>4330.0</v>
      </c>
      <c r="R102" s="34" t="s">
        <v>51</v>
      </c>
      <c r="S102" s="35" t="n">
        <f>4254.77</f>
        <v>4254.77</v>
      </c>
      <c r="T102" s="32" t="n">
        <f>4604</f>
        <v>4604.0</v>
      </c>
      <c r="U102" s="32" t="str">
        <f>"－"</f>
        <v>－</v>
      </c>
      <c r="V102" s="32" t="n">
        <f>19592960</f>
        <v>1.959296E7</v>
      </c>
      <c r="W102" s="32" t="str">
        <f>"－"</f>
        <v>－</v>
      </c>
      <c r="X102" s="36" t="n">
        <f>22</f>
        <v>22.0</v>
      </c>
    </row>
    <row r="103">
      <c r="A103" s="27" t="s">
        <v>42</v>
      </c>
      <c r="B103" s="27" t="s">
        <v>356</v>
      </c>
      <c r="C103" s="27" t="s">
        <v>357</v>
      </c>
      <c r="D103" s="27" t="s">
        <v>358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2420</f>
        <v>2420.0</v>
      </c>
      <c r="L103" s="34" t="s">
        <v>48</v>
      </c>
      <c r="M103" s="33" t="n">
        <f>2573</f>
        <v>2573.0</v>
      </c>
      <c r="N103" s="34" t="s">
        <v>66</v>
      </c>
      <c r="O103" s="33" t="n">
        <f>2401</f>
        <v>2401.0</v>
      </c>
      <c r="P103" s="34" t="s">
        <v>48</v>
      </c>
      <c r="Q103" s="33" t="n">
        <f>2418</f>
        <v>2418.0</v>
      </c>
      <c r="R103" s="34" t="s">
        <v>51</v>
      </c>
      <c r="S103" s="35" t="n">
        <f>2481.95</f>
        <v>2481.95</v>
      </c>
      <c r="T103" s="32" t="n">
        <f>463055</f>
        <v>463055.0</v>
      </c>
      <c r="U103" s="32" t="n">
        <f>15</f>
        <v>15.0</v>
      </c>
      <c r="V103" s="32" t="n">
        <f>1150076325</f>
        <v>1.150076325E9</v>
      </c>
      <c r="W103" s="32" t="n">
        <f>37851</f>
        <v>37851.0</v>
      </c>
      <c r="X103" s="36" t="n">
        <f>22</f>
        <v>22.0</v>
      </c>
    </row>
    <row r="104">
      <c r="A104" s="27" t="s">
        <v>42</v>
      </c>
      <c r="B104" s="27" t="s">
        <v>359</v>
      </c>
      <c r="C104" s="27" t="s">
        <v>360</v>
      </c>
      <c r="D104" s="27" t="s">
        <v>361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43860</f>
        <v>43860.0</v>
      </c>
      <c r="L104" s="34" t="s">
        <v>48</v>
      </c>
      <c r="M104" s="33" t="n">
        <f>44190</f>
        <v>44190.0</v>
      </c>
      <c r="N104" s="34" t="s">
        <v>163</v>
      </c>
      <c r="O104" s="33" t="n">
        <f>42380</f>
        <v>42380.0</v>
      </c>
      <c r="P104" s="34" t="s">
        <v>62</v>
      </c>
      <c r="Q104" s="33" t="n">
        <f>43900</f>
        <v>43900.0</v>
      </c>
      <c r="R104" s="34" t="s">
        <v>51</v>
      </c>
      <c r="S104" s="35" t="n">
        <f>43405.45</f>
        <v>43405.45</v>
      </c>
      <c r="T104" s="32" t="n">
        <f>14368</f>
        <v>14368.0</v>
      </c>
      <c r="U104" s="32" t="n">
        <f>795</f>
        <v>795.0</v>
      </c>
      <c r="V104" s="32" t="n">
        <f>624332908</f>
        <v>6.24332908E8</v>
      </c>
      <c r="W104" s="32" t="n">
        <f>34006498</f>
        <v>3.4006498E7</v>
      </c>
      <c r="X104" s="36" t="n">
        <f>22</f>
        <v>22.0</v>
      </c>
    </row>
    <row r="105">
      <c r="A105" s="27" t="s">
        <v>42</v>
      </c>
      <c r="B105" s="27" t="s">
        <v>362</v>
      </c>
      <c r="C105" s="27" t="s">
        <v>363</v>
      </c>
      <c r="D105" s="27" t="s">
        <v>364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25290</f>
        <v>25290.0</v>
      </c>
      <c r="L105" s="34" t="s">
        <v>48</v>
      </c>
      <c r="M105" s="33" t="n">
        <f>27425</f>
        <v>27425.0</v>
      </c>
      <c r="N105" s="34" t="s">
        <v>49</v>
      </c>
      <c r="O105" s="33" t="n">
        <f>23170</f>
        <v>23170.0</v>
      </c>
      <c r="P105" s="34" t="s">
        <v>50</v>
      </c>
      <c r="Q105" s="33" t="n">
        <f>26175</f>
        <v>26175.0</v>
      </c>
      <c r="R105" s="34" t="s">
        <v>51</v>
      </c>
      <c r="S105" s="35" t="n">
        <f>25276.59</f>
        <v>25276.59</v>
      </c>
      <c r="T105" s="32" t="n">
        <f>2448120</f>
        <v>2448120.0</v>
      </c>
      <c r="U105" s="32" t="n">
        <f>80</f>
        <v>80.0</v>
      </c>
      <c r="V105" s="32" t="n">
        <f>62327645500</f>
        <v>6.23276455E10</v>
      </c>
      <c r="W105" s="32" t="n">
        <f>2015100</f>
        <v>2015100.0</v>
      </c>
      <c r="X105" s="36" t="n">
        <f>22</f>
        <v>22.0</v>
      </c>
    </row>
    <row r="106">
      <c r="A106" s="27" t="s">
        <v>42</v>
      </c>
      <c r="B106" s="27" t="s">
        <v>365</v>
      </c>
      <c r="C106" s="27" t="s">
        <v>366</v>
      </c>
      <c r="D106" s="27" t="s">
        <v>367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1963.5</f>
        <v>1963.5</v>
      </c>
      <c r="L106" s="34" t="s">
        <v>48</v>
      </c>
      <c r="M106" s="33" t="n">
        <f>2040</f>
        <v>2040.0</v>
      </c>
      <c r="N106" s="34" t="s">
        <v>50</v>
      </c>
      <c r="O106" s="33" t="n">
        <f>1882.5</f>
        <v>1882.5</v>
      </c>
      <c r="P106" s="34" t="s">
        <v>49</v>
      </c>
      <c r="Q106" s="33" t="n">
        <f>1915.5</f>
        <v>1915.5</v>
      </c>
      <c r="R106" s="34" t="s">
        <v>51</v>
      </c>
      <c r="S106" s="35" t="n">
        <f>1957.36</f>
        <v>1957.36</v>
      </c>
      <c r="T106" s="32" t="n">
        <f>1511340</f>
        <v>1511340.0</v>
      </c>
      <c r="U106" s="32" t="n">
        <f>1200890</f>
        <v>1200890.0</v>
      </c>
      <c r="V106" s="32" t="n">
        <f>2928587347</f>
        <v>2.928587347E9</v>
      </c>
      <c r="W106" s="32" t="n">
        <f>2322790537</f>
        <v>2.322790537E9</v>
      </c>
      <c r="X106" s="36" t="n">
        <f>22</f>
        <v>22.0</v>
      </c>
    </row>
    <row r="107">
      <c r="A107" s="27" t="s">
        <v>42</v>
      </c>
      <c r="B107" s="27" t="s">
        <v>368</v>
      </c>
      <c r="C107" s="27" t="s">
        <v>369</v>
      </c>
      <c r="D107" s="27" t="s">
        <v>370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14005</f>
        <v>14005.0</v>
      </c>
      <c r="L107" s="34" t="s">
        <v>48</v>
      </c>
      <c r="M107" s="33" t="n">
        <f>15420</f>
        <v>15420.0</v>
      </c>
      <c r="N107" s="34" t="s">
        <v>49</v>
      </c>
      <c r="O107" s="33" t="n">
        <f>13215</f>
        <v>13215.0</v>
      </c>
      <c r="P107" s="34" t="s">
        <v>50</v>
      </c>
      <c r="Q107" s="33" t="n">
        <f>14940</f>
        <v>14940.0</v>
      </c>
      <c r="R107" s="34" t="s">
        <v>51</v>
      </c>
      <c r="S107" s="35" t="n">
        <f>14328.18</f>
        <v>14328.18</v>
      </c>
      <c r="T107" s="32" t="n">
        <f>140332608</f>
        <v>1.40332608E8</v>
      </c>
      <c r="U107" s="32" t="n">
        <f>1058794</f>
        <v>1058794.0</v>
      </c>
      <c r="V107" s="32" t="n">
        <f>2000217989205</f>
        <v>2.000217989205E12</v>
      </c>
      <c r="W107" s="32" t="n">
        <f>15261017025</f>
        <v>1.5261017025E10</v>
      </c>
      <c r="X107" s="36" t="n">
        <f>22</f>
        <v>22.0</v>
      </c>
    </row>
    <row r="108">
      <c r="A108" s="27" t="s">
        <v>42</v>
      </c>
      <c r="B108" s="27" t="s">
        <v>371</v>
      </c>
      <c r="C108" s="27" t="s">
        <v>372</v>
      </c>
      <c r="D108" s="27" t="s">
        <v>373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954</f>
        <v>954.0</v>
      </c>
      <c r="L108" s="34" t="s">
        <v>48</v>
      </c>
      <c r="M108" s="33" t="n">
        <f>979</f>
        <v>979.0</v>
      </c>
      <c r="N108" s="34" t="s">
        <v>50</v>
      </c>
      <c r="O108" s="33" t="n">
        <f>909</f>
        <v>909.0</v>
      </c>
      <c r="P108" s="34" t="s">
        <v>49</v>
      </c>
      <c r="Q108" s="33" t="n">
        <f>919</f>
        <v>919.0</v>
      </c>
      <c r="R108" s="34" t="s">
        <v>51</v>
      </c>
      <c r="S108" s="35" t="n">
        <f>942</f>
        <v>942.0</v>
      </c>
      <c r="T108" s="32" t="n">
        <f>52679622</f>
        <v>5.2679622E7</v>
      </c>
      <c r="U108" s="32" t="n">
        <f>2345025</f>
        <v>2345025.0</v>
      </c>
      <c r="V108" s="32" t="n">
        <f>49603423387</f>
        <v>4.9603423387E10</v>
      </c>
      <c r="W108" s="32" t="n">
        <f>2192972400</f>
        <v>2.1929724E9</v>
      </c>
      <c r="X108" s="36" t="n">
        <f>22</f>
        <v>22.0</v>
      </c>
    </row>
    <row r="109">
      <c r="A109" s="27" t="s">
        <v>42</v>
      </c>
      <c r="B109" s="27" t="s">
        <v>374</v>
      </c>
      <c r="C109" s="27" t="s">
        <v>375</v>
      </c>
      <c r="D109" s="27" t="s">
        <v>376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4573</f>
        <v>4573.0</v>
      </c>
      <c r="L109" s="34" t="s">
        <v>48</v>
      </c>
      <c r="M109" s="33" t="n">
        <f>5220</f>
        <v>5220.0</v>
      </c>
      <c r="N109" s="34" t="s">
        <v>66</v>
      </c>
      <c r="O109" s="33" t="n">
        <f>4200</f>
        <v>4200.0</v>
      </c>
      <c r="P109" s="34" t="s">
        <v>62</v>
      </c>
      <c r="Q109" s="33" t="n">
        <f>4893</f>
        <v>4893.0</v>
      </c>
      <c r="R109" s="34" t="s">
        <v>51</v>
      </c>
      <c r="S109" s="35" t="n">
        <f>4639.14</f>
        <v>4639.14</v>
      </c>
      <c r="T109" s="32" t="n">
        <f>267750</f>
        <v>267750.0</v>
      </c>
      <c r="U109" s="32" t="str">
        <f>"－"</f>
        <v>－</v>
      </c>
      <c r="V109" s="32" t="n">
        <f>1240592760</f>
        <v>1.24059276E9</v>
      </c>
      <c r="W109" s="32" t="str">
        <f>"－"</f>
        <v>－</v>
      </c>
      <c r="X109" s="36" t="n">
        <f>22</f>
        <v>22.0</v>
      </c>
    </row>
    <row r="110">
      <c r="A110" s="27" t="s">
        <v>42</v>
      </c>
      <c r="B110" s="27" t="s">
        <v>377</v>
      </c>
      <c r="C110" s="27" t="s">
        <v>378</v>
      </c>
      <c r="D110" s="27" t="s">
        <v>379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10700</f>
        <v>10700.0</v>
      </c>
      <c r="L110" s="34" t="s">
        <v>48</v>
      </c>
      <c r="M110" s="33" t="n">
        <f>11000</f>
        <v>11000.0</v>
      </c>
      <c r="N110" s="34" t="s">
        <v>78</v>
      </c>
      <c r="O110" s="33" t="n">
        <f>9680</f>
        <v>9680.0</v>
      </c>
      <c r="P110" s="34" t="s">
        <v>164</v>
      </c>
      <c r="Q110" s="33" t="n">
        <f>9798</f>
        <v>9798.0</v>
      </c>
      <c r="R110" s="34" t="s">
        <v>51</v>
      </c>
      <c r="S110" s="35" t="n">
        <f>10257.59</f>
        <v>10257.59</v>
      </c>
      <c r="T110" s="32" t="n">
        <f>25590</f>
        <v>25590.0</v>
      </c>
      <c r="U110" s="32" t="str">
        <f>"－"</f>
        <v>－</v>
      </c>
      <c r="V110" s="32" t="n">
        <f>263739200</f>
        <v>2.637392E8</v>
      </c>
      <c r="W110" s="32" t="str">
        <f>"－"</f>
        <v>－</v>
      </c>
      <c r="X110" s="36" t="n">
        <f>22</f>
        <v>22.0</v>
      </c>
    </row>
    <row r="111">
      <c r="A111" s="27" t="s">
        <v>42</v>
      </c>
      <c r="B111" s="27" t="s">
        <v>380</v>
      </c>
      <c r="C111" s="27" t="s">
        <v>381</v>
      </c>
      <c r="D111" s="27" t="s">
        <v>382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26395</f>
        <v>26395.0</v>
      </c>
      <c r="L111" s="34" t="s">
        <v>48</v>
      </c>
      <c r="M111" s="33" t="n">
        <f>27465</f>
        <v>27465.0</v>
      </c>
      <c r="N111" s="34" t="s">
        <v>49</v>
      </c>
      <c r="O111" s="33" t="n">
        <f>24625</f>
        <v>24625.0</v>
      </c>
      <c r="P111" s="34" t="s">
        <v>62</v>
      </c>
      <c r="Q111" s="33" t="n">
        <f>25730</f>
        <v>25730.0</v>
      </c>
      <c r="R111" s="34" t="s">
        <v>51</v>
      </c>
      <c r="S111" s="35" t="n">
        <f>25893.18</f>
        <v>25893.18</v>
      </c>
      <c r="T111" s="32" t="n">
        <f>154075</f>
        <v>154075.0</v>
      </c>
      <c r="U111" s="32" t="n">
        <f>65116</f>
        <v>65116.0</v>
      </c>
      <c r="V111" s="32" t="n">
        <f>3960050406</f>
        <v>3.960050406E9</v>
      </c>
      <c r="W111" s="32" t="n">
        <f>1682763871</f>
        <v>1.682763871E9</v>
      </c>
      <c r="X111" s="36" t="n">
        <f>22</f>
        <v>22.0</v>
      </c>
    </row>
    <row r="112">
      <c r="A112" s="27" t="s">
        <v>42</v>
      </c>
      <c r="B112" s="27" t="s">
        <v>383</v>
      </c>
      <c r="C112" s="27" t="s">
        <v>384</v>
      </c>
      <c r="D112" s="27" t="s">
        <v>385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2181</f>
        <v>2181.0</v>
      </c>
      <c r="L112" s="34" t="s">
        <v>48</v>
      </c>
      <c r="M112" s="33" t="n">
        <f>2286</f>
        <v>2286.0</v>
      </c>
      <c r="N112" s="34" t="s">
        <v>49</v>
      </c>
      <c r="O112" s="33" t="n">
        <f>2120</f>
        <v>2120.0</v>
      </c>
      <c r="P112" s="34" t="s">
        <v>50</v>
      </c>
      <c r="Q112" s="33" t="n">
        <f>2250</f>
        <v>2250.0</v>
      </c>
      <c r="R112" s="34" t="s">
        <v>51</v>
      </c>
      <c r="S112" s="35" t="n">
        <f>2204</f>
        <v>2204.0</v>
      </c>
      <c r="T112" s="32" t="n">
        <f>285449</f>
        <v>285449.0</v>
      </c>
      <c r="U112" s="32" t="n">
        <f>228500</f>
        <v>228500.0</v>
      </c>
      <c r="V112" s="32" t="n">
        <f>626683336</f>
        <v>6.26683336E8</v>
      </c>
      <c r="W112" s="32" t="n">
        <f>501786000</f>
        <v>5.01786E8</v>
      </c>
      <c r="X112" s="36" t="n">
        <f>22</f>
        <v>22.0</v>
      </c>
    </row>
    <row r="113">
      <c r="A113" s="27" t="s">
        <v>42</v>
      </c>
      <c r="B113" s="27" t="s">
        <v>386</v>
      </c>
      <c r="C113" s="27" t="s">
        <v>387</v>
      </c>
      <c r="D113" s="27" t="s">
        <v>388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14980</f>
        <v>14980.0</v>
      </c>
      <c r="L113" s="34" t="s">
        <v>48</v>
      </c>
      <c r="M113" s="33" t="n">
        <f>16495</f>
        <v>16495.0</v>
      </c>
      <c r="N113" s="34" t="s">
        <v>49</v>
      </c>
      <c r="O113" s="33" t="n">
        <f>14125</f>
        <v>14125.0</v>
      </c>
      <c r="P113" s="34" t="s">
        <v>50</v>
      </c>
      <c r="Q113" s="33" t="n">
        <f>15960</f>
        <v>15960.0</v>
      </c>
      <c r="R113" s="34" t="s">
        <v>51</v>
      </c>
      <c r="S113" s="35" t="n">
        <f>15326.59</f>
        <v>15326.59</v>
      </c>
      <c r="T113" s="32" t="n">
        <f>21039860</f>
        <v>2.103986E7</v>
      </c>
      <c r="U113" s="32" t="n">
        <f>110</f>
        <v>110.0</v>
      </c>
      <c r="V113" s="32" t="n">
        <f>319642203100</f>
        <v>3.196422031E11</v>
      </c>
      <c r="W113" s="32" t="n">
        <f>1662400</f>
        <v>1662400.0</v>
      </c>
      <c r="X113" s="36" t="n">
        <f>22</f>
        <v>22.0</v>
      </c>
    </row>
    <row r="114">
      <c r="A114" s="27" t="s">
        <v>42</v>
      </c>
      <c r="B114" s="27" t="s">
        <v>389</v>
      </c>
      <c r="C114" s="27" t="s">
        <v>390</v>
      </c>
      <c r="D114" s="27" t="s">
        <v>391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2536.5</f>
        <v>2536.5</v>
      </c>
      <c r="L114" s="34" t="s">
        <v>48</v>
      </c>
      <c r="M114" s="33" t="n">
        <f>2600</f>
        <v>2600.0</v>
      </c>
      <c r="N114" s="34" t="s">
        <v>50</v>
      </c>
      <c r="O114" s="33" t="n">
        <f>2414</f>
        <v>2414.0</v>
      </c>
      <c r="P114" s="34" t="s">
        <v>49</v>
      </c>
      <c r="Q114" s="33" t="n">
        <f>2444.5</f>
        <v>2444.5</v>
      </c>
      <c r="R114" s="34" t="s">
        <v>51</v>
      </c>
      <c r="S114" s="35" t="n">
        <f>2501.36</f>
        <v>2501.36</v>
      </c>
      <c r="T114" s="32" t="n">
        <f>2980030</f>
        <v>2980030.0</v>
      </c>
      <c r="U114" s="32" t="n">
        <f>1781940</f>
        <v>1781940.0</v>
      </c>
      <c r="V114" s="32" t="n">
        <f>7458948975</f>
        <v>7.458948975E9</v>
      </c>
      <c r="W114" s="32" t="n">
        <f>4485703240</f>
        <v>4.48570324E9</v>
      </c>
      <c r="X114" s="36" t="n">
        <f>22</f>
        <v>22.0</v>
      </c>
    </row>
    <row r="115">
      <c r="A115" s="27" t="s">
        <v>42</v>
      </c>
      <c r="B115" s="27" t="s">
        <v>392</v>
      </c>
      <c r="C115" s="27" t="s">
        <v>393</v>
      </c>
      <c r="D115" s="27" t="s">
        <v>394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1539</f>
        <v>1539.0</v>
      </c>
      <c r="L115" s="34" t="s">
        <v>77</v>
      </c>
      <c r="M115" s="33" t="n">
        <f>1590</f>
        <v>1590.0</v>
      </c>
      <c r="N115" s="34" t="s">
        <v>49</v>
      </c>
      <c r="O115" s="33" t="n">
        <f>1492</f>
        <v>1492.0</v>
      </c>
      <c r="P115" s="34" t="s">
        <v>50</v>
      </c>
      <c r="Q115" s="33" t="n">
        <f>1561</f>
        <v>1561.0</v>
      </c>
      <c r="R115" s="34" t="s">
        <v>395</v>
      </c>
      <c r="S115" s="35" t="n">
        <f>1538.42</f>
        <v>1538.42</v>
      </c>
      <c r="T115" s="32" t="n">
        <f>1380</f>
        <v>1380.0</v>
      </c>
      <c r="U115" s="32" t="str">
        <f>"－"</f>
        <v>－</v>
      </c>
      <c r="V115" s="32" t="n">
        <f>2124955</f>
        <v>2124955.0</v>
      </c>
      <c r="W115" s="32" t="str">
        <f>"－"</f>
        <v>－</v>
      </c>
      <c r="X115" s="36" t="n">
        <f>12</f>
        <v>12.0</v>
      </c>
    </row>
    <row r="116">
      <c r="A116" s="27" t="s">
        <v>42</v>
      </c>
      <c r="B116" s="27" t="s">
        <v>396</v>
      </c>
      <c r="C116" s="27" t="s">
        <v>397</v>
      </c>
      <c r="D116" s="27" t="s">
        <v>398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1619</f>
        <v>1619.0</v>
      </c>
      <c r="L116" s="34" t="s">
        <v>48</v>
      </c>
      <c r="M116" s="33" t="n">
        <f>1750</f>
        <v>1750.0</v>
      </c>
      <c r="N116" s="34" t="s">
        <v>51</v>
      </c>
      <c r="O116" s="33" t="n">
        <f>1589</f>
        <v>1589.0</v>
      </c>
      <c r="P116" s="34" t="s">
        <v>303</v>
      </c>
      <c r="Q116" s="33" t="n">
        <f>1666</f>
        <v>1666.0</v>
      </c>
      <c r="R116" s="34" t="s">
        <v>51</v>
      </c>
      <c r="S116" s="35" t="n">
        <f>1631.64</f>
        <v>1631.64</v>
      </c>
      <c r="T116" s="32" t="n">
        <f>560037</f>
        <v>560037.0</v>
      </c>
      <c r="U116" s="32" t="n">
        <f>540000</f>
        <v>540000.0</v>
      </c>
      <c r="V116" s="32" t="n">
        <f>911807494</f>
        <v>9.11807494E8</v>
      </c>
      <c r="W116" s="32" t="n">
        <f>878950800</f>
        <v>8.789508E8</v>
      </c>
      <c r="X116" s="36" t="n">
        <f>22</f>
        <v>22.0</v>
      </c>
    </row>
    <row r="117">
      <c r="A117" s="27" t="s">
        <v>42</v>
      </c>
      <c r="B117" s="27" t="s">
        <v>399</v>
      </c>
      <c r="C117" s="27" t="s">
        <v>400</v>
      </c>
      <c r="D117" s="27" t="s">
        <v>401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17995</f>
        <v>17995.0</v>
      </c>
      <c r="L117" s="34" t="s">
        <v>48</v>
      </c>
      <c r="M117" s="33" t="n">
        <f>18760</f>
        <v>18760.0</v>
      </c>
      <c r="N117" s="34" t="s">
        <v>49</v>
      </c>
      <c r="O117" s="33" t="n">
        <f>17300</f>
        <v>17300.0</v>
      </c>
      <c r="P117" s="34" t="s">
        <v>50</v>
      </c>
      <c r="Q117" s="33" t="n">
        <f>18345</f>
        <v>18345.0</v>
      </c>
      <c r="R117" s="34" t="s">
        <v>51</v>
      </c>
      <c r="S117" s="35" t="n">
        <f>18043.41</f>
        <v>18043.41</v>
      </c>
      <c r="T117" s="32" t="n">
        <f>79598</f>
        <v>79598.0</v>
      </c>
      <c r="U117" s="32" t="n">
        <f>28547</f>
        <v>28547.0</v>
      </c>
      <c r="V117" s="32" t="n">
        <f>1421312838</f>
        <v>1.421312838E9</v>
      </c>
      <c r="W117" s="32" t="n">
        <f>499778038</f>
        <v>4.99778038E8</v>
      </c>
      <c r="X117" s="36" t="n">
        <f>22</f>
        <v>22.0</v>
      </c>
    </row>
    <row r="118">
      <c r="A118" s="27" t="s">
        <v>42</v>
      </c>
      <c r="B118" s="27" t="s">
        <v>402</v>
      </c>
      <c r="C118" s="27" t="s">
        <v>403</v>
      </c>
      <c r="D118" s="27" t="s">
        <v>404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1643</f>
        <v>1643.0</v>
      </c>
      <c r="L118" s="34" t="s">
        <v>48</v>
      </c>
      <c r="M118" s="33" t="n">
        <f>1711</f>
        <v>1711.0</v>
      </c>
      <c r="N118" s="34" t="s">
        <v>49</v>
      </c>
      <c r="O118" s="33" t="n">
        <f>1573</f>
        <v>1573.0</v>
      </c>
      <c r="P118" s="34" t="s">
        <v>395</v>
      </c>
      <c r="Q118" s="33" t="n">
        <f>1672</f>
        <v>1672.0</v>
      </c>
      <c r="R118" s="34" t="s">
        <v>51</v>
      </c>
      <c r="S118" s="35" t="n">
        <f>1642.64</f>
        <v>1642.64</v>
      </c>
      <c r="T118" s="32" t="n">
        <f>59312</f>
        <v>59312.0</v>
      </c>
      <c r="U118" s="32" t="n">
        <f>31000</f>
        <v>31000.0</v>
      </c>
      <c r="V118" s="32" t="n">
        <f>98903394</f>
        <v>9.8903394E7</v>
      </c>
      <c r="W118" s="32" t="n">
        <f>52281500</f>
        <v>5.22815E7</v>
      </c>
      <c r="X118" s="36" t="n">
        <f>22</f>
        <v>22.0</v>
      </c>
    </row>
    <row r="119">
      <c r="A119" s="27" t="s">
        <v>42</v>
      </c>
      <c r="B119" s="27" t="s">
        <v>405</v>
      </c>
      <c r="C119" s="27" t="s">
        <v>406</v>
      </c>
      <c r="D119" s="27" t="s">
        <v>407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18365</f>
        <v>18365.0</v>
      </c>
      <c r="L119" s="34" t="s">
        <v>48</v>
      </c>
      <c r="M119" s="33" t="n">
        <f>19080</f>
        <v>19080.0</v>
      </c>
      <c r="N119" s="34" t="s">
        <v>49</v>
      </c>
      <c r="O119" s="33" t="n">
        <f>17610</f>
        <v>17610.0</v>
      </c>
      <c r="P119" s="34" t="s">
        <v>50</v>
      </c>
      <c r="Q119" s="33" t="n">
        <f>18740</f>
        <v>18740.0</v>
      </c>
      <c r="R119" s="34" t="s">
        <v>51</v>
      </c>
      <c r="S119" s="35" t="n">
        <f>18355</f>
        <v>18355.0</v>
      </c>
      <c r="T119" s="32" t="n">
        <f>101114</f>
        <v>101114.0</v>
      </c>
      <c r="U119" s="32" t="n">
        <f>85411</f>
        <v>85411.0</v>
      </c>
      <c r="V119" s="32" t="n">
        <f>1865138906</f>
        <v>1.865138906E9</v>
      </c>
      <c r="W119" s="32" t="n">
        <f>1574419726</f>
        <v>1.574419726E9</v>
      </c>
      <c r="X119" s="36" t="n">
        <f>22</f>
        <v>22.0</v>
      </c>
    </row>
    <row r="120">
      <c r="A120" s="27" t="s">
        <v>42</v>
      </c>
      <c r="B120" s="27" t="s">
        <v>408</v>
      </c>
      <c r="C120" s="27" t="s">
        <v>409</v>
      </c>
      <c r="D120" s="27" t="s">
        <v>410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1886.5</f>
        <v>1886.5</v>
      </c>
      <c r="L120" s="34" t="s">
        <v>48</v>
      </c>
      <c r="M120" s="33" t="n">
        <f>1890</f>
        <v>1890.0</v>
      </c>
      <c r="N120" s="34" t="s">
        <v>66</v>
      </c>
      <c r="O120" s="33" t="n">
        <f>1789</f>
        <v>1789.0</v>
      </c>
      <c r="P120" s="34" t="s">
        <v>62</v>
      </c>
      <c r="Q120" s="33" t="n">
        <f>1831</f>
        <v>1831.0</v>
      </c>
      <c r="R120" s="34" t="s">
        <v>51</v>
      </c>
      <c r="S120" s="35" t="n">
        <f>1842.59</f>
        <v>1842.59</v>
      </c>
      <c r="T120" s="32" t="n">
        <f>2051460</f>
        <v>2051460.0</v>
      </c>
      <c r="U120" s="32" t="n">
        <f>1108030</f>
        <v>1108030.0</v>
      </c>
      <c r="V120" s="32" t="n">
        <f>3768793475</f>
        <v>3.768793475E9</v>
      </c>
      <c r="W120" s="32" t="n">
        <f>2044196000</f>
        <v>2.044196E9</v>
      </c>
      <c r="X120" s="36" t="n">
        <f>22</f>
        <v>22.0</v>
      </c>
    </row>
    <row r="121">
      <c r="A121" s="27" t="s">
        <v>42</v>
      </c>
      <c r="B121" s="27" t="s">
        <v>411</v>
      </c>
      <c r="C121" s="27" t="s">
        <v>412</v>
      </c>
      <c r="D121" s="27" t="s">
        <v>413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1744</f>
        <v>1744.0</v>
      </c>
      <c r="L121" s="34" t="s">
        <v>49</v>
      </c>
      <c r="M121" s="33" t="n">
        <f>1744</f>
        <v>1744.0</v>
      </c>
      <c r="N121" s="34" t="s">
        <v>49</v>
      </c>
      <c r="O121" s="33" t="n">
        <f>1640</f>
        <v>1640.0</v>
      </c>
      <c r="P121" s="34" t="s">
        <v>50</v>
      </c>
      <c r="Q121" s="33" t="n">
        <f>1717</f>
        <v>1717.0</v>
      </c>
      <c r="R121" s="34" t="s">
        <v>395</v>
      </c>
      <c r="S121" s="35" t="n">
        <f>1694.33</f>
        <v>1694.33</v>
      </c>
      <c r="T121" s="32" t="n">
        <f>120</f>
        <v>120.0</v>
      </c>
      <c r="U121" s="32" t="str">
        <f>"－"</f>
        <v>－</v>
      </c>
      <c r="V121" s="32" t="n">
        <f>203330</f>
        <v>203330.0</v>
      </c>
      <c r="W121" s="32" t="str">
        <f>"－"</f>
        <v>－</v>
      </c>
      <c r="X121" s="36" t="n">
        <f>6</f>
        <v>6.0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1910.5</f>
        <v>1910.5</v>
      </c>
      <c r="L122" s="34" t="s">
        <v>48</v>
      </c>
      <c r="M122" s="33" t="n">
        <f>1910.5</f>
        <v>1910.5</v>
      </c>
      <c r="N122" s="34" t="s">
        <v>48</v>
      </c>
      <c r="O122" s="33" t="n">
        <f>1785</f>
        <v>1785.0</v>
      </c>
      <c r="P122" s="34" t="s">
        <v>62</v>
      </c>
      <c r="Q122" s="33" t="n">
        <f>1828</f>
        <v>1828.0</v>
      </c>
      <c r="R122" s="34" t="s">
        <v>51</v>
      </c>
      <c r="S122" s="35" t="n">
        <f>1841.34</f>
        <v>1841.34</v>
      </c>
      <c r="T122" s="32" t="n">
        <f>2146520</f>
        <v>2146520.0</v>
      </c>
      <c r="U122" s="32" t="n">
        <f>807490</f>
        <v>807490.0</v>
      </c>
      <c r="V122" s="32" t="n">
        <f>3970588514</f>
        <v>3.970588514E9</v>
      </c>
      <c r="W122" s="32" t="n">
        <f>1501146059</f>
        <v>1.501146059E9</v>
      </c>
      <c r="X122" s="36" t="n">
        <f>22</f>
        <v>22.0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18150</f>
        <v>18150.0</v>
      </c>
      <c r="L123" s="34" t="s">
        <v>48</v>
      </c>
      <c r="M123" s="33" t="n">
        <f>18905</f>
        <v>18905.0</v>
      </c>
      <c r="N123" s="34" t="s">
        <v>49</v>
      </c>
      <c r="O123" s="33" t="n">
        <f>17470</f>
        <v>17470.0</v>
      </c>
      <c r="P123" s="34" t="s">
        <v>50</v>
      </c>
      <c r="Q123" s="33" t="n">
        <f>18510</f>
        <v>18510.0</v>
      </c>
      <c r="R123" s="34" t="s">
        <v>51</v>
      </c>
      <c r="S123" s="35" t="n">
        <f>18226.84</f>
        <v>18226.84</v>
      </c>
      <c r="T123" s="32" t="n">
        <f>61678</f>
        <v>61678.0</v>
      </c>
      <c r="U123" s="32" t="n">
        <f>60500</f>
        <v>60500.0</v>
      </c>
      <c r="V123" s="32" t="n">
        <f>1138415965</f>
        <v>1.138415965E9</v>
      </c>
      <c r="W123" s="32" t="n">
        <f>1116945450</f>
        <v>1.11694545E9</v>
      </c>
      <c r="X123" s="36" t="n">
        <f>19</f>
        <v>19.0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100.0</v>
      </c>
      <c r="K124" s="33" t="n">
        <f>221.2</f>
        <v>221.2</v>
      </c>
      <c r="L124" s="34" t="s">
        <v>48</v>
      </c>
      <c r="M124" s="33" t="n">
        <f>231</f>
        <v>231.0</v>
      </c>
      <c r="N124" s="34" t="s">
        <v>49</v>
      </c>
      <c r="O124" s="33" t="n">
        <f>184</f>
        <v>184.0</v>
      </c>
      <c r="P124" s="34" t="s">
        <v>50</v>
      </c>
      <c r="Q124" s="33" t="n">
        <f>200</f>
        <v>200.0</v>
      </c>
      <c r="R124" s="34" t="s">
        <v>51</v>
      </c>
      <c r="S124" s="35" t="n">
        <f>206.25</f>
        <v>206.25</v>
      </c>
      <c r="T124" s="32" t="n">
        <f>163021600</f>
        <v>1.630216E8</v>
      </c>
      <c r="U124" s="32" t="n">
        <f>5427400</f>
        <v>5427400.0</v>
      </c>
      <c r="V124" s="32" t="n">
        <f>33545921095</f>
        <v>3.3545921095E10</v>
      </c>
      <c r="W124" s="32" t="n">
        <f>1095002695</f>
        <v>1.095002695E9</v>
      </c>
      <c r="X124" s="36" t="n">
        <f>22</f>
        <v>22.0</v>
      </c>
    </row>
    <row r="125">
      <c r="A125" s="27" t="s">
        <v>42</v>
      </c>
      <c r="B125" s="27" t="s">
        <v>423</v>
      </c>
      <c r="C125" s="27" t="s">
        <v>424</v>
      </c>
      <c r="D125" s="27" t="s">
        <v>425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29950</f>
        <v>29950.0</v>
      </c>
      <c r="L125" s="34" t="s">
        <v>48</v>
      </c>
      <c r="M125" s="33" t="n">
        <f>31200</f>
        <v>31200.0</v>
      </c>
      <c r="N125" s="34" t="s">
        <v>51</v>
      </c>
      <c r="O125" s="33" t="n">
        <f>29605</f>
        <v>29605.0</v>
      </c>
      <c r="P125" s="34" t="s">
        <v>50</v>
      </c>
      <c r="Q125" s="33" t="n">
        <f>30970</f>
        <v>30970.0</v>
      </c>
      <c r="R125" s="34" t="s">
        <v>51</v>
      </c>
      <c r="S125" s="35" t="n">
        <f>30383.64</f>
        <v>30383.64</v>
      </c>
      <c r="T125" s="32" t="n">
        <f>1414</f>
        <v>1414.0</v>
      </c>
      <c r="U125" s="32" t="str">
        <f>"－"</f>
        <v>－</v>
      </c>
      <c r="V125" s="32" t="n">
        <f>43080560</f>
        <v>4.308056E7</v>
      </c>
      <c r="W125" s="32" t="str">
        <f>"－"</f>
        <v>－</v>
      </c>
      <c r="X125" s="36" t="n">
        <f>22</f>
        <v>22.0</v>
      </c>
    </row>
    <row r="126">
      <c r="A126" s="27" t="s">
        <v>42</v>
      </c>
      <c r="B126" s="27" t="s">
        <v>426</v>
      </c>
      <c r="C126" s="27" t="s">
        <v>427</v>
      </c>
      <c r="D126" s="27" t="s">
        <v>428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13410</f>
        <v>13410.0</v>
      </c>
      <c r="L126" s="34" t="s">
        <v>48</v>
      </c>
      <c r="M126" s="33" t="n">
        <f>13990</f>
        <v>13990.0</v>
      </c>
      <c r="N126" s="34" t="s">
        <v>66</v>
      </c>
      <c r="O126" s="33" t="n">
        <f>12500</f>
        <v>12500.0</v>
      </c>
      <c r="P126" s="34" t="s">
        <v>50</v>
      </c>
      <c r="Q126" s="33" t="n">
        <f>13290</f>
        <v>13290.0</v>
      </c>
      <c r="R126" s="34" t="s">
        <v>51</v>
      </c>
      <c r="S126" s="35" t="n">
        <f>13299.55</f>
        <v>13299.55</v>
      </c>
      <c r="T126" s="32" t="n">
        <f>6411</f>
        <v>6411.0</v>
      </c>
      <c r="U126" s="32" t="str">
        <f>"－"</f>
        <v>－</v>
      </c>
      <c r="V126" s="32" t="n">
        <f>84356235</f>
        <v>8.4356235E7</v>
      </c>
      <c r="W126" s="32" t="str">
        <f>"－"</f>
        <v>－</v>
      </c>
      <c r="X126" s="36" t="n">
        <f>22</f>
        <v>22.0</v>
      </c>
    </row>
    <row r="127">
      <c r="A127" s="27" t="s">
        <v>42</v>
      </c>
      <c r="B127" s="27" t="s">
        <v>429</v>
      </c>
      <c r="C127" s="27" t="s">
        <v>430</v>
      </c>
      <c r="D127" s="27" t="s">
        <v>431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22145</f>
        <v>22145.0</v>
      </c>
      <c r="L127" s="34" t="s">
        <v>48</v>
      </c>
      <c r="M127" s="33" t="n">
        <f>23230</f>
        <v>23230.0</v>
      </c>
      <c r="N127" s="34" t="s">
        <v>49</v>
      </c>
      <c r="O127" s="33" t="n">
        <f>21580</f>
        <v>21580.0</v>
      </c>
      <c r="P127" s="34" t="s">
        <v>62</v>
      </c>
      <c r="Q127" s="33" t="n">
        <f>22605</f>
        <v>22605.0</v>
      </c>
      <c r="R127" s="34" t="s">
        <v>51</v>
      </c>
      <c r="S127" s="35" t="n">
        <f>22294.77</f>
        <v>22294.77</v>
      </c>
      <c r="T127" s="32" t="n">
        <f>1403</f>
        <v>1403.0</v>
      </c>
      <c r="U127" s="32" t="str">
        <f>"－"</f>
        <v>－</v>
      </c>
      <c r="V127" s="32" t="n">
        <f>31621950</f>
        <v>3.162195E7</v>
      </c>
      <c r="W127" s="32" t="str">
        <f>"－"</f>
        <v>－</v>
      </c>
      <c r="X127" s="36" t="n">
        <f>22</f>
        <v>22.0</v>
      </c>
    </row>
    <row r="128">
      <c r="A128" s="27" t="s">
        <v>42</v>
      </c>
      <c r="B128" s="27" t="s">
        <v>432</v>
      </c>
      <c r="C128" s="27" t="s">
        <v>433</v>
      </c>
      <c r="D128" s="27" t="s">
        <v>434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25100</f>
        <v>25100.0</v>
      </c>
      <c r="L128" s="34" t="s">
        <v>48</v>
      </c>
      <c r="M128" s="33" t="n">
        <f>26135</f>
        <v>26135.0</v>
      </c>
      <c r="N128" s="34" t="s">
        <v>51</v>
      </c>
      <c r="O128" s="33" t="n">
        <f>24535</f>
        <v>24535.0</v>
      </c>
      <c r="P128" s="34" t="s">
        <v>50</v>
      </c>
      <c r="Q128" s="33" t="n">
        <f>26135</f>
        <v>26135.0</v>
      </c>
      <c r="R128" s="34" t="s">
        <v>51</v>
      </c>
      <c r="S128" s="35" t="n">
        <f>25399.32</f>
        <v>25399.32</v>
      </c>
      <c r="T128" s="32" t="n">
        <f>1633</f>
        <v>1633.0</v>
      </c>
      <c r="U128" s="32" t="str">
        <f>"－"</f>
        <v>－</v>
      </c>
      <c r="V128" s="32" t="n">
        <f>41707900</f>
        <v>4.17079E7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435</v>
      </c>
      <c r="C129" s="27" t="s">
        <v>436</v>
      </c>
      <c r="D129" s="27" t="s">
        <v>437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24870</f>
        <v>24870.0</v>
      </c>
      <c r="L129" s="34" t="s">
        <v>48</v>
      </c>
      <c r="M129" s="33" t="n">
        <f>26200</f>
        <v>26200.0</v>
      </c>
      <c r="N129" s="34" t="s">
        <v>51</v>
      </c>
      <c r="O129" s="33" t="n">
        <f>24630</f>
        <v>24630.0</v>
      </c>
      <c r="P129" s="34" t="s">
        <v>48</v>
      </c>
      <c r="Q129" s="33" t="n">
        <f>26185</f>
        <v>26185.0</v>
      </c>
      <c r="R129" s="34" t="s">
        <v>51</v>
      </c>
      <c r="S129" s="35" t="n">
        <f>25322.95</f>
        <v>25322.95</v>
      </c>
      <c r="T129" s="32" t="n">
        <f>9861</f>
        <v>9861.0</v>
      </c>
      <c r="U129" s="32" t="n">
        <f>2855</f>
        <v>2855.0</v>
      </c>
      <c r="V129" s="32" t="n">
        <f>250012956</f>
        <v>2.50012956E8</v>
      </c>
      <c r="W129" s="32" t="n">
        <f>72503721</f>
        <v>7.2503721E7</v>
      </c>
      <c r="X129" s="36" t="n">
        <f>22</f>
        <v>22.0</v>
      </c>
    </row>
    <row r="130">
      <c r="A130" s="27" t="s">
        <v>42</v>
      </c>
      <c r="B130" s="27" t="s">
        <v>438</v>
      </c>
      <c r="C130" s="27" t="s">
        <v>439</v>
      </c>
      <c r="D130" s="27" t="s">
        <v>440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23070</f>
        <v>23070.0</v>
      </c>
      <c r="L130" s="34" t="s">
        <v>48</v>
      </c>
      <c r="M130" s="33" t="n">
        <f>24080</f>
        <v>24080.0</v>
      </c>
      <c r="N130" s="34" t="s">
        <v>49</v>
      </c>
      <c r="O130" s="33" t="n">
        <f>21695</f>
        <v>21695.0</v>
      </c>
      <c r="P130" s="34" t="s">
        <v>50</v>
      </c>
      <c r="Q130" s="33" t="n">
        <f>23485</f>
        <v>23485.0</v>
      </c>
      <c r="R130" s="34" t="s">
        <v>51</v>
      </c>
      <c r="S130" s="35" t="n">
        <f>22895.91</f>
        <v>22895.91</v>
      </c>
      <c r="T130" s="32" t="n">
        <f>6656</f>
        <v>6656.0</v>
      </c>
      <c r="U130" s="32" t="n">
        <f>1</f>
        <v>1.0</v>
      </c>
      <c r="V130" s="32" t="n">
        <f>152689770</f>
        <v>1.5268977E8</v>
      </c>
      <c r="W130" s="32" t="n">
        <f>22350</f>
        <v>22350.0</v>
      </c>
      <c r="X130" s="36" t="n">
        <f>22</f>
        <v>22.0</v>
      </c>
    </row>
    <row r="131">
      <c r="A131" s="27" t="s">
        <v>42</v>
      </c>
      <c r="B131" s="27" t="s">
        <v>441</v>
      </c>
      <c r="C131" s="27" t="s">
        <v>442</v>
      </c>
      <c r="D131" s="27" t="s">
        <v>443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20230</f>
        <v>20230.0</v>
      </c>
      <c r="L131" s="34" t="s">
        <v>48</v>
      </c>
      <c r="M131" s="33" t="n">
        <f>21660</f>
        <v>21660.0</v>
      </c>
      <c r="N131" s="34" t="s">
        <v>49</v>
      </c>
      <c r="O131" s="33" t="n">
        <f>19350</f>
        <v>19350.0</v>
      </c>
      <c r="P131" s="34" t="s">
        <v>62</v>
      </c>
      <c r="Q131" s="33" t="n">
        <f>20945</f>
        <v>20945.0</v>
      </c>
      <c r="R131" s="34" t="s">
        <v>51</v>
      </c>
      <c r="S131" s="35" t="n">
        <f>20449.32</f>
        <v>20449.32</v>
      </c>
      <c r="T131" s="32" t="n">
        <f>17971</f>
        <v>17971.0</v>
      </c>
      <c r="U131" s="32" t="str">
        <f>"－"</f>
        <v>－</v>
      </c>
      <c r="V131" s="32" t="n">
        <f>374287255</f>
        <v>3.74287255E8</v>
      </c>
      <c r="W131" s="32" t="str">
        <f>"－"</f>
        <v>－</v>
      </c>
      <c r="X131" s="36" t="n">
        <f>22</f>
        <v>22.0</v>
      </c>
    </row>
    <row r="132">
      <c r="A132" s="27" t="s">
        <v>42</v>
      </c>
      <c r="B132" s="27" t="s">
        <v>444</v>
      </c>
      <c r="C132" s="27" t="s">
        <v>445</v>
      </c>
      <c r="D132" s="27" t="s">
        <v>446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41020</f>
        <v>41020.0</v>
      </c>
      <c r="L132" s="34" t="s">
        <v>48</v>
      </c>
      <c r="M132" s="33" t="n">
        <f>42910</f>
        <v>42910.0</v>
      </c>
      <c r="N132" s="34" t="s">
        <v>49</v>
      </c>
      <c r="O132" s="33" t="n">
        <f>39190</f>
        <v>39190.0</v>
      </c>
      <c r="P132" s="34" t="s">
        <v>50</v>
      </c>
      <c r="Q132" s="33" t="n">
        <f>41860</f>
        <v>41860.0</v>
      </c>
      <c r="R132" s="34" t="s">
        <v>51</v>
      </c>
      <c r="S132" s="35" t="n">
        <f>41017.73</f>
        <v>41017.73</v>
      </c>
      <c r="T132" s="32" t="n">
        <f>1564</f>
        <v>1564.0</v>
      </c>
      <c r="U132" s="32" t="str">
        <f>"－"</f>
        <v>－</v>
      </c>
      <c r="V132" s="32" t="n">
        <f>65108930</f>
        <v>6.510893E7</v>
      </c>
      <c r="W132" s="32" t="str">
        <f>"－"</f>
        <v>－</v>
      </c>
      <c r="X132" s="36" t="n">
        <f>22</f>
        <v>22.0</v>
      </c>
    </row>
    <row r="133">
      <c r="A133" s="27" t="s">
        <v>42</v>
      </c>
      <c r="B133" s="27" t="s">
        <v>447</v>
      </c>
      <c r="C133" s="27" t="s">
        <v>448</v>
      </c>
      <c r="D133" s="27" t="s">
        <v>449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27125</f>
        <v>27125.0</v>
      </c>
      <c r="L133" s="34" t="s">
        <v>48</v>
      </c>
      <c r="M133" s="33" t="n">
        <f>28760</f>
        <v>28760.0</v>
      </c>
      <c r="N133" s="34" t="s">
        <v>51</v>
      </c>
      <c r="O133" s="33" t="n">
        <f>26500</f>
        <v>26500.0</v>
      </c>
      <c r="P133" s="34" t="s">
        <v>50</v>
      </c>
      <c r="Q133" s="33" t="n">
        <f>28605</f>
        <v>28605.0</v>
      </c>
      <c r="R133" s="34" t="s">
        <v>51</v>
      </c>
      <c r="S133" s="35" t="n">
        <f>27667.5</f>
        <v>27667.5</v>
      </c>
      <c r="T133" s="32" t="n">
        <f>4502</f>
        <v>4502.0</v>
      </c>
      <c r="U133" s="32" t="str">
        <f>"－"</f>
        <v>－</v>
      </c>
      <c r="V133" s="32" t="n">
        <f>125835055</f>
        <v>1.25835055E8</v>
      </c>
      <c r="W133" s="32" t="str">
        <f>"－"</f>
        <v>－</v>
      </c>
      <c r="X133" s="36" t="n">
        <f>22</f>
        <v>22.0</v>
      </c>
    </row>
    <row r="134">
      <c r="A134" s="27" t="s">
        <v>42</v>
      </c>
      <c r="B134" s="27" t="s">
        <v>450</v>
      </c>
      <c r="C134" s="27" t="s">
        <v>451</v>
      </c>
      <c r="D134" s="27" t="s">
        <v>452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27390</f>
        <v>27390.0</v>
      </c>
      <c r="L134" s="34" t="s">
        <v>48</v>
      </c>
      <c r="M134" s="33" t="n">
        <f>28170</f>
        <v>28170.0</v>
      </c>
      <c r="N134" s="34" t="s">
        <v>49</v>
      </c>
      <c r="O134" s="33" t="n">
        <f>26440</f>
        <v>26440.0</v>
      </c>
      <c r="P134" s="34" t="s">
        <v>50</v>
      </c>
      <c r="Q134" s="33" t="n">
        <f>27850</f>
        <v>27850.0</v>
      </c>
      <c r="R134" s="34" t="s">
        <v>51</v>
      </c>
      <c r="S134" s="35" t="n">
        <f>27428.18</f>
        <v>27428.18</v>
      </c>
      <c r="T134" s="32" t="n">
        <f>4561</f>
        <v>4561.0</v>
      </c>
      <c r="U134" s="32" t="str">
        <f>"－"</f>
        <v>－</v>
      </c>
      <c r="V134" s="32" t="n">
        <f>126112140</f>
        <v>1.2611214E8</v>
      </c>
      <c r="W134" s="32" t="str">
        <f>"－"</f>
        <v>－</v>
      </c>
      <c r="X134" s="36" t="n">
        <f>22</f>
        <v>22.0</v>
      </c>
    </row>
    <row r="135">
      <c r="A135" s="27" t="s">
        <v>42</v>
      </c>
      <c r="B135" s="27" t="s">
        <v>453</v>
      </c>
      <c r="C135" s="27" t="s">
        <v>454</v>
      </c>
      <c r="D135" s="27" t="s">
        <v>455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6067</f>
        <v>6067.0</v>
      </c>
      <c r="L135" s="34" t="s">
        <v>48</v>
      </c>
      <c r="M135" s="33" t="n">
        <f>6247</f>
        <v>6247.0</v>
      </c>
      <c r="N135" s="34" t="s">
        <v>49</v>
      </c>
      <c r="O135" s="33" t="n">
        <f>5922</f>
        <v>5922.0</v>
      </c>
      <c r="P135" s="34" t="s">
        <v>456</v>
      </c>
      <c r="Q135" s="33" t="n">
        <f>6169</f>
        <v>6169.0</v>
      </c>
      <c r="R135" s="34" t="s">
        <v>51</v>
      </c>
      <c r="S135" s="35" t="n">
        <f>6053.36</f>
        <v>6053.36</v>
      </c>
      <c r="T135" s="32" t="n">
        <f>23778</f>
        <v>23778.0</v>
      </c>
      <c r="U135" s="32" t="n">
        <f>2</f>
        <v>2.0</v>
      </c>
      <c r="V135" s="32" t="n">
        <f>144314302</f>
        <v>1.44314302E8</v>
      </c>
      <c r="W135" s="32" t="n">
        <f>12927</f>
        <v>12927.0</v>
      </c>
      <c r="X135" s="36" t="n">
        <f>22</f>
        <v>22.0</v>
      </c>
    </row>
    <row r="136">
      <c r="A136" s="27" t="s">
        <v>42</v>
      </c>
      <c r="B136" s="27" t="s">
        <v>457</v>
      </c>
      <c r="C136" s="27" t="s">
        <v>458</v>
      </c>
      <c r="D136" s="27" t="s">
        <v>459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15790</f>
        <v>15790.0</v>
      </c>
      <c r="L136" s="34" t="s">
        <v>48</v>
      </c>
      <c r="M136" s="33" t="n">
        <f>16440</f>
        <v>16440.0</v>
      </c>
      <c r="N136" s="34" t="s">
        <v>49</v>
      </c>
      <c r="O136" s="33" t="n">
        <f>15600</f>
        <v>15600.0</v>
      </c>
      <c r="P136" s="34" t="s">
        <v>62</v>
      </c>
      <c r="Q136" s="33" t="n">
        <f>16235</f>
        <v>16235.0</v>
      </c>
      <c r="R136" s="34" t="s">
        <v>51</v>
      </c>
      <c r="S136" s="35" t="n">
        <f>15981.14</f>
        <v>15981.14</v>
      </c>
      <c r="T136" s="32" t="n">
        <f>12199</f>
        <v>12199.0</v>
      </c>
      <c r="U136" s="32" t="str">
        <f>"－"</f>
        <v>－</v>
      </c>
      <c r="V136" s="32" t="n">
        <f>194824545</f>
        <v>1.94824545E8</v>
      </c>
      <c r="W136" s="32" t="str">
        <f>"－"</f>
        <v>－</v>
      </c>
      <c r="X136" s="36" t="n">
        <f>22</f>
        <v>22.0</v>
      </c>
    </row>
    <row r="137">
      <c r="A137" s="27" t="s">
        <v>42</v>
      </c>
      <c r="B137" s="27" t="s">
        <v>460</v>
      </c>
      <c r="C137" s="27" t="s">
        <v>461</v>
      </c>
      <c r="D137" s="27" t="s">
        <v>462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52350</f>
        <v>52350.0</v>
      </c>
      <c r="L137" s="34" t="s">
        <v>48</v>
      </c>
      <c r="M137" s="33" t="n">
        <f>56340</f>
        <v>56340.0</v>
      </c>
      <c r="N137" s="34" t="s">
        <v>49</v>
      </c>
      <c r="O137" s="33" t="n">
        <f>51070</f>
        <v>51070.0</v>
      </c>
      <c r="P137" s="34" t="s">
        <v>50</v>
      </c>
      <c r="Q137" s="33" t="n">
        <f>55050</f>
        <v>55050.0</v>
      </c>
      <c r="R137" s="34" t="s">
        <v>51</v>
      </c>
      <c r="S137" s="35" t="n">
        <f>53501.82</f>
        <v>53501.82</v>
      </c>
      <c r="T137" s="32" t="n">
        <f>12043</f>
        <v>12043.0</v>
      </c>
      <c r="U137" s="32" t="n">
        <f>2500</f>
        <v>2500.0</v>
      </c>
      <c r="V137" s="32" t="n">
        <f>636960365</f>
        <v>6.36960365E8</v>
      </c>
      <c r="W137" s="32" t="n">
        <f>128733575</f>
        <v>1.28733575E8</v>
      </c>
      <c r="X137" s="36" t="n">
        <f>22</f>
        <v>22.0</v>
      </c>
    </row>
    <row r="138">
      <c r="A138" s="27" t="s">
        <v>42</v>
      </c>
      <c r="B138" s="27" t="s">
        <v>463</v>
      </c>
      <c r="C138" s="27" t="s">
        <v>464</v>
      </c>
      <c r="D138" s="27" t="s">
        <v>465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22990</f>
        <v>22990.0</v>
      </c>
      <c r="L138" s="34" t="s">
        <v>48</v>
      </c>
      <c r="M138" s="33" t="n">
        <f>24300</f>
        <v>24300.0</v>
      </c>
      <c r="N138" s="34" t="s">
        <v>49</v>
      </c>
      <c r="O138" s="33" t="n">
        <f>22620</f>
        <v>22620.0</v>
      </c>
      <c r="P138" s="34" t="s">
        <v>50</v>
      </c>
      <c r="Q138" s="33" t="n">
        <f>23530</f>
        <v>23530.0</v>
      </c>
      <c r="R138" s="34" t="s">
        <v>51</v>
      </c>
      <c r="S138" s="35" t="n">
        <f>23281.82</f>
        <v>23281.82</v>
      </c>
      <c r="T138" s="32" t="n">
        <f>1839</f>
        <v>1839.0</v>
      </c>
      <c r="U138" s="32" t="str">
        <f>"－"</f>
        <v>－</v>
      </c>
      <c r="V138" s="32" t="n">
        <f>42595895</f>
        <v>4.2595895E7</v>
      </c>
      <c r="W138" s="32" t="str">
        <f>"－"</f>
        <v>－</v>
      </c>
      <c r="X138" s="36" t="n">
        <f>22</f>
        <v>22.0</v>
      </c>
    </row>
    <row r="139">
      <c r="A139" s="27" t="s">
        <v>42</v>
      </c>
      <c r="B139" s="27" t="s">
        <v>466</v>
      </c>
      <c r="C139" s="27" t="s">
        <v>467</v>
      </c>
      <c r="D139" s="27" t="s">
        <v>468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11465</f>
        <v>11465.0</v>
      </c>
      <c r="L139" s="34" t="s">
        <v>48</v>
      </c>
      <c r="M139" s="33" t="n">
        <f>11970</f>
        <v>11970.0</v>
      </c>
      <c r="N139" s="34" t="s">
        <v>49</v>
      </c>
      <c r="O139" s="33" t="n">
        <f>9735</f>
        <v>9735.0</v>
      </c>
      <c r="P139" s="34" t="s">
        <v>50</v>
      </c>
      <c r="Q139" s="33" t="n">
        <f>10410</f>
        <v>10410.0</v>
      </c>
      <c r="R139" s="34" t="s">
        <v>51</v>
      </c>
      <c r="S139" s="35" t="n">
        <f>10710.23</f>
        <v>10710.23</v>
      </c>
      <c r="T139" s="32" t="n">
        <f>114837</f>
        <v>114837.0</v>
      </c>
      <c r="U139" s="32" t="n">
        <f>1</f>
        <v>1.0</v>
      </c>
      <c r="V139" s="32" t="n">
        <f>1197610265</f>
        <v>1.197610265E9</v>
      </c>
      <c r="W139" s="32" t="n">
        <f>10145</f>
        <v>10145.0</v>
      </c>
      <c r="X139" s="36" t="n">
        <f>22</f>
        <v>22.0</v>
      </c>
    </row>
    <row r="140">
      <c r="A140" s="27" t="s">
        <v>42</v>
      </c>
      <c r="B140" s="27" t="s">
        <v>469</v>
      </c>
      <c r="C140" s="27" t="s">
        <v>470</v>
      </c>
      <c r="D140" s="27" t="s">
        <v>471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16300</f>
        <v>16300.0</v>
      </c>
      <c r="L140" s="34" t="s">
        <v>48</v>
      </c>
      <c r="M140" s="33" t="n">
        <f>17000</f>
        <v>17000.0</v>
      </c>
      <c r="N140" s="34" t="s">
        <v>78</v>
      </c>
      <c r="O140" s="33" t="n">
        <f>14355</f>
        <v>14355.0</v>
      </c>
      <c r="P140" s="34" t="s">
        <v>62</v>
      </c>
      <c r="Q140" s="33" t="n">
        <f>15075</f>
        <v>15075.0</v>
      </c>
      <c r="R140" s="34" t="s">
        <v>51</v>
      </c>
      <c r="S140" s="35" t="n">
        <f>15386.82</f>
        <v>15386.82</v>
      </c>
      <c r="T140" s="32" t="n">
        <f>13250</f>
        <v>13250.0</v>
      </c>
      <c r="U140" s="32" t="str">
        <f>"－"</f>
        <v>－</v>
      </c>
      <c r="V140" s="32" t="n">
        <f>203137170</f>
        <v>2.0313717E8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472</v>
      </c>
      <c r="C141" s="27" t="s">
        <v>473</v>
      </c>
      <c r="D141" s="27" t="s">
        <v>474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28710</f>
        <v>28710.0</v>
      </c>
      <c r="L141" s="34" t="s">
        <v>48</v>
      </c>
      <c r="M141" s="33" t="n">
        <f>29300</f>
        <v>29300.0</v>
      </c>
      <c r="N141" s="34" t="s">
        <v>49</v>
      </c>
      <c r="O141" s="33" t="n">
        <f>26760</f>
        <v>26760.0</v>
      </c>
      <c r="P141" s="34" t="s">
        <v>95</v>
      </c>
      <c r="Q141" s="33" t="n">
        <f>28025</f>
        <v>28025.0</v>
      </c>
      <c r="R141" s="34" t="s">
        <v>51</v>
      </c>
      <c r="S141" s="35" t="n">
        <f>27981.82</f>
        <v>27981.82</v>
      </c>
      <c r="T141" s="32" t="n">
        <f>2248</f>
        <v>2248.0</v>
      </c>
      <c r="U141" s="32" t="str">
        <f>"－"</f>
        <v>－</v>
      </c>
      <c r="V141" s="32" t="n">
        <f>62846960</f>
        <v>6.284696E7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475</v>
      </c>
      <c r="C142" s="27" t="s">
        <v>476</v>
      </c>
      <c r="D142" s="27" t="s">
        <v>477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10.0</v>
      </c>
      <c r="K142" s="33" t="n">
        <f>1340</f>
        <v>1340.0</v>
      </c>
      <c r="L142" s="34" t="s">
        <v>48</v>
      </c>
      <c r="M142" s="33" t="n">
        <f>1396</f>
        <v>1396.0</v>
      </c>
      <c r="N142" s="34" t="s">
        <v>49</v>
      </c>
      <c r="O142" s="33" t="n">
        <f>1257.5</f>
        <v>1257.5</v>
      </c>
      <c r="P142" s="34" t="s">
        <v>50</v>
      </c>
      <c r="Q142" s="33" t="n">
        <f>1334</f>
        <v>1334.0</v>
      </c>
      <c r="R142" s="34" t="s">
        <v>51</v>
      </c>
      <c r="S142" s="35" t="n">
        <f>1322.48</f>
        <v>1322.48</v>
      </c>
      <c r="T142" s="32" t="n">
        <f>2924370</f>
        <v>2924370.0</v>
      </c>
      <c r="U142" s="32" t="n">
        <f>736760</f>
        <v>736760.0</v>
      </c>
      <c r="V142" s="32" t="n">
        <f>3766424772</f>
        <v>3.766424772E9</v>
      </c>
      <c r="W142" s="32" t="n">
        <f>948469857</f>
        <v>9.48469857E8</v>
      </c>
      <c r="X142" s="36" t="n">
        <f>22</f>
        <v>22.0</v>
      </c>
    </row>
    <row r="143">
      <c r="A143" s="27" t="s">
        <v>42</v>
      </c>
      <c r="B143" s="27" t="s">
        <v>478</v>
      </c>
      <c r="C143" s="27" t="s">
        <v>479</v>
      </c>
      <c r="D143" s="27" t="s">
        <v>480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2352</f>
        <v>2352.0</v>
      </c>
      <c r="L143" s="34" t="s">
        <v>61</v>
      </c>
      <c r="M143" s="33" t="n">
        <f>2382.5</f>
        <v>2382.5</v>
      </c>
      <c r="N143" s="34" t="s">
        <v>49</v>
      </c>
      <c r="O143" s="33" t="n">
        <f>2254</f>
        <v>2254.0</v>
      </c>
      <c r="P143" s="34" t="s">
        <v>303</v>
      </c>
      <c r="Q143" s="33" t="n">
        <f>2263.5</f>
        <v>2263.5</v>
      </c>
      <c r="R143" s="34" t="s">
        <v>95</v>
      </c>
      <c r="S143" s="35" t="n">
        <f>2325.5</f>
        <v>2325.5</v>
      </c>
      <c r="T143" s="32" t="n">
        <f>48660</f>
        <v>48660.0</v>
      </c>
      <c r="U143" s="32" t="str">
        <f>"－"</f>
        <v>－</v>
      </c>
      <c r="V143" s="32" t="n">
        <f>115579380</f>
        <v>1.1557938E8</v>
      </c>
      <c r="W143" s="32" t="str">
        <f>"－"</f>
        <v>－</v>
      </c>
      <c r="X143" s="36" t="n">
        <f>7</f>
        <v>7.0</v>
      </c>
    </row>
    <row r="144">
      <c r="A144" s="27" t="s">
        <v>42</v>
      </c>
      <c r="B144" s="27" t="s">
        <v>481</v>
      </c>
      <c r="C144" s="27" t="s">
        <v>482</v>
      </c>
      <c r="D144" s="27" t="s">
        <v>483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10.0</v>
      </c>
      <c r="K144" s="33" t="n">
        <f>2499</f>
        <v>2499.0</v>
      </c>
      <c r="L144" s="34" t="s">
        <v>48</v>
      </c>
      <c r="M144" s="33" t="n">
        <f>2596</f>
        <v>2596.0</v>
      </c>
      <c r="N144" s="34" t="s">
        <v>49</v>
      </c>
      <c r="O144" s="33" t="n">
        <f>2395.5</f>
        <v>2395.5</v>
      </c>
      <c r="P144" s="34" t="s">
        <v>50</v>
      </c>
      <c r="Q144" s="33" t="n">
        <f>2535</f>
        <v>2535.0</v>
      </c>
      <c r="R144" s="34" t="s">
        <v>51</v>
      </c>
      <c r="S144" s="35" t="n">
        <f>2498.45</f>
        <v>2498.45</v>
      </c>
      <c r="T144" s="32" t="n">
        <f>432370</f>
        <v>432370.0</v>
      </c>
      <c r="U144" s="32" t="n">
        <f>326000</f>
        <v>326000.0</v>
      </c>
      <c r="V144" s="32" t="n">
        <f>1078293440</f>
        <v>1.07829344E9</v>
      </c>
      <c r="W144" s="32" t="n">
        <f>814513000</f>
        <v>8.14513E8</v>
      </c>
      <c r="X144" s="36" t="n">
        <f>19</f>
        <v>19.0</v>
      </c>
    </row>
    <row r="145">
      <c r="A145" s="27" t="s">
        <v>42</v>
      </c>
      <c r="B145" s="27" t="s">
        <v>484</v>
      </c>
      <c r="C145" s="27" t="s">
        <v>485</v>
      </c>
      <c r="D145" s="27" t="s">
        <v>486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1562</f>
        <v>1562.0</v>
      </c>
      <c r="L145" s="34" t="s">
        <v>48</v>
      </c>
      <c r="M145" s="33" t="n">
        <f>1629</f>
        <v>1629.0</v>
      </c>
      <c r="N145" s="34" t="s">
        <v>49</v>
      </c>
      <c r="O145" s="33" t="n">
        <f>1497</f>
        <v>1497.0</v>
      </c>
      <c r="P145" s="34" t="s">
        <v>50</v>
      </c>
      <c r="Q145" s="33" t="n">
        <f>1587</f>
        <v>1587.0</v>
      </c>
      <c r="R145" s="34" t="s">
        <v>51</v>
      </c>
      <c r="S145" s="35" t="n">
        <f>1563.75</f>
        <v>1563.75</v>
      </c>
      <c r="T145" s="32" t="n">
        <f>74440</f>
        <v>74440.0</v>
      </c>
      <c r="U145" s="32" t="n">
        <f>64000</f>
        <v>64000.0</v>
      </c>
      <c r="V145" s="32" t="n">
        <f>114780955</f>
        <v>1.14780955E8</v>
      </c>
      <c r="W145" s="32" t="n">
        <f>98457600</f>
        <v>9.84576E7</v>
      </c>
      <c r="X145" s="36" t="n">
        <f>14</f>
        <v>14.0</v>
      </c>
    </row>
    <row r="146">
      <c r="A146" s="27" t="s">
        <v>42</v>
      </c>
      <c r="B146" s="27" t="s">
        <v>487</v>
      </c>
      <c r="C146" s="27" t="s">
        <v>488</v>
      </c>
      <c r="D146" s="27" t="s">
        <v>489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387.8</f>
        <v>387.8</v>
      </c>
      <c r="L146" s="34" t="s">
        <v>48</v>
      </c>
      <c r="M146" s="33" t="n">
        <f>396.7</f>
        <v>396.7</v>
      </c>
      <c r="N146" s="34" t="s">
        <v>66</v>
      </c>
      <c r="O146" s="33" t="n">
        <f>369.1</f>
        <v>369.1</v>
      </c>
      <c r="P146" s="34" t="s">
        <v>95</v>
      </c>
      <c r="Q146" s="33" t="n">
        <f>388</f>
        <v>388.0</v>
      </c>
      <c r="R146" s="34" t="s">
        <v>51</v>
      </c>
      <c r="S146" s="35" t="n">
        <f>382.06</f>
        <v>382.06</v>
      </c>
      <c r="T146" s="32" t="n">
        <f>47348700</f>
        <v>4.73487E7</v>
      </c>
      <c r="U146" s="32" t="n">
        <f>1311210</f>
        <v>1311210.0</v>
      </c>
      <c r="V146" s="32" t="n">
        <f>17967436435</f>
        <v>1.7967436435E10</v>
      </c>
      <c r="W146" s="32" t="n">
        <f>490569784</f>
        <v>4.90569784E8</v>
      </c>
      <c r="X146" s="36" t="n">
        <f>22</f>
        <v>22.0</v>
      </c>
    </row>
    <row r="147">
      <c r="A147" s="27" t="s">
        <v>42</v>
      </c>
      <c r="B147" s="27" t="s">
        <v>490</v>
      </c>
      <c r="C147" s="27" t="s">
        <v>491</v>
      </c>
      <c r="D147" s="27" t="s">
        <v>492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269.2</f>
        <v>269.2</v>
      </c>
      <c r="L147" s="34" t="s">
        <v>48</v>
      </c>
      <c r="M147" s="33" t="n">
        <f>273.5</f>
        <v>273.5</v>
      </c>
      <c r="N147" s="34" t="s">
        <v>50</v>
      </c>
      <c r="O147" s="33" t="n">
        <f>267.3</f>
        <v>267.3</v>
      </c>
      <c r="P147" s="34" t="s">
        <v>94</v>
      </c>
      <c r="Q147" s="33" t="n">
        <f>271.8</f>
        <v>271.8</v>
      </c>
      <c r="R147" s="34" t="s">
        <v>51</v>
      </c>
      <c r="S147" s="35" t="n">
        <f>270.4</f>
        <v>270.4</v>
      </c>
      <c r="T147" s="32" t="n">
        <f>19338660</f>
        <v>1.933866E7</v>
      </c>
      <c r="U147" s="32" t="n">
        <f>16924110</f>
        <v>1.692411E7</v>
      </c>
      <c r="V147" s="32" t="n">
        <f>5217073342</f>
        <v>5.217073342E9</v>
      </c>
      <c r="W147" s="32" t="n">
        <f>4562101808</f>
        <v>4.562101808E9</v>
      </c>
      <c r="X147" s="36" t="n">
        <f>22</f>
        <v>22.0</v>
      </c>
    </row>
    <row r="148">
      <c r="A148" s="27" t="s">
        <v>42</v>
      </c>
      <c r="B148" s="27" t="s">
        <v>493</v>
      </c>
      <c r="C148" s="27" t="s">
        <v>494</v>
      </c>
      <c r="D148" s="27" t="s">
        <v>495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3430</f>
        <v>3430.0</v>
      </c>
      <c r="L148" s="34" t="s">
        <v>48</v>
      </c>
      <c r="M148" s="33" t="n">
        <f>3495</f>
        <v>3495.0</v>
      </c>
      <c r="N148" s="34" t="s">
        <v>66</v>
      </c>
      <c r="O148" s="33" t="n">
        <f>3240</f>
        <v>3240.0</v>
      </c>
      <c r="P148" s="34" t="s">
        <v>62</v>
      </c>
      <c r="Q148" s="33" t="n">
        <f>3420</f>
        <v>3420.0</v>
      </c>
      <c r="R148" s="34" t="s">
        <v>51</v>
      </c>
      <c r="S148" s="35" t="n">
        <f>3363.41</f>
        <v>3363.41</v>
      </c>
      <c r="T148" s="32" t="n">
        <f>188610</f>
        <v>188610.0</v>
      </c>
      <c r="U148" s="32" t="n">
        <f>47915</f>
        <v>47915.0</v>
      </c>
      <c r="V148" s="32" t="n">
        <f>622875777</f>
        <v>6.22875777E8</v>
      </c>
      <c r="W148" s="32" t="n">
        <f>160302472</f>
        <v>1.60302472E8</v>
      </c>
      <c r="X148" s="36" t="n">
        <f>22</f>
        <v>22.0</v>
      </c>
    </row>
    <row r="149">
      <c r="A149" s="27" t="s">
        <v>42</v>
      </c>
      <c r="B149" s="27" t="s">
        <v>496</v>
      </c>
      <c r="C149" s="27" t="s">
        <v>497</v>
      </c>
      <c r="D149" s="27" t="s">
        <v>498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2161</f>
        <v>2161.0</v>
      </c>
      <c r="L149" s="34" t="s">
        <v>48</v>
      </c>
      <c r="M149" s="33" t="n">
        <f>2244</f>
        <v>2244.0</v>
      </c>
      <c r="N149" s="34" t="s">
        <v>66</v>
      </c>
      <c r="O149" s="33" t="n">
        <f>2050</f>
        <v>2050.0</v>
      </c>
      <c r="P149" s="34" t="s">
        <v>62</v>
      </c>
      <c r="Q149" s="33" t="n">
        <f>2170</f>
        <v>2170.0</v>
      </c>
      <c r="R149" s="34" t="s">
        <v>51</v>
      </c>
      <c r="S149" s="35" t="n">
        <f>2147.59</f>
        <v>2147.59</v>
      </c>
      <c r="T149" s="32" t="n">
        <f>77018</f>
        <v>77018.0</v>
      </c>
      <c r="U149" s="32" t="str">
        <f>"－"</f>
        <v>－</v>
      </c>
      <c r="V149" s="32" t="n">
        <f>163949405</f>
        <v>1.63949405E8</v>
      </c>
      <c r="W149" s="32" t="str">
        <f>"－"</f>
        <v>－</v>
      </c>
      <c r="X149" s="36" t="n">
        <f>22</f>
        <v>22.0</v>
      </c>
    </row>
    <row r="150">
      <c r="A150" s="27" t="s">
        <v>42</v>
      </c>
      <c r="B150" s="27" t="s">
        <v>499</v>
      </c>
      <c r="C150" s="27" t="s">
        <v>500</v>
      </c>
      <c r="D150" s="27" t="s">
        <v>501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2626</f>
        <v>2626.0</v>
      </c>
      <c r="L150" s="34" t="s">
        <v>48</v>
      </c>
      <c r="M150" s="33" t="n">
        <f>2665</f>
        <v>2665.0</v>
      </c>
      <c r="N150" s="34" t="s">
        <v>66</v>
      </c>
      <c r="O150" s="33" t="n">
        <f>2238</f>
        <v>2238.0</v>
      </c>
      <c r="P150" s="34" t="s">
        <v>95</v>
      </c>
      <c r="Q150" s="33" t="n">
        <f>2435</f>
        <v>2435.0</v>
      </c>
      <c r="R150" s="34" t="s">
        <v>51</v>
      </c>
      <c r="S150" s="35" t="n">
        <f>2478.68</f>
        <v>2478.68</v>
      </c>
      <c r="T150" s="32" t="n">
        <f>357326</f>
        <v>357326.0</v>
      </c>
      <c r="U150" s="32" t="n">
        <f>101</f>
        <v>101.0</v>
      </c>
      <c r="V150" s="32" t="n">
        <f>855074579</f>
        <v>8.55074579E8</v>
      </c>
      <c r="W150" s="32" t="n">
        <f>235624</f>
        <v>235624.0</v>
      </c>
      <c r="X150" s="36" t="n">
        <f>22</f>
        <v>22.0</v>
      </c>
    </row>
    <row r="151">
      <c r="A151" s="27" t="s">
        <v>42</v>
      </c>
      <c r="B151" s="27" t="s">
        <v>502</v>
      </c>
      <c r="C151" s="27" t="s">
        <v>503</v>
      </c>
      <c r="D151" s="27" t="s">
        <v>504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10515</f>
        <v>10515.0</v>
      </c>
      <c r="L151" s="34" t="s">
        <v>48</v>
      </c>
      <c r="M151" s="33" t="n">
        <f>10550</f>
        <v>10550.0</v>
      </c>
      <c r="N151" s="34" t="s">
        <v>94</v>
      </c>
      <c r="O151" s="33" t="n">
        <f>9935</f>
        <v>9935.0</v>
      </c>
      <c r="P151" s="34" t="s">
        <v>62</v>
      </c>
      <c r="Q151" s="33" t="n">
        <f>10175</f>
        <v>10175.0</v>
      </c>
      <c r="R151" s="34" t="s">
        <v>51</v>
      </c>
      <c r="S151" s="35" t="n">
        <f>10239.86</f>
        <v>10239.86</v>
      </c>
      <c r="T151" s="32" t="n">
        <f>132804</f>
        <v>132804.0</v>
      </c>
      <c r="U151" s="32" t="n">
        <f>81961</f>
        <v>81961.0</v>
      </c>
      <c r="V151" s="32" t="n">
        <f>1369782493</f>
        <v>1.369782493E9</v>
      </c>
      <c r="W151" s="32" t="n">
        <f>849495801</f>
        <v>8.49495801E8</v>
      </c>
      <c r="X151" s="36" t="n">
        <f>22</f>
        <v>22.0</v>
      </c>
    </row>
    <row r="152">
      <c r="A152" s="27" t="s">
        <v>42</v>
      </c>
      <c r="B152" s="27" t="s">
        <v>505</v>
      </c>
      <c r="C152" s="27" t="s">
        <v>506</v>
      </c>
      <c r="D152" s="27" t="s">
        <v>507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2519</f>
        <v>2519.0</v>
      </c>
      <c r="L152" s="34" t="s">
        <v>48</v>
      </c>
      <c r="M152" s="33" t="n">
        <f>2651</f>
        <v>2651.0</v>
      </c>
      <c r="N152" s="34" t="s">
        <v>66</v>
      </c>
      <c r="O152" s="33" t="n">
        <f>2105</f>
        <v>2105.0</v>
      </c>
      <c r="P152" s="34" t="s">
        <v>62</v>
      </c>
      <c r="Q152" s="33" t="n">
        <f>2383</f>
        <v>2383.0</v>
      </c>
      <c r="R152" s="34" t="s">
        <v>51</v>
      </c>
      <c r="S152" s="35" t="n">
        <f>2383.36</f>
        <v>2383.36</v>
      </c>
      <c r="T152" s="32" t="n">
        <f>10180782</f>
        <v>1.0180782E7</v>
      </c>
      <c r="U152" s="32" t="n">
        <f>200</f>
        <v>200.0</v>
      </c>
      <c r="V152" s="32" t="n">
        <f>23813082024</f>
        <v>2.3813082024E10</v>
      </c>
      <c r="W152" s="32" t="n">
        <f>440400</f>
        <v>440400.0</v>
      </c>
      <c r="X152" s="36" t="n">
        <f>22</f>
        <v>22.0</v>
      </c>
    </row>
    <row r="153">
      <c r="A153" s="27" t="s">
        <v>42</v>
      </c>
      <c r="B153" s="27" t="s">
        <v>508</v>
      </c>
      <c r="C153" s="27" t="s">
        <v>509</v>
      </c>
      <c r="D153" s="27" t="s">
        <v>510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23350</f>
        <v>23350.0</v>
      </c>
      <c r="L153" s="34" t="s">
        <v>48</v>
      </c>
      <c r="M153" s="33" t="n">
        <f>25000</f>
        <v>25000.0</v>
      </c>
      <c r="N153" s="34" t="s">
        <v>51</v>
      </c>
      <c r="O153" s="33" t="n">
        <f>23350</f>
        <v>23350.0</v>
      </c>
      <c r="P153" s="34" t="s">
        <v>48</v>
      </c>
      <c r="Q153" s="33" t="n">
        <f>24760</f>
        <v>24760.0</v>
      </c>
      <c r="R153" s="34" t="s">
        <v>51</v>
      </c>
      <c r="S153" s="35" t="n">
        <f>23960</f>
        <v>23960.0</v>
      </c>
      <c r="T153" s="32" t="n">
        <f>4471</f>
        <v>4471.0</v>
      </c>
      <c r="U153" s="32" t="str">
        <f>"－"</f>
        <v>－</v>
      </c>
      <c r="V153" s="32" t="n">
        <f>107794945</f>
        <v>1.07794945E8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511</v>
      </c>
      <c r="C154" s="27" t="s">
        <v>512</v>
      </c>
      <c r="D154" s="27" t="s">
        <v>513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2639</f>
        <v>2639.0</v>
      </c>
      <c r="L154" s="34" t="s">
        <v>48</v>
      </c>
      <c r="M154" s="33" t="n">
        <f>2940</f>
        <v>2940.0</v>
      </c>
      <c r="N154" s="34" t="s">
        <v>51</v>
      </c>
      <c r="O154" s="33" t="n">
        <f>2522.5</f>
        <v>2522.5</v>
      </c>
      <c r="P154" s="34" t="s">
        <v>49</v>
      </c>
      <c r="Q154" s="33" t="n">
        <f>2930.5</f>
        <v>2930.5</v>
      </c>
      <c r="R154" s="34" t="s">
        <v>51</v>
      </c>
      <c r="S154" s="35" t="n">
        <f>2708.02</f>
        <v>2708.02</v>
      </c>
      <c r="T154" s="32" t="n">
        <f>34460</f>
        <v>34460.0</v>
      </c>
      <c r="U154" s="32" t="str">
        <f>"－"</f>
        <v>－</v>
      </c>
      <c r="V154" s="32" t="n">
        <f>93428670</f>
        <v>9.342867E7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514</v>
      </c>
      <c r="C155" s="27" t="s">
        <v>515</v>
      </c>
      <c r="D155" s="27" t="s">
        <v>516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12045</f>
        <v>12045.0</v>
      </c>
      <c r="L155" s="34" t="s">
        <v>48</v>
      </c>
      <c r="M155" s="33" t="n">
        <f>12650</f>
        <v>12650.0</v>
      </c>
      <c r="N155" s="34" t="s">
        <v>94</v>
      </c>
      <c r="O155" s="33" t="n">
        <f>11800</f>
        <v>11800.0</v>
      </c>
      <c r="P155" s="34" t="s">
        <v>164</v>
      </c>
      <c r="Q155" s="33" t="n">
        <f>12115</f>
        <v>12115.0</v>
      </c>
      <c r="R155" s="34" t="s">
        <v>51</v>
      </c>
      <c r="S155" s="35" t="n">
        <f>12052.5</f>
        <v>12052.5</v>
      </c>
      <c r="T155" s="32" t="n">
        <f>6378</f>
        <v>6378.0</v>
      </c>
      <c r="U155" s="32" t="str">
        <f>"－"</f>
        <v>－</v>
      </c>
      <c r="V155" s="32" t="n">
        <f>77541890</f>
        <v>7.754189E7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517</v>
      </c>
      <c r="C156" s="27" t="s">
        <v>518</v>
      </c>
      <c r="D156" s="27" t="s">
        <v>519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17775</f>
        <v>17775.0</v>
      </c>
      <c r="L156" s="34" t="s">
        <v>48</v>
      </c>
      <c r="M156" s="33" t="n">
        <f>18840</f>
        <v>18840.0</v>
      </c>
      <c r="N156" s="34" t="s">
        <v>520</v>
      </c>
      <c r="O156" s="33" t="n">
        <f>17290</f>
        <v>17290.0</v>
      </c>
      <c r="P156" s="34" t="s">
        <v>187</v>
      </c>
      <c r="Q156" s="33" t="n">
        <f>18180</f>
        <v>18180.0</v>
      </c>
      <c r="R156" s="34" t="s">
        <v>51</v>
      </c>
      <c r="S156" s="35" t="n">
        <f>17886.82</f>
        <v>17886.82</v>
      </c>
      <c r="T156" s="32" t="n">
        <f>3016</f>
        <v>3016.0</v>
      </c>
      <c r="U156" s="32" t="str">
        <f>"－"</f>
        <v>－</v>
      </c>
      <c r="V156" s="32" t="n">
        <f>53979800</f>
        <v>5.39798E7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521</v>
      </c>
      <c r="C157" s="27" t="s">
        <v>522</v>
      </c>
      <c r="D157" s="27" t="s">
        <v>523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17430</f>
        <v>17430.0</v>
      </c>
      <c r="L157" s="34" t="s">
        <v>48</v>
      </c>
      <c r="M157" s="33" t="n">
        <f>18145</f>
        <v>18145.0</v>
      </c>
      <c r="N157" s="34" t="s">
        <v>95</v>
      </c>
      <c r="O157" s="33" t="n">
        <f>17005</f>
        <v>17005.0</v>
      </c>
      <c r="P157" s="34" t="s">
        <v>49</v>
      </c>
      <c r="Q157" s="33" t="n">
        <f>18100</f>
        <v>18100.0</v>
      </c>
      <c r="R157" s="34" t="s">
        <v>51</v>
      </c>
      <c r="S157" s="35" t="n">
        <f>17631.79</f>
        <v>17631.79</v>
      </c>
      <c r="T157" s="32" t="n">
        <f>158</f>
        <v>158.0</v>
      </c>
      <c r="U157" s="32" t="str">
        <f>"－"</f>
        <v>－</v>
      </c>
      <c r="V157" s="32" t="n">
        <f>2810285</f>
        <v>2810285.0</v>
      </c>
      <c r="W157" s="32" t="str">
        <f>"－"</f>
        <v>－</v>
      </c>
      <c r="X157" s="36" t="n">
        <f>14</f>
        <v>14.0</v>
      </c>
    </row>
    <row r="158">
      <c r="A158" s="27" t="s">
        <v>42</v>
      </c>
      <c r="B158" s="27" t="s">
        <v>524</v>
      </c>
      <c r="C158" s="27" t="s">
        <v>525</v>
      </c>
      <c r="D158" s="27" t="s">
        <v>526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49100</f>
        <v>49100.0</v>
      </c>
      <c r="L158" s="34" t="s">
        <v>48</v>
      </c>
      <c r="M158" s="33" t="n">
        <f>49610</f>
        <v>49610.0</v>
      </c>
      <c r="N158" s="34" t="s">
        <v>51</v>
      </c>
      <c r="O158" s="33" t="n">
        <f>48900</f>
        <v>48900.0</v>
      </c>
      <c r="P158" s="34" t="s">
        <v>187</v>
      </c>
      <c r="Q158" s="33" t="n">
        <f>49360</f>
        <v>49360.0</v>
      </c>
      <c r="R158" s="34" t="s">
        <v>51</v>
      </c>
      <c r="S158" s="35" t="n">
        <f>49165</f>
        <v>49165.0</v>
      </c>
      <c r="T158" s="32" t="n">
        <f>3430</f>
        <v>3430.0</v>
      </c>
      <c r="U158" s="32" t="n">
        <f>10</f>
        <v>10.0</v>
      </c>
      <c r="V158" s="32" t="n">
        <f>168855400</f>
        <v>1.688554E8</v>
      </c>
      <c r="W158" s="32" t="n">
        <f>490600</f>
        <v>490600.0</v>
      </c>
      <c r="X158" s="36" t="n">
        <f>22</f>
        <v>22.0</v>
      </c>
    </row>
    <row r="159">
      <c r="A159" s="27" t="s">
        <v>42</v>
      </c>
      <c r="B159" s="27" t="s">
        <v>527</v>
      </c>
      <c r="C159" s="27" t="s">
        <v>528</v>
      </c>
      <c r="D159" s="27" t="s">
        <v>529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100.0</v>
      </c>
      <c r="K159" s="33" t="n">
        <f>256.4</f>
        <v>256.4</v>
      </c>
      <c r="L159" s="34" t="s">
        <v>48</v>
      </c>
      <c r="M159" s="33" t="n">
        <f>266.5</f>
        <v>266.5</v>
      </c>
      <c r="N159" s="34" t="s">
        <v>49</v>
      </c>
      <c r="O159" s="33" t="n">
        <f>240.6</f>
        <v>240.6</v>
      </c>
      <c r="P159" s="34" t="s">
        <v>123</v>
      </c>
      <c r="Q159" s="33" t="n">
        <f>251</f>
        <v>251.0</v>
      </c>
      <c r="R159" s="34" t="s">
        <v>51</v>
      </c>
      <c r="S159" s="35" t="n">
        <f>252.04</f>
        <v>252.04</v>
      </c>
      <c r="T159" s="32" t="n">
        <f>16296600</f>
        <v>1.62966E7</v>
      </c>
      <c r="U159" s="32" t="n">
        <f>100</f>
        <v>100.0</v>
      </c>
      <c r="V159" s="32" t="n">
        <f>4104497425</f>
        <v>4.104497425E9</v>
      </c>
      <c r="W159" s="32" t="n">
        <f>24395</f>
        <v>24395.0</v>
      </c>
      <c r="X159" s="36" t="n">
        <f>22</f>
        <v>22.0</v>
      </c>
    </row>
    <row r="160">
      <c r="A160" s="27" t="s">
        <v>42</v>
      </c>
      <c r="B160" s="27" t="s">
        <v>530</v>
      </c>
      <c r="C160" s="27" t="s">
        <v>531</v>
      </c>
      <c r="D160" s="27" t="s">
        <v>532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37870</f>
        <v>37870.0</v>
      </c>
      <c r="L160" s="34" t="s">
        <v>48</v>
      </c>
      <c r="M160" s="33" t="n">
        <f>38780</f>
        <v>38780.0</v>
      </c>
      <c r="N160" s="34" t="s">
        <v>66</v>
      </c>
      <c r="O160" s="33" t="n">
        <f>35650</f>
        <v>35650.0</v>
      </c>
      <c r="P160" s="34" t="s">
        <v>95</v>
      </c>
      <c r="Q160" s="33" t="n">
        <f>37170</f>
        <v>37170.0</v>
      </c>
      <c r="R160" s="34" t="s">
        <v>51</v>
      </c>
      <c r="S160" s="35" t="n">
        <f>37087.73</f>
        <v>37087.73</v>
      </c>
      <c r="T160" s="32" t="n">
        <f>18230</f>
        <v>18230.0</v>
      </c>
      <c r="U160" s="32" t="n">
        <f>8100</f>
        <v>8100.0</v>
      </c>
      <c r="V160" s="32" t="n">
        <f>687083150</f>
        <v>6.8708315E8</v>
      </c>
      <c r="W160" s="32" t="n">
        <f>313765650</f>
        <v>3.1376565E8</v>
      </c>
      <c r="X160" s="36" t="n">
        <f>22</f>
        <v>22.0</v>
      </c>
    </row>
    <row r="161">
      <c r="A161" s="27" t="s">
        <v>42</v>
      </c>
      <c r="B161" s="27" t="s">
        <v>533</v>
      </c>
      <c r="C161" s="27" t="s">
        <v>534</v>
      </c>
      <c r="D161" s="27" t="s">
        <v>535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3896</f>
        <v>3896.0</v>
      </c>
      <c r="L161" s="34" t="s">
        <v>48</v>
      </c>
      <c r="M161" s="33" t="n">
        <f>3973</f>
        <v>3973.0</v>
      </c>
      <c r="N161" s="34" t="s">
        <v>66</v>
      </c>
      <c r="O161" s="33" t="n">
        <f>3687</f>
        <v>3687.0</v>
      </c>
      <c r="P161" s="34" t="s">
        <v>62</v>
      </c>
      <c r="Q161" s="33" t="n">
        <f>3882</f>
        <v>3882.0</v>
      </c>
      <c r="R161" s="34" t="s">
        <v>51</v>
      </c>
      <c r="S161" s="35" t="n">
        <f>3820.73</f>
        <v>3820.73</v>
      </c>
      <c r="T161" s="32" t="n">
        <f>73350</f>
        <v>73350.0</v>
      </c>
      <c r="U161" s="32" t="n">
        <f>10</f>
        <v>10.0</v>
      </c>
      <c r="V161" s="32" t="n">
        <f>277472760</f>
        <v>2.7747276E8</v>
      </c>
      <c r="W161" s="32" t="n">
        <f>38000</f>
        <v>38000.0</v>
      </c>
      <c r="X161" s="36" t="n">
        <f>22</f>
        <v>22.0</v>
      </c>
    </row>
    <row r="162">
      <c r="A162" s="27" t="s">
        <v>42</v>
      </c>
      <c r="B162" s="27" t="s">
        <v>536</v>
      </c>
      <c r="C162" s="27" t="s">
        <v>537</v>
      </c>
      <c r="D162" s="27" t="s">
        <v>538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1635</f>
        <v>1635.0</v>
      </c>
      <c r="L162" s="34" t="s">
        <v>48</v>
      </c>
      <c r="M162" s="33" t="n">
        <f>1700</f>
        <v>1700.0</v>
      </c>
      <c r="N162" s="34" t="s">
        <v>66</v>
      </c>
      <c r="O162" s="33" t="n">
        <f>1554</f>
        <v>1554.0</v>
      </c>
      <c r="P162" s="34" t="s">
        <v>62</v>
      </c>
      <c r="Q162" s="33" t="n">
        <f>1647</f>
        <v>1647.0</v>
      </c>
      <c r="R162" s="34" t="s">
        <v>51</v>
      </c>
      <c r="S162" s="35" t="n">
        <f>1623.07</f>
        <v>1623.07</v>
      </c>
      <c r="T162" s="32" t="n">
        <f>307120</f>
        <v>307120.0</v>
      </c>
      <c r="U162" s="32" t="n">
        <f>37310</f>
        <v>37310.0</v>
      </c>
      <c r="V162" s="32" t="n">
        <f>492504242</f>
        <v>4.92504242E8</v>
      </c>
      <c r="W162" s="32" t="n">
        <f>58959622</f>
        <v>5.8959622E7</v>
      </c>
      <c r="X162" s="36" t="n">
        <f>22</f>
        <v>22.0</v>
      </c>
    </row>
    <row r="163">
      <c r="A163" s="27" t="s">
        <v>42</v>
      </c>
      <c r="B163" s="27" t="s">
        <v>539</v>
      </c>
      <c r="C163" s="27" t="s">
        <v>540</v>
      </c>
      <c r="D163" s="27" t="s">
        <v>541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222</f>
        <v>222.0</v>
      </c>
      <c r="L163" s="34" t="s">
        <v>48</v>
      </c>
      <c r="M163" s="33" t="n">
        <f>232</f>
        <v>232.0</v>
      </c>
      <c r="N163" s="34" t="s">
        <v>49</v>
      </c>
      <c r="O163" s="33" t="n">
        <f>215</f>
        <v>215.0</v>
      </c>
      <c r="P163" s="34" t="s">
        <v>62</v>
      </c>
      <c r="Q163" s="33" t="n">
        <f>224.9</f>
        <v>224.9</v>
      </c>
      <c r="R163" s="34" t="s">
        <v>51</v>
      </c>
      <c r="S163" s="35" t="n">
        <f>223.01</f>
        <v>223.01</v>
      </c>
      <c r="T163" s="32" t="n">
        <f>138100</f>
        <v>138100.0</v>
      </c>
      <c r="U163" s="32" t="str">
        <f>"－"</f>
        <v>－</v>
      </c>
      <c r="V163" s="32" t="n">
        <f>30759970</f>
        <v>3.075997E7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542</v>
      </c>
      <c r="C164" s="27" t="s">
        <v>543</v>
      </c>
      <c r="D164" s="27" t="s">
        <v>544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1543</f>
        <v>1543.0</v>
      </c>
      <c r="L164" s="34" t="s">
        <v>48</v>
      </c>
      <c r="M164" s="33" t="n">
        <f>1563</f>
        <v>1563.0</v>
      </c>
      <c r="N164" s="34" t="s">
        <v>61</v>
      </c>
      <c r="O164" s="33" t="n">
        <f>1427.5</f>
        <v>1427.5</v>
      </c>
      <c r="P164" s="34" t="s">
        <v>123</v>
      </c>
      <c r="Q164" s="33" t="n">
        <f>1427.5</f>
        <v>1427.5</v>
      </c>
      <c r="R164" s="34" t="s">
        <v>123</v>
      </c>
      <c r="S164" s="35" t="n">
        <f>1501.38</f>
        <v>1501.38</v>
      </c>
      <c r="T164" s="32" t="n">
        <f>840</f>
        <v>840.0</v>
      </c>
      <c r="U164" s="32" t="str">
        <f>"－"</f>
        <v>－</v>
      </c>
      <c r="V164" s="32" t="n">
        <f>1244810</f>
        <v>1244810.0</v>
      </c>
      <c r="W164" s="32" t="str">
        <f>"－"</f>
        <v>－</v>
      </c>
      <c r="X164" s="36" t="n">
        <f>8</f>
        <v>8.0</v>
      </c>
    </row>
    <row r="165">
      <c r="A165" s="27" t="s">
        <v>42</v>
      </c>
      <c r="B165" s="27" t="s">
        <v>545</v>
      </c>
      <c r="C165" s="27" t="s">
        <v>546</v>
      </c>
      <c r="D165" s="27" t="s">
        <v>547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538.9</f>
        <v>538.9</v>
      </c>
      <c r="L165" s="34" t="s">
        <v>48</v>
      </c>
      <c r="M165" s="33" t="n">
        <f>550.9</f>
        <v>550.9</v>
      </c>
      <c r="N165" s="34" t="s">
        <v>66</v>
      </c>
      <c r="O165" s="33" t="n">
        <f>453.2</f>
        <v>453.2</v>
      </c>
      <c r="P165" s="34" t="s">
        <v>62</v>
      </c>
      <c r="Q165" s="33" t="n">
        <f>478.6</f>
        <v>478.6</v>
      </c>
      <c r="R165" s="34" t="s">
        <v>51</v>
      </c>
      <c r="S165" s="35" t="n">
        <f>500.93</f>
        <v>500.93</v>
      </c>
      <c r="T165" s="32" t="n">
        <f>27840</f>
        <v>27840.0</v>
      </c>
      <c r="U165" s="32" t="str">
        <f>"－"</f>
        <v>－</v>
      </c>
      <c r="V165" s="32" t="n">
        <f>13511649</f>
        <v>1.3511649E7</v>
      </c>
      <c r="W165" s="32" t="str">
        <f>"－"</f>
        <v>－</v>
      </c>
      <c r="X165" s="36" t="n">
        <f>19</f>
        <v>19.0</v>
      </c>
    </row>
    <row r="166">
      <c r="A166" s="27" t="s">
        <v>42</v>
      </c>
      <c r="B166" s="27" t="s">
        <v>548</v>
      </c>
      <c r="C166" s="27" t="s">
        <v>549</v>
      </c>
      <c r="D166" s="27" t="s">
        <v>550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2166</f>
        <v>2166.0</v>
      </c>
      <c r="L166" s="34" t="s">
        <v>48</v>
      </c>
      <c r="M166" s="33" t="n">
        <f>2222.5</f>
        <v>2222.5</v>
      </c>
      <c r="N166" s="34" t="s">
        <v>77</v>
      </c>
      <c r="O166" s="33" t="n">
        <f>1994</f>
        <v>1994.0</v>
      </c>
      <c r="P166" s="34" t="s">
        <v>456</v>
      </c>
      <c r="Q166" s="33" t="n">
        <f>2076.5</f>
        <v>2076.5</v>
      </c>
      <c r="R166" s="34" t="s">
        <v>51</v>
      </c>
      <c r="S166" s="35" t="n">
        <f>2091.69</f>
        <v>2091.69</v>
      </c>
      <c r="T166" s="32" t="n">
        <f>3490</f>
        <v>3490.0</v>
      </c>
      <c r="U166" s="32" t="str">
        <f>"－"</f>
        <v>－</v>
      </c>
      <c r="V166" s="32" t="n">
        <f>7444900</f>
        <v>7444900.0</v>
      </c>
      <c r="W166" s="32" t="str">
        <f>"－"</f>
        <v>－</v>
      </c>
      <c r="X166" s="36" t="n">
        <f>21</f>
        <v>21.0</v>
      </c>
    </row>
    <row r="167">
      <c r="A167" s="27" t="s">
        <v>42</v>
      </c>
      <c r="B167" s="27" t="s">
        <v>551</v>
      </c>
      <c r="C167" s="27" t="s">
        <v>552</v>
      </c>
      <c r="D167" s="27" t="s">
        <v>553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913.7</f>
        <v>913.7</v>
      </c>
      <c r="L167" s="34" t="s">
        <v>48</v>
      </c>
      <c r="M167" s="33" t="n">
        <f>926.2</f>
        <v>926.2</v>
      </c>
      <c r="N167" s="34" t="s">
        <v>163</v>
      </c>
      <c r="O167" s="33" t="n">
        <f>828.3</f>
        <v>828.3</v>
      </c>
      <c r="P167" s="34" t="s">
        <v>95</v>
      </c>
      <c r="Q167" s="33" t="n">
        <f>877.1</f>
        <v>877.1</v>
      </c>
      <c r="R167" s="34" t="s">
        <v>51</v>
      </c>
      <c r="S167" s="35" t="n">
        <f>886.63</f>
        <v>886.63</v>
      </c>
      <c r="T167" s="32" t="n">
        <f>39880</f>
        <v>39880.0</v>
      </c>
      <c r="U167" s="32" t="str">
        <f>"－"</f>
        <v>－</v>
      </c>
      <c r="V167" s="32" t="n">
        <f>35121190</f>
        <v>3.512119E7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554</v>
      </c>
      <c r="C168" s="27" t="s">
        <v>555</v>
      </c>
      <c r="D168" s="27" t="s">
        <v>556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632</f>
        <v>632.0</v>
      </c>
      <c r="L168" s="34" t="s">
        <v>48</v>
      </c>
      <c r="M168" s="33" t="n">
        <f>645.5</f>
        <v>645.5</v>
      </c>
      <c r="N168" s="34" t="s">
        <v>163</v>
      </c>
      <c r="O168" s="33" t="n">
        <f>588.2</f>
        <v>588.2</v>
      </c>
      <c r="P168" s="34" t="s">
        <v>95</v>
      </c>
      <c r="Q168" s="33" t="n">
        <f>623.5</f>
        <v>623.5</v>
      </c>
      <c r="R168" s="34" t="s">
        <v>51</v>
      </c>
      <c r="S168" s="35" t="n">
        <f>623.4</f>
        <v>623.4</v>
      </c>
      <c r="T168" s="32" t="n">
        <f>170270</f>
        <v>170270.0</v>
      </c>
      <c r="U168" s="32" t="str">
        <f>"－"</f>
        <v>－</v>
      </c>
      <c r="V168" s="32" t="n">
        <f>104887223</f>
        <v>1.04887223E8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557</v>
      </c>
      <c r="C169" s="27" t="s">
        <v>558</v>
      </c>
      <c r="D169" s="27" t="s">
        <v>559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100.0</v>
      </c>
      <c r="K169" s="33" t="n">
        <f>1.5</f>
        <v>1.5</v>
      </c>
      <c r="L169" s="34" t="s">
        <v>48</v>
      </c>
      <c r="M169" s="33" t="n">
        <f>1.6</f>
        <v>1.6</v>
      </c>
      <c r="N169" s="34" t="s">
        <v>48</v>
      </c>
      <c r="O169" s="33" t="n">
        <f>1.1</f>
        <v>1.1</v>
      </c>
      <c r="P169" s="34" t="s">
        <v>95</v>
      </c>
      <c r="Q169" s="33" t="n">
        <f>1.2</f>
        <v>1.2</v>
      </c>
      <c r="R169" s="34" t="s">
        <v>51</v>
      </c>
      <c r="S169" s="35" t="n">
        <f>1.36</f>
        <v>1.36</v>
      </c>
      <c r="T169" s="32" t="n">
        <f>1484067600</f>
        <v>1.4840676E9</v>
      </c>
      <c r="U169" s="32" t="n">
        <f>100000</f>
        <v>100000.0</v>
      </c>
      <c r="V169" s="32" t="n">
        <f>1986443820</f>
        <v>1.98644382E9</v>
      </c>
      <c r="W169" s="32" t="n">
        <f>150000</f>
        <v>150000.0</v>
      </c>
      <c r="X169" s="36" t="n">
        <f>22</f>
        <v>22.0</v>
      </c>
    </row>
    <row r="170">
      <c r="A170" s="27" t="s">
        <v>42</v>
      </c>
      <c r="B170" s="27" t="s">
        <v>560</v>
      </c>
      <c r="C170" s="27" t="s">
        <v>561</v>
      </c>
      <c r="D170" s="27" t="s">
        <v>562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1203</f>
        <v>1203.0</v>
      </c>
      <c r="L170" s="34" t="s">
        <v>48</v>
      </c>
      <c r="M170" s="33" t="n">
        <f>1270.5</f>
        <v>1270.5</v>
      </c>
      <c r="N170" s="34" t="s">
        <v>66</v>
      </c>
      <c r="O170" s="33" t="n">
        <f>1015</f>
        <v>1015.0</v>
      </c>
      <c r="P170" s="34" t="s">
        <v>62</v>
      </c>
      <c r="Q170" s="33" t="n">
        <f>1140.5</f>
        <v>1140.5</v>
      </c>
      <c r="R170" s="34" t="s">
        <v>51</v>
      </c>
      <c r="S170" s="35" t="n">
        <f>1143.73</f>
        <v>1143.73</v>
      </c>
      <c r="T170" s="32" t="n">
        <f>159540</f>
        <v>159540.0</v>
      </c>
      <c r="U170" s="32" t="str">
        <f>"－"</f>
        <v>－</v>
      </c>
      <c r="V170" s="32" t="n">
        <f>174932395</f>
        <v>1.74932395E8</v>
      </c>
      <c r="W170" s="32" t="str">
        <f>"－"</f>
        <v>－</v>
      </c>
      <c r="X170" s="36" t="n">
        <f>22</f>
        <v>22.0</v>
      </c>
    </row>
    <row r="171">
      <c r="A171" s="27" t="s">
        <v>42</v>
      </c>
      <c r="B171" s="27" t="s">
        <v>563</v>
      </c>
      <c r="C171" s="27" t="s">
        <v>564</v>
      </c>
      <c r="D171" s="27" t="s">
        <v>565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6260</f>
        <v>6260.0</v>
      </c>
      <c r="L171" s="34" t="s">
        <v>48</v>
      </c>
      <c r="M171" s="33" t="n">
        <f>6661</f>
        <v>6661.0</v>
      </c>
      <c r="N171" s="34" t="s">
        <v>66</v>
      </c>
      <c r="O171" s="33" t="n">
        <f>5714</f>
        <v>5714.0</v>
      </c>
      <c r="P171" s="34" t="s">
        <v>62</v>
      </c>
      <c r="Q171" s="33" t="n">
        <f>6200</f>
        <v>6200.0</v>
      </c>
      <c r="R171" s="34" t="s">
        <v>164</v>
      </c>
      <c r="S171" s="35" t="n">
        <f>6229.47</f>
        <v>6229.47</v>
      </c>
      <c r="T171" s="32" t="n">
        <f>2016</f>
        <v>2016.0</v>
      </c>
      <c r="U171" s="32" t="str">
        <f>"－"</f>
        <v>－</v>
      </c>
      <c r="V171" s="32" t="n">
        <f>12876623</f>
        <v>1.2876623E7</v>
      </c>
      <c r="W171" s="32" t="str">
        <f>"－"</f>
        <v>－</v>
      </c>
      <c r="X171" s="36" t="n">
        <f>15</f>
        <v>15.0</v>
      </c>
    </row>
    <row r="172">
      <c r="A172" s="27" t="s">
        <v>42</v>
      </c>
      <c r="B172" s="27" t="s">
        <v>566</v>
      </c>
      <c r="C172" s="27" t="s">
        <v>567</v>
      </c>
      <c r="D172" s="27" t="s">
        <v>568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438.9</f>
        <v>438.9</v>
      </c>
      <c r="L172" s="34" t="s">
        <v>48</v>
      </c>
      <c r="M172" s="33" t="n">
        <f>455.4</f>
        <v>455.4</v>
      </c>
      <c r="N172" s="34" t="s">
        <v>77</v>
      </c>
      <c r="O172" s="33" t="n">
        <f>406.2</f>
        <v>406.2</v>
      </c>
      <c r="P172" s="34" t="s">
        <v>456</v>
      </c>
      <c r="Q172" s="33" t="n">
        <f>428.6</f>
        <v>428.6</v>
      </c>
      <c r="R172" s="34" t="s">
        <v>51</v>
      </c>
      <c r="S172" s="35" t="n">
        <f>427.5</f>
        <v>427.5</v>
      </c>
      <c r="T172" s="32" t="n">
        <f>112700</f>
        <v>112700.0</v>
      </c>
      <c r="U172" s="32" t="str">
        <f>"－"</f>
        <v>－</v>
      </c>
      <c r="V172" s="32" t="n">
        <f>48537030</f>
        <v>4.853703E7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569</v>
      </c>
      <c r="C173" s="27" t="s">
        <v>570</v>
      </c>
      <c r="D173" s="27" t="s">
        <v>571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4892</f>
        <v>4892.0</v>
      </c>
      <c r="L173" s="34" t="s">
        <v>48</v>
      </c>
      <c r="M173" s="33" t="n">
        <f>5023</f>
        <v>5023.0</v>
      </c>
      <c r="N173" s="34" t="s">
        <v>77</v>
      </c>
      <c r="O173" s="33" t="n">
        <f>4532</f>
        <v>4532.0</v>
      </c>
      <c r="P173" s="34" t="s">
        <v>62</v>
      </c>
      <c r="Q173" s="33" t="n">
        <f>4788</f>
        <v>4788.0</v>
      </c>
      <c r="R173" s="34" t="s">
        <v>51</v>
      </c>
      <c r="S173" s="35" t="n">
        <f>4779</f>
        <v>4779.0</v>
      </c>
      <c r="T173" s="32" t="n">
        <f>33650</f>
        <v>33650.0</v>
      </c>
      <c r="U173" s="32" t="str">
        <f>"－"</f>
        <v>－</v>
      </c>
      <c r="V173" s="32" t="n">
        <f>160834460</f>
        <v>1.6083446E8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572</v>
      </c>
      <c r="C174" s="27" t="s">
        <v>573</v>
      </c>
      <c r="D174" s="27" t="s">
        <v>574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3177</f>
        <v>3177.0</v>
      </c>
      <c r="L174" s="34" t="s">
        <v>48</v>
      </c>
      <c r="M174" s="33" t="n">
        <f>3193</f>
        <v>3193.0</v>
      </c>
      <c r="N174" s="34" t="s">
        <v>77</v>
      </c>
      <c r="O174" s="33" t="n">
        <f>2700.5</f>
        <v>2700.5</v>
      </c>
      <c r="P174" s="34" t="s">
        <v>95</v>
      </c>
      <c r="Q174" s="33" t="n">
        <f>2835.5</f>
        <v>2835.5</v>
      </c>
      <c r="R174" s="34" t="s">
        <v>51</v>
      </c>
      <c r="S174" s="35" t="n">
        <f>2943.27</f>
        <v>2943.27</v>
      </c>
      <c r="T174" s="32" t="n">
        <f>24400</f>
        <v>24400.0</v>
      </c>
      <c r="U174" s="32" t="str">
        <f>"－"</f>
        <v>－</v>
      </c>
      <c r="V174" s="32" t="n">
        <f>71303810</f>
        <v>7.130381E7</v>
      </c>
      <c r="W174" s="32" t="str">
        <f>"－"</f>
        <v>－</v>
      </c>
      <c r="X174" s="36" t="n">
        <f>22</f>
        <v>22.0</v>
      </c>
    </row>
    <row r="175">
      <c r="A175" s="27" t="s">
        <v>42</v>
      </c>
      <c r="B175" s="27" t="s">
        <v>575</v>
      </c>
      <c r="C175" s="27" t="s">
        <v>576</v>
      </c>
      <c r="D175" s="27" t="s">
        <v>577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94</f>
        <v>94.0</v>
      </c>
      <c r="L175" s="34" t="s">
        <v>48</v>
      </c>
      <c r="M175" s="33" t="n">
        <f>95.7</f>
        <v>95.7</v>
      </c>
      <c r="N175" s="34" t="s">
        <v>77</v>
      </c>
      <c r="O175" s="33" t="n">
        <f>83.8</f>
        <v>83.8</v>
      </c>
      <c r="P175" s="34" t="s">
        <v>95</v>
      </c>
      <c r="Q175" s="33" t="n">
        <f>89.2</f>
        <v>89.2</v>
      </c>
      <c r="R175" s="34" t="s">
        <v>51</v>
      </c>
      <c r="S175" s="35" t="n">
        <f>90.83</f>
        <v>90.83</v>
      </c>
      <c r="T175" s="32" t="n">
        <f>7753700</f>
        <v>7753700.0</v>
      </c>
      <c r="U175" s="32" t="n">
        <f>10000</f>
        <v>10000.0</v>
      </c>
      <c r="V175" s="32" t="n">
        <f>701253060</f>
        <v>7.0125306E8</v>
      </c>
      <c r="W175" s="32" t="n">
        <f>879000</f>
        <v>879000.0</v>
      </c>
      <c r="X175" s="36" t="n">
        <f>22</f>
        <v>22.0</v>
      </c>
    </row>
    <row r="176">
      <c r="A176" s="27" t="s">
        <v>42</v>
      </c>
      <c r="B176" s="27" t="s">
        <v>578</v>
      </c>
      <c r="C176" s="27" t="s">
        <v>579</v>
      </c>
      <c r="D176" s="27" t="s">
        <v>580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172.4</f>
        <v>172.4</v>
      </c>
      <c r="L176" s="34" t="s">
        <v>48</v>
      </c>
      <c r="M176" s="33" t="n">
        <f>175.7</f>
        <v>175.7</v>
      </c>
      <c r="N176" s="34" t="s">
        <v>163</v>
      </c>
      <c r="O176" s="33" t="n">
        <f>163</f>
        <v>163.0</v>
      </c>
      <c r="P176" s="34" t="s">
        <v>303</v>
      </c>
      <c r="Q176" s="33" t="n">
        <f>172.3</f>
        <v>172.3</v>
      </c>
      <c r="R176" s="34" t="s">
        <v>51</v>
      </c>
      <c r="S176" s="35" t="n">
        <f>169.65</f>
        <v>169.65</v>
      </c>
      <c r="T176" s="32" t="n">
        <f>465600</f>
        <v>465600.0</v>
      </c>
      <c r="U176" s="32" t="str">
        <f>"－"</f>
        <v>－</v>
      </c>
      <c r="V176" s="32" t="n">
        <f>78585590</f>
        <v>7.858559E7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581</v>
      </c>
      <c r="C177" s="27" t="s">
        <v>582</v>
      </c>
      <c r="D177" s="27" t="s">
        <v>583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4158</f>
        <v>4158.0</v>
      </c>
      <c r="L177" s="34" t="s">
        <v>48</v>
      </c>
      <c r="M177" s="33" t="n">
        <f>4277</f>
        <v>4277.0</v>
      </c>
      <c r="N177" s="34" t="s">
        <v>49</v>
      </c>
      <c r="O177" s="33" t="n">
        <f>3739</f>
        <v>3739.0</v>
      </c>
      <c r="P177" s="34" t="s">
        <v>95</v>
      </c>
      <c r="Q177" s="33" t="n">
        <f>4029</f>
        <v>4029.0</v>
      </c>
      <c r="R177" s="34" t="s">
        <v>51</v>
      </c>
      <c r="S177" s="35" t="n">
        <f>4071.82</f>
        <v>4071.82</v>
      </c>
      <c r="T177" s="32" t="n">
        <f>14960</f>
        <v>14960.0</v>
      </c>
      <c r="U177" s="32" t="str">
        <f>"－"</f>
        <v>－</v>
      </c>
      <c r="V177" s="32" t="n">
        <f>59153560</f>
        <v>5.915356E7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584</v>
      </c>
      <c r="C178" s="27" t="s">
        <v>585</v>
      </c>
      <c r="D178" s="27" t="s">
        <v>586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2171</f>
        <v>2171.0</v>
      </c>
      <c r="L178" s="34" t="s">
        <v>48</v>
      </c>
      <c r="M178" s="33" t="n">
        <f>2251.5</f>
        <v>2251.5</v>
      </c>
      <c r="N178" s="34" t="s">
        <v>49</v>
      </c>
      <c r="O178" s="33" t="n">
        <f>2051</f>
        <v>2051.0</v>
      </c>
      <c r="P178" s="34" t="s">
        <v>50</v>
      </c>
      <c r="Q178" s="33" t="n">
        <f>2170.5</f>
        <v>2170.5</v>
      </c>
      <c r="R178" s="34" t="s">
        <v>51</v>
      </c>
      <c r="S178" s="35" t="n">
        <f>2150.7</f>
        <v>2150.7</v>
      </c>
      <c r="T178" s="32" t="n">
        <f>603020</f>
        <v>603020.0</v>
      </c>
      <c r="U178" s="32" t="n">
        <f>429970</f>
        <v>429970.0</v>
      </c>
      <c r="V178" s="32" t="n">
        <f>1283248577</f>
        <v>1.283248577E9</v>
      </c>
      <c r="W178" s="32" t="n">
        <f>912235677</f>
        <v>9.12235677E8</v>
      </c>
      <c r="X178" s="36" t="n">
        <f>22</f>
        <v>22.0</v>
      </c>
    </row>
    <row r="179">
      <c r="A179" s="27" t="s">
        <v>42</v>
      </c>
      <c r="B179" s="27" t="s">
        <v>587</v>
      </c>
      <c r="C179" s="27" t="s">
        <v>588</v>
      </c>
      <c r="D179" s="27" t="s">
        <v>589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330.2</f>
        <v>330.2</v>
      </c>
      <c r="L179" s="34" t="s">
        <v>48</v>
      </c>
      <c r="M179" s="33" t="n">
        <f>347.7</f>
        <v>347.7</v>
      </c>
      <c r="N179" s="34" t="s">
        <v>66</v>
      </c>
      <c r="O179" s="33" t="n">
        <f>278.3</f>
        <v>278.3</v>
      </c>
      <c r="P179" s="34" t="s">
        <v>62</v>
      </c>
      <c r="Q179" s="33" t="n">
        <f>313.2</f>
        <v>313.2</v>
      </c>
      <c r="R179" s="34" t="s">
        <v>51</v>
      </c>
      <c r="S179" s="35" t="n">
        <f>313.5</f>
        <v>313.5</v>
      </c>
      <c r="T179" s="32" t="n">
        <f>27732470</f>
        <v>2.773247E7</v>
      </c>
      <c r="U179" s="32" t="n">
        <f>23430</f>
        <v>23430.0</v>
      </c>
      <c r="V179" s="32" t="n">
        <f>8563764263</f>
        <v>8.563764263E9</v>
      </c>
      <c r="W179" s="32" t="n">
        <f>7521100</f>
        <v>7521100.0</v>
      </c>
      <c r="X179" s="36" t="n">
        <f>22</f>
        <v>22.0</v>
      </c>
    </row>
    <row r="180">
      <c r="A180" s="27" t="s">
        <v>42</v>
      </c>
      <c r="B180" s="27" t="s">
        <v>590</v>
      </c>
      <c r="C180" s="27" t="s">
        <v>591</v>
      </c>
      <c r="D180" s="27" t="s">
        <v>592</v>
      </c>
      <c r="E180" s="28" t="s">
        <v>46</v>
      </c>
      <c r="F180" s="29" t="s">
        <v>46</v>
      </c>
      <c r="G180" s="30" t="s">
        <v>46</v>
      </c>
      <c r="H180" s="31"/>
      <c r="I180" s="31" t="s">
        <v>593</v>
      </c>
      <c r="J180" s="32" t="n">
        <v>1.0</v>
      </c>
      <c r="K180" s="33" t="n">
        <f>5947</f>
        <v>5947.0</v>
      </c>
      <c r="L180" s="34" t="s">
        <v>48</v>
      </c>
      <c r="M180" s="33" t="n">
        <f>6543</f>
        <v>6543.0</v>
      </c>
      <c r="N180" s="34" t="s">
        <v>66</v>
      </c>
      <c r="O180" s="33" t="n">
        <f>5151</f>
        <v>5151.0</v>
      </c>
      <c r="P180" s="34" t="s">
        <v>62</v>
      </c>
      <c r="Q180" s="33" t="n">
        <f>6080</f>
        <v>6080.0</v>
      </c>
      <c r="R180" s="34" t="s">
        <v>51</v>
      </c>
      <c r="S180" s="35" t="n">
        <f>5806.91</f>
        <v>5806.91</v>
      </c>
      <c r="T180" s="32" t="n">
        <f>86486</f>
        <v>86486.0</v>
      </c>
      <c r="U180" s="32" t="n">
        <f>5</f>
        <v>5.0</v>
      </c>
      <c r="V180" s="32" t="n">
        <f>505637603</f>
        <v>5.05637603E8</v>
      </c>
      <c r="W180" s="32" t="n">
        <f>30400</f>
        <v>30400.0</v>
      </c>
      <c r="X180" s="36" t="n">
        <f>22</f>
        <v>22.0</v>
      </c>
    </row>
    <row r="181">
      <c r="A181" s="27" t="s">
        <v>42</v>
      </c>
      <c r="B181" s="27" t="s">
        <v>594</v>
      </c>
      <c r="C181" s="27" t="s">
        <v>595</v>
      </c>
      <c r="D181" s="27" t="s">
        <v>596</v>
      </c>
      <c r="E181" s="28" t="s">
        <v>46</v>
      </c>
      <c r="F181" s="29" t="s">
        <v>46</v>
      </c>
      <c r="G181" s="30" t="s">
        <v>46</v>
      </c>
      <c r="H181" s="31"/>
      <c r="I181" s="31" t="s">
        <v>593</v>
      </c>
      <c r="J181" s="32" t="n">
        <v>1.0</v>
      </c>
      <c r="K181" s="33" t="n">
        <f>7701</f>
        <v>7701.0</v>
      </c>
      <c r="L181" s="34" t="s">
        <v>48</v>
      </c>
      <c r="M181" s="33" t="n">
        <f>7949</f>
        <v>7949.0</v>
      </c>
      <c r="N181" s="34" t="s">
        <v>263</v>
      </c>
      <c r="O181" s="33" t="n">
        <f>7128</f>
        <v>7128.0</v>
      </c>
      <c r="P181" s="34" t="s">
        <v>164</v>
      </c>
      <c r="Q181" s="33" t="n">
        <f>7260</f>
        <v>7260.0</v>
      </c>
      <c r="R181" s="34" t="s">
        <v>51</v>
      </c>
      <c r="S181" s="35" t="n">
        <f>7495.68</f>
        <v>7495.68</v>
      </c>
      <c r="T181" s="32" t="n">
        <f>17676</f>
        <v>17676.0</v>
      </c>
      <c r="U181" s="32" t="str">
        <f>"－"</f>
        <v>－</v>
      </c>
      <c r="V181" s="32" t="n">
        <f>132817997</f>
        <v>1.32817997E8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597</v>
      </c>
      <c r="C182" s="27" t="s">
        <v>598</v>
      </c>
      <c r="D182" s="27" t="s">
        <v>599</v>
      </c>
      <c r="E182" s="28" t="s">
        <v>46</v>
      </c>
      <c r="F182" s="29" t="s">
        <v>46</v>
      </c>
      <c r="G182" s="30" t="s">
        <v>46</v>
      </c>
      <c r="H182" s="31"/>
      <c r="I182" s="31" t="s">
        <v>593</v>
      </c>
      <c r="J182" s="32" t="n">
        <v>1.0</v>
      </c>
      <c r="K182" s="33" t="n">
        <f>10500</f>
        <v>10500.0</v>
      </c>
      <c r="L182" s="34" t="s">
        <v>77</v>
      </c>
      <c r="M182" s="33" t="n">
        <f>11005</f>
        <v>11005.0</v>
      </c>
      <c r="N182" s="34" t="s">
        <v>163</v>
      </c>
      <c r="O182" s="33" t="n">
        <f>9586</f>
        <v>9586.0</v>
      </c>
      <c r="P182" s="34" t="s">
        <v>50</v>
      </c>
      <c r="Q182" s="33" t="n">
        <f>10500</f>
        <v>10500.0</v>
      </c>
      <c r="R182" s="34" t="s">
        <v>51</v>
      </c>
      <c r="S182" s="35" t="n">
        <f>10241.19</f>
        <v>10241.19</v>
      </c>
      <c r="T182" s="32" t="n">
        <f>394</f>
        <v>394.0</v>
      </c>
      <c r="U182" s="32" t="str">
        <f>"－"</f>
        <v>－</v>
      </c>
      <c r="V182" s="32" t="n">
        <f>3972475</f>
        <v>3972475.0</v>
      </c>
      <c r="W182" s="32" t="str">
        <f>"－"</f>
        <v>－</v>
      </c>
      <c r="X182" s="36" t="n">
        <f>16</f>
        <v>16.0</v>
      </c>
    </row>
    <row r="183">
      <c r="A183" s="27" t="s">
        <v>42</v>
      </c>
      <c r="B183" s="27" t="s">
        <v>600</v>
      </c>
      <c r="C183" s="27" t="s">
        <v>601</v>
      </c>
      <c r="D183" s="27" t="s">
        <v>602</v>
      </c>
      <c r="E183" s="28" t="s">
        <v>46</v>
      </c>
      <c r="F183" s="29" t="s">
        <v>46</v>
      </c>
      <c r="G183" s="30" t="s">
        <v>46</v>
      </c>
      <c r="H183" s="31"/>
      <c r="I183" s="31" t="s">
        <v>593</v>
      </c>
      <c r="J183" s="32" t="n">
        <v>1.0</v>
      </c>
      <c r="K183" s="33" t="n">
        <f>8058</f>
        <v>8058.0</v>
      </c>
      <c r="L183" s="34" t="s">
        <v>48</v>
      </c>
      <c r="M183" s="33" t="n">
        <f>8146</f>
        <v>8146.0</v>
      </c>
      <c r="N183" s="34" t="s">
        <v>263</v>
      </c>
      <c r="O183" s="33" t="n">
        <f>7711</f>
        <v>7711.0</v>
      </c>
      <c r="P183" s="34" t="s">
        <v>395</v>
      </c>
      <c r="Q183" s="33" t="n">
        <f>7723</f>
        <v>7723.0</v>
      </c>
      <c r="R183" s="34" t="s">
        <v>51</v>
      </c>
      <c r="S183" s="35" t="n">
        <f>7960.14</f>
        <v>7960.14</v>
      </c>
      <c r="T183" s="32" t="n">
        <f>12444</f>
        <v>12444.0</v>
      </c>
      <c r="U183" s="32" t="str">
        <f>"－"</f>
        <v>－</v>
      </c>
      <c r="V183" s="32" t="n">
        <f>98717027</f>
        <v>9.8717027E7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603</v>
      </c>
      <c r="C184" s="27" t="s">
        <v>604</v>
      </c>
      <c r="D184" s="27" t="s">
        <v>605</v>
      </c>
      <c r="E184" s="28" t="s">
        <v>46</v>
      </c>
      <c r="F184" s="29" t="s">
        <v>46</v>
      </c>
      <c r="G184" s="30" t="s">
        <v>46</v>
      </c>
      <c r="H184" s="31"/>
      <c r="I184" s="31" t="s">
        <v>593</v>
      </c>
      <c r="J184" s="32" t="n">
        <v>1.0</v>
      </c>
      <c r="K184" s="33" t="n">
        <f>26770</f>
        <v>26770.0</v>
      </c>
      <c r="L184" s="34" t="s">
        <v>48</v>
      </c>
      <c r="M184" s="33" t="n">
        <f>30410</f>
        <v>30410.0</v>
      </c>
      <c r="N184" s="34" t="s">
        <v>51</v>
      </c>
      <c r="O184" s="33" t="n">
        <f>26715</f>
        <v>26715.0</v>
      </c>
      <c r="P184" s="34" t="s">
        <v>48</v>
      </c>
      <c r="Q184" s="33" t="n">
        <f>30230</f>
        <v>30230.0</v>
      </c>
      <c r="R184" s="34" t="s">
        <v>51</v>
      </c>
      <c r="S184" s="35" t="n">
        <f>28216.59</f>
        <v>28216.59</v>
      </c>
      <c r="T184" s="32" t="n">
        <f>37159</f>
        <v>37159.0</v>
      </c>
      <c r="U184" s="32" t="n">
        <f>6</f>
        <v>6.0</v>
      </c>
      <c r="V184" s="32" t="n">
        <f>1058817445</f>
        <v>1.058817445E9</v>
      </c>
      <c r="W184" s="32" t="n">
        <f>171780</f>
        <v>171780.0</v>
      </c>
      <c r="X184" s="36" t="n">
        <f>22</f>
        <v>22.0</v>
      </c>
    </row>
    <row r="185">
      <c r="A185" s="27" t="s">
        <v>42</v>
      </c>
      <c r="B185" s="27" t="s">
        <v>606</v>
      </c>
      <c r="C185" s="27" t="s">
        <v>607</v>
      </c>
      <c r="D185" s="27" t="s">
        <v>608</v>
      </c>
      <c r="E185" s="28" t="s">
        <v>46</v>
      </c>
      <c r="F185" s="29" t="s">
        <v>46</v>
      </c>
      <c r="G185" s="30" t="s">
        <v>46</v>
      </c>
      <c r="H185" s="31"/>
      <c r="I185" s="31" t="s">
        <v>593</v>
      </c>
      <c r="J185" s="32" t="n">
        <v>1.0</v>
      </c>
      <c r="K185" s="33" t="n">
        <f>4255</f>
        <v>4255.0</v>
      </c>
      <c r="L185" s="34" t="s">
        <v>48</v>
      </c>
      <c r="M185" s="33" t="n">
        <f>4255</f>
        <v>4255.0</v>
      </c>
      <c r="N185" s="34" t="s">
        <v>48</v>
      </c>
      <c r="O185" s="33" t="n">
        <f>3975</f>
        <v>3975.0</v>
      </c>
      <c r="P185" s="34" t="s">
        <v>51</v>
      </c>
      <c r="Q185" s="33" t="n">
        <f>4010</f>
        <v>4010.0</v>
      </c>
      <c r="R185" s="34" t="s">
        <v>51</v>
      </c>
      <c r="S185" s="35" t="n">
        <f>4149.77</f>
        <v>4149.77</v>
      </c>
      <c r="T185" s="32" t="n">
        <f>15271</f>
        <v>15271.0</v>
      </c>
      <c r="U185" s="32" t="str">
        <f>"－"</f>
        <v>－</v>
      </c>
      <c r="V185" s="32" t="n">
        <f>62629460</f>
        <v>6.262946E7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609</v>
      </c>
      <c r="C186" s="27" t="s">
        <v>610</v>
      </c>
      <c r="D186" s="27" t="s">
        <v>611</v>
      </c>
      <c r="E186" s="28" t="s">
        <v>46</v>
      </c>
      <c r="F186" s="29" t="s">
        <v>46</v>
      </c>
      <c r="G186" s="30" t="s">
        <v>46</v>
      </c>
      <c r="H186" s="31"/>
      <c r="I186" s="31" t="s">
        <v>593</v>
      </c>
      <c r="J186" s="32" t="n">
        <v>1.0</v>
      </c>
      <c r="K186" s="33" t="n">
        <f>1324</f>
        <v>1324.0</v>
      </c>
      <c r="L186" s="34" t="s">
        <v>48</v>
      </c>
      <c r="M186" s="33" t="n">
        <f>1441</f>
        <v>1441.0</v>
      </c>
      <c r="N186" s="34" t="s">
        <v>66</v>
      </c>
      <c r="O186" s="33" t="n">
        <f>1007</f>
        <v>1007.0</v>
      </c>
      <c r="P186" s="34" t="s">
        <v>62</v>
      </c>
      <c r="Q186" s="33" t="n">
        <f>1174</f>
        <v>1174.0</v>
      </c>
      <c r="R186" s="34" t="s">
        <v>51</v>
      </c>
      <c r="S186" s="35" t="n">
        <f>1216.23</f>
        <v>1216.23</v>
      </c>
      <c r="T186" s="32" t="n">
        <f>34550038</f>
        <v>3.4550038E7</v>
      </c>
      <c r="U186" s="32" t="n">
        <f>315667</f>
        <v>315667.0</v>
      </c>
      <c r="V186" s="32" t="n">
        <f>41157692898</f>
        <v>4.1157692898E10</v>
      </c>
      <c r="W186" s="32" t="n">
        <f>422824036</f>
        <v>4.22824036E8</v>
      </c>
      <c r="X186" s="36" t="n">
        <f>22</f>
        <v>22.0</v>
      </c>
    </row>
    <row r="187">
      <c r="A187" s="27" t="s">
        <v>42</v>
      </c>
      <c r="B187" s="27" t="s">
        <v>612</v>
      </c>
      <c r="C187" s="27" t="s">
        <v>613</v>
      </c>
      <c r="D187" s="27" t="s">
        <v>614</v>
      </c>
      <c r="E187" s="28" t="s">
        <v>46</v>
      </c>
      <c r="F187" s="29" t="s">
        <v>46</v>
      </c>
      <c r="G187" s="30" t="s">
        <v>46</v>
      </c>
      <c r="H187" s="31"/>
      <c r="I187" s="31" t="s">
        <v>593</v>
      </c>
      <c r="J187" s="32" t="n">
        <v>1.0</v>
      </c>
      <c r="K187" s="33" t="n">
        <f>1424</f>
        <v>1424.0</v>
      </c>
      <c r="L187" s="34" t="s">
        <v>48</v>
      </c>
      <c r="M187" s="33" t="n">
        <f>1622</f>
        <v>1622.0</v>
      </c>
      <c r="N187" s="34" t="s">
        <v>62</v>
      </c>
      <c r="O187" s="33" t="n">
        <f>1369</f>
        <v>1369.0</v>
      </c>
      <c r="P187" s="34" t="s">
        <v>66</v>
      </c>
      <c r="Q187" s="33" t="n">
        <f>1488</f>
        <v>1488.0</v>
      </c>
      <c r="R187" s="34" t="s">
        <v>51</v>
      </c>
      <c r="S187" s="35" t="n">
        <f>1483.68</f>
        <v>1483.68</v>
      </c>
      <c r="T187" s="32" t="n">
        <f>2056538</f>
        <v>2056538.0</v>
      </c>
      <c r="U187" s="32" t="n">
        <f>1065</f>
        <v>1065.0</v>
      </c>
      <c r="V187" s="32" t="n">
        <f>3087836943</f>
        <v>3.087836943E9</v>
      </c>
      <c r="W187" s="32" t="n">
        <f>1503866</f>
        <v>1503866.0</v>
      </c>
      <c r="X187" s="36" t="n">
        <f>22</f>
        <v>22.0</v>
      </c>
    </row>
    <row r="188">
      <c r="A188" s="27" t="s">
        <v>42</v>
      </c>
      <c r="B188" s="27" t="s">
        <v>615</v>
      </c>
      <c r="C188" s="27" t="s">
        <v>616</v>
      </c>
      <c r="D188" s="27" t="s">
        <v>617</v>
      </c>
      <c r="E188" s="28" t="s">
        <v>46</v>
      </c>
      <c r="F188" s="29" t="s">
        <v>46</v>
      </c>
      <c r="G188" s="30" t="s">
        <v>46</v>
      </c>
      <c r="H188" s="31"/>
      <c r="I188" s="31" t="s">
        <v>593</v>
      </c>
      <c r="J188" s="32" t="n">
        <v>1.0</v>
      </c>
      <c r="K188" s="33" t="n">
        <f>23880</f>
        <v>23880.0</v>
      </c>
      <c r="L188" s="34" t="s">
        <v>48</v>
      </c>
      <c r="M188" s="33" t="n">
        <f>24880</f>
        <v>24880.0</v>
      </c>
      <c r="N188" s="34" t="s">
        <v>66</v>
      </c>
      <c r="O188" s="33" t="n">
        <f>22575</f>
        <v>22575.0</v>
      </c>
      <c r="P188" s="34" t="s">
        <v>62</v>
      </c>
      <c r="Q188" s="33" t="n">
        <f>23685</f>
        <v>23685.0</v>
      </c>
      <c r="R188" s="34" t="s">
        <v>51</v>
      </c>
      <c r="S188" s="35" t="n">
        <f>23516.59</f>
        <v>23516.59</v>
      </c>
      <c r="T188" s="32" t="n">
        <f>119429</f>
        <v>119429.0</v>
      </c>
      <c r="U188" s="32" t="str">
        <f>"－"</f>
        <v>－</v>
      </c>
      <c r="V188" s="32" t="n">
        <f>2809719170</f>
        <v>2.80971917E9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618</v>
      </c>
      <c r="C189" s="27" t="s">
        <v>619</v>
      </c>
      <c r="D189" s="27" t="s">
        <v>620</v>
      </c>
      <c r="E189" s="28" t="s">
        <v>46</v>
      </c>
      <c r="F189" s="29" t="s">
        <v>46</v>
      </c>
      <c r="G189" s="30" t="s">
        <v>46</v>
      </c>
      <c r="H189" s="31"/>
      <c r="I189" s="31" t="s">
        <v>593</v>
      </c>
      <c r="J189" s="32" t="n">
        <v>1.0</v>
      </c>
      <c r="K189" s="33" t="n">
        <f>2974</f>
        <v>2974.0</v>
      </c>
      <c r="L189" s="34" t="s">
        <v>48</v>
      </c>
      <c r="M189" s="33" t="n">
        <f>3055</f>
        <v>3055.0</v>
      </c>
      <c r="N189" s="34" t="s">
        <v>50</v>
      </c>
      <c r="O189" s="33" t="n">
        <f>2893</f>
        <v>2893.0</v>
      </c>
      <c r="P189" s="34" t="s">
        <v>66</v>
      </c>
      <c r="Q189" s="33" t="n">
        <f>2957</f>
        <v>2957.0</v>
      </c>
      <c r="R189" s="34" t="s">
        <v>51</v>
      </c>
      <c r="S189" s="35" t="n">
        <f>2980</f>
        <v>2980.0</v>
      </c>
      <c r="T189" s="32" t="n">
        <f>771337</f>
        <v>771337.0</v>
      </c>
      <c r="U189" s="32" t="str">
        <f>"－"</f>
        <v>－</v>
      </c>
      <c r="V189" s="32" t="n">
        <f>2310202866</f>
        <v>2.310202866E9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621</v>
      </c>
      <c r="C190" s="27" t="s">
        <v>622</v>
      </c>
      <c r="D190" s="27" t="s">
        <v>623</v>
      </c>
      <c r="E190" s="28" t="s">
        <v>46</v>
      </c>
      <c r="F190" s="29" t="s">
        <v>46</v>
      </c>
      <c r="G190" s="30" t="s">
        <v>46</v>
      </c>
      <c r="H190" s="31"/>
      <c r="I190" s="31" t="s">
        <v>593</v>
      </c>
      <c r="J190" s="32" t="n">
        <v>1.0</v>
      </c>
      <c r="K190" s="33" t="n">
        <f>7965</f>
        <v>7965.0</v>
      </c>
      <c r="L190" s="34" t="s">
        <v>48</v>
      </c>
      <c r="M190" s="33" t="n">
        <f>8255</f>
        <v>8255.0</v>
      </c>
      <c r="N190" s="34" t="s">
        <v>49</v>
      </c>
      <c r="O190" s="33" t="n">
        <f>7703</f>
        <v>7703.0</v>
      </c>
      <c r="P190" s="34" t="s">
        <v>50</v>
      </c>
      <c r="Q190" s="33" t="n">
        <f>8002</f>
        <v>8002.0</v>
      </c>
      <c r="R190" s="34" t="s">
        <v>51</v>
      </c>
      <c r="S190" s="35" t="n">
        <f>7987.91</f>
        <v>7987.91</v>
      </c>
      <c r="T190" s="32" t="n">
        <f>25919</f>
        <v>25919.0</v>
      </c>
      <c r="U190" s="32" t="n">
        <f>1</f>
        <v>1.0</v>
      </c>
      <c r="V190" s="32" t="n">
        <f>208615348</f>
        <v>2.08615348E8</v>
      </c>
      <c r="W190" s="32" t="n">
        <f>7950</f>
        <v>7950.0</v>
      </c>
      <c r="X190" s="36" t="n">
        <f>22</f>
        <v>22.0</v>
      </c>
    </row>
    <row r="191">
      <c r="A191" s="27" t="s">
        <v>42</v>
      </c>
      <c r="B191" s="27" t="s">
        <v>624</v>
      </c>
      <c r="C191" s="27" t="s">
        <v>625</v>
      </c>
      <c r="D191" s="27" t="s">
        <v>626</v>
      </c>
      <c r="E191" s="28" t="s">
        <v>46</v>
      </c>
      <c r="F191" s="29" t="s">
        <v>46</v>
      </c>
      <c r="G191" s="30" t="s">
        <v>46</v>
      </c>
      <c r="H191" s="31"/>
      <c r="I191" s="31" t="s">
        <v>593</v>
      </c>
      <c r="J191" s="32" t="n">
        <v>1.0</v>
      </c>
      <c r="K191" s="33" t="n">
        <f>16250</f>
        <v>16250.0</v>
      </c>
      <c r="L191" s="34" t="s">
        <v>48</v>
      </c>
      <c r="M191" s="33" t="n">
        <f>16420</f>
        <v>16420.0</v>
      </c>
      <c r="N191" s="34" t="s">
        <v>66</v>
      </c>
      <c r="O191" s="33" t="n">
        <f>15415</f>
        <v>15415.0</v>
      </c>
      <c r="P191" s="34" t="s">
        <v>123</v>
      </c>
      <c r="Q191" s="33" t="n">
        <f>16040</f>
        <v>16040.0</v>
      </c>
      <c r="R191" s="34" t="s">
        <v>395</v>
      </c>
      <c r="S191" s="35" t="n">
        <f>15872.89</f>
        <v>15872.89</v>
      </c>
      <c r="T191" s="32" t="n">
        <f>620</f>
        <v>620.0</v>
      </c>
      <c r="U191" s="32" t="str">
        <f>"－"</f>
        <v>－</v>
      </c>
      <c r="V191" s="32" t="n">
        <f>9873490</f>
        <v>9873490.0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627</v>
      </c>
      <c r="C192" s="27" t="s">
        <v>628</v>
      </c>
      <c r="D192" s="27" t="s">
        <v>629</v>
      </c>
      <c r="E192" s="28" t="s">
        <v>46</v>
      </c>
      <c r="F192" s="29" t="s">
        <v>46</v>
      </c>
      <c r="G192" s="30" t="s">
        <v>46</v>
      </c>
      <c r="H192" s="31"/>
      <c r="I192" s="31" t="s">
        <v>593</v>
      </c>
      <c r="J192" s="32" t="n">
        <v>1.0</v>
      </c>
      <c r="K192" s="33" t="n">
        <f>23390</f>
        <v>23390.0</v>
      </c>
      <c r="L192" s="34" t="s">
        <v>48</v>
      </c>
      <c r="M192" s="33" t="n">
        <f>23550</f>
        <v>23550.0</v>
      </c>
      <c r="N192" s="34" t="s">
        <v>61</v>
      </c>
      <c r="O192" s="33" t="n">
        <f>21305</f>
        <v>21305.0</v>
      </c>
      <c r="P192" s="34" t="s">
        <v>95</v>
      </c>
      <c r="Q192" s="33" t="n">
        <f>22535</f>
        <v>22535.0</v>
      </c>
      <c r="R192" s="34" t="s">
        <v>51</v>
      </c>
      <c r="S192" s="35" t="n">
        <f>22484.32</f>
        <v>22484.32</v>
      </c>
      <c r="T192" s="32" t="n">
        <f>33089</f>
        <v>33089.0</v>
      </c>
      <c r="U192" s="32" t="n">
        <f>2</f>
        <v>2.0</v>
      </c>
      <c r="V192" s="32" t="n">
        <f>753100600</f>
        <v>7.531006E8</v>
      </c>
      <c r="W192" s="32" t="n">
        <f>47010</f>
        <v>47010.0</v>
      </c>
      <c r="X192" s="36" t="n">
        <f>22</f>
        <v>22.0</v>
      </c>
    </row>
    <row r="193">
      <c r="A193" s="27" t="s">
        <v>42</v>
      </c>
      <c r="B193" s="27" t="s">
        <v>630</v>
      </c>
      <c r="C193" s="27" t="s">
        <v>631</v>
      </c>
      <c r="D193" s="27" t="s">
        <v>632</v>
      </c>
      <c r="E193" s="28" t="s">
        <v>46</v>
      </c>
      <c r="F193" s="29" t="s">
        <v>46</v>
      </c>
      <c r="G193" s="30" t="s">
        <v>46</v>
      </c>
      <c r="H193" s="31"/>
      <c r="I193" s="31" t="s">
        <v>593</v>
      </c>
      <c r="J193" s="32" t="n">
        <v>1.0</v>
      </c>
      <c r="K193" s="33" t="n">
        <f>15610</f>
        <v>15610.0</v>
      </c>
      <c r="L193" s="34" t="s">
        <v>48</v>
      </c>
      <c r="M193" s="33" t="n">
        <f>15620</f>
        <v>15620.0</v>
      </c>
      <c r="N193" s="34" t="s">
        <v>48</v>
      </c>
      <c r="O193" s="33" t="n">
        <f>14670</f>
        <v>14670.0</v>
      </c>
      <c r="P193" s="34" t="s">
        <v>303</v>
      </c>
      <c r="Q193" s="33" t="n">
        <f>15200</f>
        <v>15200.0</v>
      </c>
      <c r="R193" s="34" t="s">
        <v>51</v>
      </c>
      <c r="S193" s="35" t="n">
        <f>15225</f>
        <v>15225.0</v>
      </c>
      <c r="T193" s="32" t="n">
        <f>1243</f>
        <v>1243.0</v>
      </c>
      <c r="U193" s="32" t="str">
        <f>"－"</f>
        <v>－</v>
      </c>
      <c r="V193" s="32" t="n">
        <f>18545565</f>
        <v>1.8545565E7</v>
      </c>
      <c r="W193" s="32" t="str">
        <f>"－"</f>
        <v>－</v>
      </c>
      <c r="X193" s="36" t="n">
        <f>16</f>
        <v>16.0</v>
      </c>
    </row>
    <row r="194">
      <c r="A194" s="27" t="s">
        <v>42</v>
      </c>
      <c r="B194" s="27" t="s">
        <v>633</v>
      </c>
      <c r="C194" s="27" t="s">
        <v>634</v>
      </c>
      <c r="D194" s="27" t="s">
        <v>635</v>
      </c>
      <c r="E194" s="28" t="s">
        <v>46</v>
      </c>
      <c r="F194" s="29" t="s">
        <v>46</v>
      </c>
      <c r="G194" s="30" t="s">
        <v>46</v>
      </c>
      <c r="H194" s="31"/>
      <c r="I194" s="31" t="s">
        <v>593</v>
      </c>
      <c r="J194" s="32" t="n">
        <v>1.0</v>
      </c>
      <c r="K194" s="33" t="n">
        <f>17655</f>
        <v>17655.0</v>
      </c>
      <c r="L194" s="34" t="s">
        <v>48</v>
      </c>
      <c r="M194" s="33" t="n">
        <f>18380</f>
        <v>18380.0</v>
      </c>
      <c r="N194" s="34" t="s">
        <v>66</v>
      </c>
      <c r="O194" s="33" t="n">
        <f>16020</f>
        <v>16020.0</v>
      </c>
      <c r="P194" s="34" t="s">
        <v>123</v>
      </c>
      <c r="Q194" s="33" t="n">
        <f>16960</f>
        <v>16960.0</v>
      </c>
      <c r="R194" s="34" t="s">
        <v>51</v>
      </c>
      <c r="S194" s="35" t="n">
        <f>17085.68</f>
        <v>17085.68</v>
      </c>
      <c r="T194" s="32" t="n">
        <f>34168</f>
        <v>34168.0</v>
      </c>
      <c r="U194" s="32" t="str">
        <f>"－"</f>
        <v>－</v>
      </c>
      <c r="V194" s="32" t="n">
        <f>581279950</f>
        <v>5.8127995E8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636</v>
      </c>
      <c r="C195" s="27" t="s">
        <v>637</v>
      </c>
      <c r="D195" s="27" t="s">
        <v>638</v>
      </c>
      <c r="E195" s="28" t="s">
        <v>46</v>
      </c>
      <c r="F195" s="29" t="s">
        <v>46</v>
      </c>
      <c r="G195" s="30" t="s">
        <v>46</v>
      </c>
      <c r="H195" s="31"/>
      <c r="I195" s="31" t="s">
        <v>593</v>
      </c>
      <c r="J195" s="32" t="n">
        <v>1.0</v>
      </c>
      <c r="K195" s="33" t="n">
        <f>4440</f>
        <v>4440.0</v>
      </c>
      <c r="L195" s="34" t="s">
        <v>48</v>
      </c>
      <c r="M195" s="33" t="n">
        <f>4470</f>
        <v>4470.0</v>
      </c>
      <c r="N195" s="34" t="s">
        <v>263</v>
      </c>
      <c r="O195" s="33" t="n">
        <f>4250</f>
        <v>4250.0</v>
      </c>
      <c r="P195" s="34" t="s">
        <v>61</v>
      </c>
      <c r="Q195" s="33" t="n">
        <f>4320</f>
        <v>4320.0</v>
      </c>
      <c r="R195" s="34" t="s">
        <v>51</v>
      </c>
      <c r="S195" s="35" t="n">
        <f>4334.09</f>
        <v>4334.09</v>
      </c>
      <c r="T195" s="32" t="n">
        <f>8046</f>
        <v>8046.0</v>
      </c>
      <c r="U195" s="32" t="str">
        <f>"－"</f>
        <v>－</v>
      </c>
      <c r="V195" s="32" t="n">
        <f>34913505</f>
        <v>3.4913505E7</v>
      </c>
      <c r="W195" s="32" t="str">
        <f>"－"</f>
        <v>－</v>
      </c>
      <c r="X195" s="36" t="n">
        <f>22</f>
        <v>22.0</v>
      </c>
    </row>
    <row r="196">
      <c r="A196" s="27" t="s">
        <v>42</v>
      </c>
      <c r="B196" s="27" t="s">
        <v>639</v>
      </c>
      <c r="C196" s="27" t="s">
        <v>640</v>
      </c>
      <c r="D196" s="27" t="s">
        <v>641</v>
      </c>
      <c r="E196" s="28" t="s">
        <v>46</v>
      </c>
      <c r="F196" s="29" t="s">
        <v>46</v>
      </c>
      <c r="G196" s="30" t="s">
        <v>46</v>
      </c>
      <c r="H196" s="31"/>
      <c r="I196" s="31" t="s">
        <v>593</v>
      </c>
      <c r="J196" s="32" t="n">
        <v>1.0</v>
      </c>
      <c r="K196" s="33" t="n">
        <f>17180</f>
        <v>17180.0</v>
      </c>
      <c r="L196" s="34" t="s">
        <v>48</v>
      </c>
      <c r="M196" s="33" t="n">
        <f>17935</f>
        <v>17935.0</v>
      </c>
      <c r="N196" s="34" t="s">
        <v>49</v>
      </c>
      <c r="O196" s="33" t="n">
        <f>15380</f>
        <v>15380.0</v>
      </c>
      <c r="P196" s="34" t="s">
        <v>50</v>
      </c>
      <c r="Q196" s="33" t="n">
        <f>16480</f>
        <v>16480.0</v>
      </c>
      <c r="R196" s="34" t="s">
        <v>51</v>
      </c>
      <c r="S196" s="35" t="n">
        <f>16395.28</f>
        <v>16395.28</v>
      </c>
      <c r="T196" s="32" t="n">
        <f>2115</f>
        <v>2115.0</v>
      </c>
      <c r="U196" s="32" t="str">
        <f>"－"</f>
        <v>－</v>
      </c>
      <c r="V196" s="32" t="n">
        <f>36482230</f>
        <v>3.648223E7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642</v>
      </c>
      <c r="C197" s="27" t="s">
        <v>643</v>
      </c>
      <c r="D197" s="27" t="s">
        <v>644</v>
      </c>
      <c r="E197" s="28" t="s">
        <v>46</v>
      </c>
      <c r="F197" s="29" t="s">
        <v>46</v>
      </c>
      <c r="G197" s="30" t="s">
        <v>46</v>
      </c>
      <c r="H197" s="31"/>
      <c r="I197" s="31" t="s">
        <v>593</v>
      </c>
      <c r="J197" s="32" t="n">
        <v>1.0</v>
      </c>
      <c r="K197" s="33" t="n">
        <f>13830</f>
        <v>13830.0</v>
      </c>
      <c r="L197" s="34" t="s">
        <v>94</v>
      </c>
      <c r="M197" s="33" t="n">
        <f>14240</f>
        <v>14240.0</v>
      </c>
      <c r="N197" s="34" t="s">
        <v>78</v>
      </c>
      <c r="O197" s="33" t="n">
        <f>13280</f>
        <v>13280.0</v>
      </c>
      <c r="P197" s="34" t="s">
        <v>50</v>
      </c>
      <c r="Q197" s="33" t="n">
        <f>13960</f>
        <v>13960.0</v>
      </c>
      <c r="R197" s="34" t="s">
        <v>51</v>
      </c>
      <c r="S197" s="35" t="n">
        <f>13704.58</f>
        <v>13704.58</v>
      </c>
      <c r="T197" s="32" t="n">
        <f>402</f>
        <v>402.0</v>
      </c>
      <c r="U197" s="32" t="str">
        <f>"－"</f>
        <v>－</v>
      </c>
      <c r="V197" s="32" t="n">
        <f>5472810</f>
        <v>5472810.0</v>
      </c>
      <c r="W197" s="32" t="str">
        <f>"－"</f>
        <v>－</v>
      </c>
      <c r="X197" s="36" t="n">
        <f>12</f>
        <v>12.0</v>
      </c>
    </row>
    <row r="198">
      <c r="A198" s="27" t="s">
        <v>42</v>
      </c>
      <c r="B198" s="27" t="s">
        <v>645</v>
      </c>
      <c r="C198" s="27" t="s">
        <v>646</v>
      </c>
      <c r="D198" s="27" t="s">
        <v>647</v>
      </c>
      <c r="E198" s="28" t="s">
        <v>46</v>
      </c>
      <c r="F198" s="29" t="s">
        <v>46</v>
      </c>
      <c r="G198" s="30" t="s">
        <v>46</v>
      </c>
      <c r="H198" s="31"/>
      <c r="I198" s="31" t="s">
        <v>593</v>
      </c>
      <c r="J198" s="32" t="n">
        <v>1.0</v>
      </c>
      <c r="K198" s="33" t="n">
        <f>19920</f>
        <v>19920.0</v>
      </c>
      <c r="L198" s="34" t="s">
        <v>48</v>
      </c>
      <c r="M198" s="33" t="n">
        <f>20720</f>
        <v>20720.0</v>
      </c>
      <c r="N198" s="34" t="s">
        <v>49</v>
      </c>
      <c r="O198" s="33" t="n">
        <f>18105</f>
        <v>18105.0</v>
      </c>
      <c r="P198" s="34" t="s">
        <v>95</v>
      </c>
      <c r="Q198" s="33" t="n">
        <f>19175</f>
        <v>19175.0</v>
      </c>
      <c r="R198" s="34" t="s">
        <v>51</v>
      </c>
      <c r="S198" s="35" t="n">
        <f>19326.67</f>
        <v>19326.67</v>
      </c>
      <c r="T198" s="32" t="n">
        <f>913</f>
        <v>913.0</v>
      </c>
      <c r="U198" s="32" t="str">
        <f>"－"</f>
        <v>－</v>
      </c>
      <c r="V198" s="32" t="n">
        <f>18134760</f>
        <v>1.813476E7</v>
      </c>
      <c r="W198" s="32" t="str">
        <f>"－"</f>
        <v>－</v>
      </c>
      <c r="X198" s="36" t="n">
        <f>15</f>
        <v>15.0</v>
      </c>
    </row>
    <row r="199">
      <c r="A199" s="27" t="s">
        <v>42</v>
      </c>
      <c r="B199" s="27" t="s">
        <v>648</v>
      </c>
      <c r="C199" s="27" t="s">
        <v>649</v>
      </c>
      <c r="D199" s="27" t="s">
        <v>650</v>
      </c>
      <c r="E199" s="28" t="s">
        <v>46</v>
      </c>
      <c r="F199" s="29" t="s">
        <v>46</v>
      </c>
      <c r="G199" s="30" t="s">
        <v>46</v>
      </c>
      <c r="H199" s="31"/>
      <c r="I199" s="31" t="s">
        <v>593</v>
      </c>
      <c r="J199" s="32" t="n">
        <v>1.0</v>
      </c>
      <c r="K199" s="33" t="n">
        <f>16345</f>
        <v>16345.0</v>
      </c>
      <c r="L199" s="34" t="s">
        <v>94</v>
      </c>
      <c r="M199" s="33" t="n">
        <f>16355</f>
        <v>16355.0</v>
      </c>
      <c r="N199" s="34" t="s">
        <v>49</v>
      </c>
      <c r="O199" s="33" t="n">
        <f>15145</f>
        <v>15145.0</v>
      </c>
      <c r="P199" s="34" t="s">
        <v>164</v>
      </c>
      <c r="Q199" s="33" t="n">
        <f>15145</f>
        <v>15145.0</v>
      </c>
      <c r="R199" s="34" t="s">
        <v>164</v>
      </c>
      <c r="S199" s="35" t="n">
        <f>15885.71</f>
        <v>15885.71</v>
      </c>
      <c r="T199" s="32" t="n">
        <f>71</f>
        <v>71.0</v>
      </c>
      <c r="U199" s="32" t="str">
        <f>"－"</f>
        <v>－</v>
      </c>
      <c r="V199" s="32" t="n">
        <f>1127045</f>
        <v>1127045.0</v>
      </c>
      <c r="W199" s="32" t="str">
        <f>"－"</f>
        <v>－</v>
      </c>
      <c r="X199" s="36" t="n">
        <f>7</f>
        <v>7.0</v>
      </c>
    </row>
    <row r="200">
      <c r="A200" s="27" t="s">
        <v>42</v>
      </c>
      <c r="B200" s="27" t="s">
        <v>651</v>
      </c>
      <c r="C200" s="27" t="s">
        <v>652</v>
      </c>
      <c r="D200" s="27" t="s">
        <v>653</v>
      </c>
      <c r="E200" s="28" t="s">
        <v>46</v>
      </c>
      <c r="F200" s="29" t="s">
        <v>46</v>
      </c>
      <c r="G200" s="30" t="s">
        <v>46</v>
      </c>
      <c r="H200" s="31"/>
      <c r="I200" s="31" t="s">
        <v>593</v>
      </c>
      <c r="J200" s="32" t="n">
        <v>1.0</v>
      </c>
      <c r="K200" s="33" t="n">
        <f>13525</f>
        <v>13525.0</v>
      </c>
      <c r="L200" s="34" t="s">
        <v>48</v>
      </c>
      <c r="M200" s="33" t="n">
        <f>14095</f>
        <v>14095.0</v>
      </c>
      <c r="N200" s="34" t="s">
        <v>49</v>
      </c>
      <c r="O200" s="33" t="n">
        <f>13105</f>
        <v>13105.0</v>
      </c>
      <c r="P200" s="34" t="s">
        <v>62</v>
      </c>
      <c r="Q200" s="33" t="n">
        <f>13630</f>
        <v>13630.0</v>
      </c>
      <c r="R200" s="34" t="s">
        <v>395</v>
      </c>
      <c r="S200" s="35" t="n">
        <f>13527.33</f>
        <v>13527.33</v>
      </c>
      <c r="T200" s="32" t="n">
        <f>1486</f>
        <v>1486.0</v>
      </c>
      <c r="U200" s="32" t="str">
        <f>"－"</f>
        <v>－</v>
      </c>
      <c r="V200" s="32" t="n">
        <f>20082815</f>
        <v>2.0082815E7</v>
      </c>
      <c r="W200" s="32" t="str">
        <f>"－"</f>
        <v>－</v>
      </c>
      <c r="X200" s="36" t="n">
        <f>15</f>
        <v>15.0</v>
      </c>
    </row>
    <row r="201">
      <c r="A201" s="27" t="s">
        <v>42</v>
      </c>
      <c r="B201" s="27" t="s">
        <v>654</v>
      </c>
      <c r="C201" s="27" t="s">
        <v>655</v>
      </c>
      <c r="D201" s="27" t="s">
        <v>656</v>
      </c>
      <c r="E201" s="28" t="s">
        <v>46</v>
      </c>
      <c r="F201" s="29" t="s">
        <v>46</v>
      </c>
      <c r="G201" s="30" t="s">
        <v>46</v>
      </c>
      <c r="H201" s="31"/>
      <c r="I201" s="31" t="s">
        <v>593</v>
      </c>
      <c r="J201" s="32" t="n">
        <v>1.0</v>
      </c>
      <c r="K201" s="33" t="n">
        <f>16510</f>
        <v>16510.0</v>
      </c>
      <c r="L201" s="34" t="s">
        <v>94</v>
      </c>
      <c r="M201" s="33" t="n">
        <f>16805</f>
        <v>16805.0</v>
      </c>
      <c r="N201" s="34" t="s">
        <v>163</v>
      </c>
      <c r="O201" s="33" t="n">
        <f>15340</f>
        <v>15340.0</v>
      </c>
      <c r="P201" s="34" t="s">
        <v>62</v>
      </c>
      <c r="Q201" s="33" t="n">
        <f>16140</f>
        <v>16140.0</v>
      </c>
      <c r="R201" s="34" t="s">
        <v>395</v>
      </c>
      <c r="S201" s="35" t="n">
        <f>15962.08</f>
        <v>15962.08</v>
      </c>
      <c r="T201" s="32" t="n">
        <f>96</f>
        <v>96.0</v>
      </c>
      <c r="U201" s="32" t="str">
        <f>"－"</f>
        <v>－</v>
      </c>
      <c r="V201" s="32" t="n">
        <f>1521345</f>
        <v>1521345.0</v>
      </c>
      <c r="W201" s="32" t="str">
        <f>"－"</f>
        <v>－</v>
      </c>
      <c r="X201" s="36" t="n">
        <f>12</f>
        <v>12.0</v>
      </c>
    </row>
    <row r="202">
      <c r="A202" s="27" t="s">
        <v>42</v>
      </c>
      <c r="B202" s="27" t="s">
        <v>657</v>
      </c>
      <c r="C202" s="27" t="s">
        <v>658</v>
      </c>
      <c r="D202" s="27" t="s">
        <v>659</v>
      </c>
      <c r="E202" s="28" t="s">
        <v>46</v>
      </c>
      <c r="F202" s="29" t="s">
        <v>46</v>
      </c>
      <c r="G202" s="30" t="s">
        <v>46</v>
      </c>
      <c r="H202" s="31"/>
      <c r="I202" s="31" t="s">
        <v>593</v>
      </c>
      <c r="J202" s="32" t="n">
        <v>1.0</v>
      </c>
      <c r="K202" s="33" t="n">
        <f>13345</f>
        <v>13345.0</v>
      </c>
      <c r="L202" s="34" t="s">
        <v>303</v>
      </c>
      <c r="M202" s="33" t="n">
        <f>13665</f>
        <v>13665.0</v>
      </c>
      <c r="N202" s="34" t="s">
        <v>187</v>
      </c>
      <c r="O202" s="33" t="n">
        <f>13340</f>
        <v>13340.0</v>
      </c>
      <c r="P202" s="34" t="s">
        <v>50</v>
      </c>
      <c r="Q202" s="33" t="n">
        <f>13520</f>
        <v>13520.0</v>
      </c>
      <c r="R202" s="34" t="s">
        <v>187</v>
      </c>
      <c r="S202" s="35" t="n">
        <f>13523.57</f>
        <v>13523.57</v>
      </c>
      <c r="T202" s="32" t="n">
        <f>110</f>
        <v>110.0</v>
      </c>
      <c r="U202" s="32" t="str">
        <f>"－"</f>
        <v>－</v>
      </c>
      <c r="V202" s="32" t="n">
        <f>1477540</f>
        <v>1477540.0</v>
      </c>
      <c r="W202" s="32" t="str">
        <f>"－"</f>
        <v>－</v>
      </c>
      <c r="X202" s="36" t="n">
        <f>7</f>
        <v>7.0</v>
      </c>
    </row>
    <row r="203">
      <c r="A203" s="27" t="s">
        <v>42</v>
      </c>
      <c r="B203" s="27" t="s">
        <v>660</v>
      </c>
      <c r="C203" s="27" t="s">
        <v>661</v>
      </c>
      <c r="D203" s="27" t="s">
        <v>662</v>
      </c>
      <c r="E203" s="28" t="s">
        <v>46</v>
      </c>
      <c r="F203" s="29" t="s">
        <v>46</v>
      </c>
      <c r="G203" s="30" t="s">
        <v>46</v>
      </c>
      <c r="H203" s="31"/>
      <c r="I203" s="31" t="s">
        <v>593</v>
      </c>
      <c r="J203" s="32" t="n">
        <v>1.0</v>
      </c>
      <c r="K203" s="33" t="n">
        <f>9195</f>
        <v>9195.0</v>
      </c>
      <c r="L203" s="34" t="s">
        <v>48</v>
      </c>
      <c r="M203" s="33" t="n">
        <f>9503</f>
        <v>9503.0</v>
      </c>
      <c r="N203" s="34" t="s">
        <v>51</v>
      </c>
      <c r="O203" s="33" t="n">
        <f>9195</f>
        <v>9195.0</v>
      </c>
      <c r="P203" s="34" t="s">
        <v>48</v>
      </c>
      <c r="Q203" s="33" t="n">
        <f>9503</f>
        <v>9503.0</v>
      </c>
      <c r="R203" s="34" t="s">
        <v>51</v>
      </c>
      <c r="S203" s="35" t="n">
        <f>9326.27</f>
        <v>9326.27</v>
      </c>
      <c r="T203" s="32" t="n">
        <f>4003</f>
        <v>4003.0</v>
      </c>
      <c r="U203" s="32" t="str">
        <f>"－"</f>
        <v>－</v>
      </c>
      <c r="V203" s="32" t="n">
        <f>37335035</f>
        <v>3.7335035E7</v>
      </c>
      <c r="W203" s="32" t="str">
        <f>"－"</f>
        <v>－</v>
      </c>
      <c r="X203" s="36" t="n">
        <f>15</f>
        <v>15.0</v>
      </c>
    </row>
    <row r="204">
      <c r="A204" s="27" t="s">
        <v>42</v>
      </c>
      <c r="B204" s="27" t="s">
        <v>663</v>
      </c>
      <c r="C204" s="27" t="s">
        <v>664</v>
      </c>
      <c r="D204" s="27" t="s">
        <v>665</v>
      </c>
      <c r="E204" s="28" t="s">
        <v>46</v>
      </c>
      <c r="F204" s="29" t="s">
        <v>46</v>
      </c>
      <c r="G204" s="30" t="s">
        <v>46</v>
      </c>
      <c r="H204" s="31"/>
      <c r="I204" s="31" t="s">
        <v>593</v>
      </c>
      <c r="J204" s="32" t="n">
        <v>1.0</v>
      </c>
      <c r="K204" s="33" t="n">
        <f>10050</f>
        <v>10050.0</v>
      </c>
      <c r="L204" s="34" t="s">
        <v>48</v>
      </c>
      <c r="M204" s="33" t="n">
        <f>10500</f>
        <v>10500.0</v>
      </c>
      <c r="N204" s="34" t="s">
        <v>51</v>
      </c>
      <c r="O204" s="33" t="n">
        <f>9903</f>
        <v>9903.0</v>
      </c>
      <c r="P204" s="34" t="s">
        <v>50</v>
      </c>
      <c r="Q204" s="33" t="n">
        <f>10500</f>
        <v>10500.0</v>
      </c>
      <c r="R204" s="34" t="s">
        <v>51</v>
      </c>
      <c r="S204" s="35" t="n">
        <f>10221.95</f>
        <v>10221.95</v>
      </c>
      <c r="T204" s="32" t="n">
        <f>37518</f>
        <v>37518.0</v>
      </c>
      <c r="U204" s="32" t="str">
        <f>"－"</f>
        <v>－</v>
      </c>
      <c r="V204" s="32" t="n">
        <f>384899875</f>
        <v>3.84899875E8</v>
      </c>
      <c r="W204" s="32" t="str">
        <f>"－"</f>
        <v>－</v>
      </c>
      <c r="X204" s="36" t="n">
        <f>20</f>
        <v>20.0</v>
      </c>
    </row>
    <row r="205">
      <c r="A205" s="27" t="s">
        <v>42</v>
      </c>
      <c r="B205" s="27" t="s">
        <v>666</v>
      </c>
      <c r="C205" s="27" t="s">
        <v>667</v>
      </c>
      <c r="D205" s="27" t="s">
        <v>668</v>
      </c>
      <c r="E205" s="28" t="s">
        <v>46</v>
      </c>
      <c r="F205" s="29" t="s">
        <v>46</v>
      </c>
      <c r="G205" s="30" t="s">
        <v>46</v>
      </c>
      <c r="H205" s="31"/>
      <c r="I205" s="31" t="s">
        <v>593</v>
      </c>
      <c r="J205" s="32" t="n">
        <v>1.0</v>
      </c>
      <c r="K205" s="33" t="n">
        <f>10100</f>
        <v>10100.0</v>
      </c>
      <c r="L205" s="34" t="s">
        <v>48</v>
      </c>
      <c r="M205" s="33" t="n">
        <f>10400</f>
        <v>10400.0</v>
      </c>
      <c r="N205" s="34" t="s">
        <v>61</v>
      </c>
      <c r="O205" s="33" t="n">
        <f>9967</f>
        <v>9967.0</v>
      </c>
      <c r="P205" s="34" t="s">
        <v>50</v>
      </c>
      <c r="Q205" s="33" t="n">
        <f>10355</f>
        <v>10355.0</v>
      </c>
      <c r="R205" s="34" t="s">
        <v>51</v>
      </c>
      <c r="S205" s="35" t="n">
        <f>10225.5</f>
        <v>10225.5</v>
      </c>
      <c r="T205" s="32" t="n">
        <f>14480</f>
        <v>14480.0</v>
      </c>
      <c r="U205" s="32" t="str">
        <f>"－"</f>
        <v>－</v>
      </c>
      <c r="V205" s="32" t="n">
        <f>149747085</f>
        <v>1.49747085E8</v>
      </c>
      <c r="W205" s="32" t="str">
        <f>"－"</f>
        <v>－</v>
      </c>
      <c r="X205" s="36" t="n">
        <f>14</f>
        <v>14.0</v>
      </c>
    </row>
    <row r="206">
      <c r="A206" s="27" t="s">
        <v>42</v>
      </c>
      <c r="B206" s="27" t="s">
        <v>669</v>
      </c>
      <c r="C206" s="27" t="s">
        <v>670</v>
      </c>
      <c r="D206" s="27" t="s">
        <v>671</v>
      </c>
      <c r="E206" s="28" t="s">
        <v>46</v>
      </c>
      <c r="F206" s="29" t="s">
        <v>46</v>
      </c>
      <c r="G206" s="30" t="s">
        <v>46</v>
      </c>
      <c r="H206" s="31"/>
      <c r="I206" s="31" t="s">
        <v>593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str">
        <f>"－"</f>
        <v>－</v>
      </c>
      <c r="U206" s="32" t="str">
        <f>"－"</f>
        <v>－</v>
      </c>
      <c r="V206" s="32" t="str">
        <f>"－"</f>
        <v>－</v>
      </c>
      <c r="W206" s="32" t="str">
        <f>"－"</f>
        <v>－</v>
      </c>
      <c r="X206" s="36" t="str">
        <f>"－"</f>
        <v>－</v>
      </c>
    </row>
    <row r="207">
      <c r="A207" s="27" t="s">
        <v>42</v>
      </c>
      <c r="B207" s="27" t="s">
        <v>672</v>
      </c>
      <c r="C207" s="27" t="s">
        <v>673</v>
      </c>
      <c r="D207" s="27" t="s">
        <v>674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10.0</v>
      </c>
      <c r="K207" s="33" t="n">
        <f>1930</f>
        <v>1930.0</v>
      </c>
      <c r="L207" s="34" t="s">
        <v>48</v>
      </c>
      <c r="M207" s="33" t="n">
        <f>1978</f>
        <v>1978.0</v>
      </c>
      <c r="N207" s="34" t="s">
        <v>66</v>
      </c>
      <c r="O207" s="33" t="n">
        <f>1816</f>
        <v>1816.0</v>
      </c>
      <c r="P207" s="34" t="s">
        <v>95</v>
      </c>
      <c r="Q207" s="33" t="n">
        <f>1898.5</f>
        <v>1898.5</v>
      </c>
      <c r="R207" s="34" t="s">
        <v>51</v>
      </c>
      <c r="S207" s="35" t="n">
        <f>1890.11</f>
        <v>1890.11</v>
      </c>
      <c r="T207" s="32" t="n">
        <f>98740</f>
        <v>98740.0</v>
      </c>
      <c r="U207" s="32" t="str">
        <f>"－"</f>
        <v>－</v>
      </c>
      <c r="V207" s="32" t="n">
        <f>182957365</f>
        <v>1.82957365E8</v>
      </c>
      <c r="W207" s="32" t="str">
        <f>"－"</f>
        <v>－</v>
      </c>
      <c r="X207" s="36" t="n">
        <f>22</f>
        <v>22.0</v>
      </c>
    </row>
    <row r="208">
      <c r="A208" s="27" t="s">
        <v>42</v>
      </c>
      <c r="B208" s="27" t="s">
        <v>675</v>
      </c>
      <c r="C208" s="27" t="s">
        <v>676</v>
      </c>
      <c r="D208" s="27" t="s">
        <v>677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1006</f>
        <v>1006.0</v>
      </c>
      <c r="L208" s="34" t="s">
        <v>48</v>
      </c>
      <c r="M208" s="33" t="n">
        <f>1018</f>
        <v>1018.0</v>
      </c>
      <c r="N208" s="34" t="s">
        <v>61</v>
      </c>
      <c r="O208" s="33" t="n">
        <f>918</f>
        <v>918.0</v>
      </c>
      <c r="P208" s="34" t="s">
        <v>95</v>
      </c>
      <c r="Q208" s="33" t="n">
        <f>974</f>
        <v>974.0</v>
      </c>
      <c r="R208" s="34" t="s">
        <v>51</v>
      </c>
      <c r="S208" s="35" t="n">
        <f>973.45</f>
        <v>973.45</v>
      </c>
      <c r="T208" s="32" t="n">
        <f>2620558</f>
        <v>2620558.0</v>
      </c>
      <c r="U208" s="32" t="n">
        <f>50447</f>
        <v>50447.0</v>
      </c>
      <c r="V208" s="32" t="n">
        <f>2523723206</f>
        <v>2.523723206E9</v>
      </c>
      <c r="W208" s="32" t="n">
        <f>48243646</f>
        <v>4.8243646E7</v>
      </c>
      <c r="X208" s="36" t="n">
        <f>22</f>
        <v>22.0</v>
      </c>
    </row>
    <row r="209">
      <c r="A209" s="27" t="s">
        <v>42</v>
      </c>
      <c r="B209" s="27" t="s">
        <v>678</v>
      </c>
      <c r="C209" s="27" t="s">
        <v>679</v>
      </c>
      <c r="D209" s="27" t="s">
        <v>680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1.0</v>
      </c>
      <c r="K209" s="33" t="n">
        <f>48170</f>
        <v>48170.0</v>
      </c>
      <c r="L209" s="34" t="s">
        <v>48</v>
      </c>
      <c r="M209" s="33" t="n">
        <f>50540</f>
        <v>50540.0</v>
      </c>
      <c r="N209" s="34" t="s">
        <v>66</v>
      </c>
      <c r="O209" s="33" t="n">
        <f>45560</f>
        <v>45560.0</v>
      </c>
      <c r="P209" s="34" t="s">
        <v>303</v>
      </c>
      <c r="Q209" s="33" t="n">
        <f>50120</f>
        <v>50120.0</v>
      </c>
      <c r="R209" s="34" t="s">
        <v>51</v>
      </c>
      <c r="S209" s="35" t="n">
        <f>48216.82</f>
        <v>48216.82</v>
      </c>
      <c r="T209" s="32" t="n">
        <f>112233</f>
        <v>112233.0</v>
      </c>
      <c r="U209" s="32" t="str">
        <f>"－"</f>
        <v>－</v>
      </c>
      <c r="V209" s="32" t="n">
        <f>5341012500</f>
        <v>5.3410125E9</v>
      </c>
      <c r="W209" s="32" t="str">
        <f>"－"</f>
        <v>－</v>
      </c>
      <c r="X209" s="36" t="n">
        <f>22</f>
        <v>22.0</v>
      </c>
    </row>
    <row r="210">
      <c r="A210" s="27" t="s">
        <v>42</v>
      </c>
      <c r="B210" s="27" t="s">
        <v>681</v>
      </c>
      <c r="C210" s="27" t="s">
        <v>682</v>
      </c>
      <c r="D210" s="27" t="s">
        <v>683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1.0</v>
      </c>
      <c r="K210" s="33" t="n">
        <f>9897</f>
        <v>9897.0</v>
      </c>
      <c r="L210" s="34" t="s">
        <v>48</v>
      </c>
      <c r="M210" s="33" t="n">
        <f>10130</f>
        <v>10130.0</v>
      </c>
      <c r="N210" s="34" t="s">
        <v>303</v>
      </c>
      <c r="O210" s="33" t="n">
        <f>9595</f>
        <v>9595.0</v>
      </c>
      <c r="P210" s="34" t="s">
        <v>51</v>
      </c>
      <c r="Q210" s="33" t="n">
        <f>9611</f>
        <v>9611.0</v>
      </c>
      <c r="R210" s="34" t="s">
        <v>51</v>
      </c>
      <c r="S210" s="35" t="n">
        <f>9843.45</f>
        <v>9843.45</v>
      </c>
      <c r="T210" s="32" t="n">
        <f>707780</f>
        <v>707780.0</v>
      </c>
      <c r="U210" s="32" t="n">
        <f>598068</f>
        <v>598068.0</v>
      </c>
      <c r="V210" s="32" t="n">
        <f>7009657493</f>
        <v>7.009657493E9</v>
      </c>
      <c r="W210" s="32" t="n">
        <f>5918281272</f>
        <v>5.918281272E9</v>
      </c>
      <c r="X210" s="36" t="n">
        <f>22</f>
        <v>22.0</v>
      </c>
    </row>
    <row r="211">
      <c r="A211" s="27" t="s">
        <v>42</v>
      </c>
      <c r="B211" s="27" t="s">
        <v>684</v>
      </c>
      <c r="C211" s="27" t="s">
        <v>685</v>
      </c>
      <c r="D211" s="27" t="s">
        <v>686</v>
      </c>
      <c r="E211" s="28" t="s">
        <v>687</v>
      </c>
      <c r="F211" s="29" t="s">
        <v>688</v>
      </c>
      <c r="G211" s="30" t="s">
        <v>689</v>
      </c>
      <c r="H211" s="31"/>
      <c r="I211" s="31" t="s">
        <v>47</v>
      </c>
      <c r="J211" s="32" t="n">
        <v>10.0</v>
      </c>
      <c r="K211" s="33" t="n">
        <f>10235</f>
        <v>10235.0</v>
      </c>
      <c r="L211" s="34" t="s">
        <v>168</v>
      </c>
      <c r="M211" s="33" t="n">
        <f>10720</f>
        <v>10720.0</v>
      </c>
      <c r="N211" s="34" t="s">
        <v>51</v>
      </c>
      <c r="O211" s="33" t="n">
        <f>10010</f>
        <v>10010.0</v>
      </c>
      <c r="P211" s="34" t="s">
        <v>62</v>
      </c>
      <c r="Q211" s="33" t="n">
        <f>10695</f>
        <v>10695.0</v>
      </c>
      <c r="R211" s="34" t="s">
        <v>51</v>
      </c>
      <c r="S211" s="35" t="n">
        <f>10322</f>
        <v>10322.0</v>
      </c>
      <c r="T211" s="32" t="n">
        <f>3330</f>
        <v>3330.0</v>
      </c>
      <c r="U211" s="32" t="str">
        <f>"－"</f>
        <v>－</v>
      </c>
      <c r="V211" s="32" t="n">
        <f>34220850</f>
        <v>3.422085E7</v>
      </c>
      <c r="W211" s="32" t="str">
        <f>"－"</f>
        <v>－</v>
      </c>
      <c r="X211" s="36" t="n">
        <f>10</f>
        <v>10.0</v>
      </c>
    </row>
    <row r="212">
      <c r="A212" s="27" t="s">
        <v>42</v>
      </c>
      <c r="B212" s="27" t="s">
        <v>690</v>
      </c>
      <c r="C212" s="27" t="s">
        <v>691</v>
      </c>
      <c r="D212" s="27" t="s">
        <v>692</v>
      </c>
      <c r="E212" s="28" t="s">
        <v>687</v>
      </c>
      <c r="F212" s="29" t="s">
        <v>688</v>
      </c>
      <c r="G212" s="30" t="s">
        <v>689</v>
      </c>
      <c r="H212" s="31"/>
      <c r="I212" s="31" t="s">
        <v>47</v>
      </c>
      <c r="J212" s="32" t="n">
        <v>10.0</v>
      </c>
      <c r="K212" s="33" t="n">
        <f>10030</f>
        <v>10030.0</v>
      </c>
      <c r="L212" s="34" t="s">
        <v>62</v>
      </c>
      <c r="M212" s="33" t="n">
        <f>10050</f>
        <v>10050.0</v>
      </c>
      <c r="N212" s="34" t="s">
        <v>62</v>
      </c>
      <c r="O212" s="33" t="n">
        <f>9635</f>
        <v>9635.0</v>
      </c>
      <c r="P212" s="34" t="s">
        <v>51</v>
      </c>
      <c r="Q212" s="33" t="n">
        <f>9635</f>
        <v>9635.0</v>
      </c>
      <c r="R212" s="34" t="s">
        <v>51</v>
      </c>
      <c r="S212" s="35" t="n">
        <f>9856.17</f>
        <v>9856.17</v>
      </c>
      <c r="T212" s="32" t="n">
        <f>31430</f>
        <v>31430.0</v>
      </c>
      <c r="U212" s="32" t="n">
        <f>30000</f>
        <v>30000.0</v>
      </c>
      <c r="V212" s="32" t="n">
        <f>310148738</f>
        <v>3.10148738E8</v>
      </c>
      <c r="W212" s="32" t="n">
        <f>296198868</f>
        <v>2.96198868E8</v>
      </c>
      <c r="X212" s="36" t="n">
        <f>6</f>
        <v>6.0</v>
      </c>
    </row>
    <row r="213">
      <c r="A213" s="27" t="s">
        <v>42</v>
      </c>
      <c r="B213" s="27" t="s">
        <v>693</v>
      </c>
      <c r="C213" s="27" t="s">
        <v>694</v>
      </c>
      <c r="D213" s="27" t="s">
        <v>695</v>
      </c>
      <c r="E213" s="28" t="s">
        <v>687</v>
      </c>
      <c r="F213" s="29" t="s">
        <v>688</v>
      </c>
      <c r="G213" s="30" t="s">
        <v>696</v>
      </c>
      <c r="H213" s="31"/>
      <c r="I213" s="31" t="s">
        <v>47</v>
      </c>
      <c r="J213" s="32" t="n">
        <v>10.0</v>
      </c>
      <c r="K213" s="33" t="n">
        <f>500.9</f>
        <v>500.9</v>
      </c>
      <c r="L213" s="34" t="s">
        <v>78</v>
      </c>
      <c r="M213" s="33" t="n">
        <f>500.9</f>
        <v>500.9</v>
      </c>
      <c r="N213" s="34" t="s">
        <v>78</v>
      </c>
      <c r="O213" s="33" t="n">
        <f>465.8</f>
        <v>465.8</v>
      </c>
      <c r="P213" s="34" t="s">
        <v>95</v>
      </c>
      <c r="Q213" s="33" t="n">
        <f>485.5</f>
        <v>485.5</v>
      </c>
      <c r="R213" s="34" t="s">
        <v>51</v>
      </c>
      <c r="S213" s="35" t="n">
        <f>477.33</f>
        <v>477.33</v>
      </c>
      <c r="T213" s="32" t="n">
        <f>250870</f>
        <v>250870.0</v>
      </c>
      <c r="U213" s="32" t="n">
        <f>105000</f>
        <v>105000.0</v>
      </c>
      <c r="V213" s="32" t="n">
        <f>121483536</f>
        <v>1.21483536E8</v>
      </c>
      <c r="W213" s="32" t="n">
        <f>50950000</f>
        <v>5.095E7</v>
      </c>
      <c r="X213" s="36" t="n">
        <f>15</f>
        <v>15.0</v>
      </c>
    </row>
    <row r="214">
      <c r="A214" s="27" t="s">
        <v>42</v>
      </c>
      <c r="B214" s="27" t="s">
        <v>697</v>
      </c>
      <c r="C214" s="27" t="s">
        <v>698</v>
      </c>
      <c r="D214" s="27" t="s">
        <v>699</v>
      </c>
      <c r="E214" s="28" t="s">
        <v>687</v>
      </c>
      <c r="F214" s="29" t="s">
        <v>688</v>
      </c>
      <c r="G214" s="30" t="s">
        <v>696</v>
      </c>
      <c r="H214" s="31"/>
      <c r="I214" s="31" t="s">
        <v>47</v>
      </c>
      <c r="J214" s="32" t="n">
        <v>10.0</v>
      </c>
      <c r="K214" s="33" t="n">
        <f>503.1</f>
        <v>503.1</v>
      </c>
      <c r="L214" s="34" t="s">
        <v>78</v>
      </c>
      <c r="M214" s="33" t="n">
        <f>503.1</f>
        <v>503.1</v>
      </c>
      <c r="N214" s="34" t="s">
        <v>78</v>
      </c>
      <c r="O214" s="33" t="n">
        <f>485.7</f>
        <v>485.7</v>
      </c>
      <c r="P214" s="34" t="s">
        <v>303</v>
      </c>
      <c r="Q214" s="33" t="n">
        <f>500</f>
        <v>500.0</v>
      </c>
      <c r="R214" s="34" t="s">
        <v>51</v>
      </c>
      <c r="S214" s="35" t="n">
        <f>493.26</f>
        <v>493.26</v>
      </c>
      <c r="T214" s="32" t="n">
        <f>2230630</f>
        <v>2230630.0</v>
      </c>
      <c r="U214" s="32" t="n">
        <f>80000</f>
        <v>80000.0</v>
      </c>
      <c r="V214" s="32" t="n">
        <f>1101127367</f>
        <v>1.101127367E9</v>
      </c>
      <c r="W214" s="32" t="n">
        <f>39200000</f>
        <v>3.92E7</v>
      </c>
      <c r="X214" s="36" t="n">
        <f>14</f>
        <v>14.0</v>
      </c>
    </row>
    <row r="215">
      <c r="A215" s="27" t="s">
        <v>42</v>
      </c>
      <c r="B215" s="27" t="s">
        <v>700</v>
      </c>
      <c r="C215" s="27" t="s">
        <v>701</v>
      </c>
      <c r="D215" s="27" t="s">
        <v>702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939.2</f>
        <v>939.2</v>
      </c>
      <c r="L215" s="34" t="s">
        <v>48</v>
      </c>
      <c r="M215" s="33" t="n">
        <f>959</f>
        <v>959.0</v>
      </c>
      <c r="N215" s="34" t="s">
        <v>94</v>
      </c>
      <c r="O215" s="33" t="n">
        <f>935</f>
        <v>935.0</v>
      </c>
      <c r="P215" s="34" t="s">
        <v>163</v>
      </c>
      <c r="Q215" s="33" t="n">
        <f>952.7</f>
        <v>952.7</v>
      </c>
      <c r="R215" s="34" t="s">
        <v>51</v>
      </c>
      <c r="S215" s="35" t="n">
        <f>946.99</f>
        <v>946.99</v>
      </c>
      <c r="T215" s="32" t="n">
        <f>4507820</f>
        <v>4507820.0</v>
      </c>
      <c r="U215" s="32" t="n">
        <f>3064720</f>
        <v>3064720.0</v>
      </c>
      <c r="V215" s="32" t="n">
        <f>4270436318</f>
        <v>4.270436318E9</v>
      </c>
      <c r="W215" s="32" t="n">
        <f>2901494251</f>
        <v>2.901494251E9</v>
      </c>
      <c r="X215" s="36" t="n">
        <f>22</f>
        <v>22.0</v>
      </c>
    </row>
    <row r="216">
      <c r="A216" s="27" t="s">
        <v>42</v>
      </c>
      <c r="B216" s="27" t="s">
        <v>703</v>
      </c>
      <c r="C216" s="27" t="s">
        <v>704</v>
      </c>
      <c r="D216" s="27" t="s">
        <v>705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971</f>
        <v>971.0</v>
      </c>
      <c r="L216" s="34" t="s">
        <v>48</v>
      </c>
      <c r="M216" s="33" t="n">
        <f>976.8</f>
        <v>976.8</v>
      </c>
      <c r="N216" s="34" t="s">
        <v>77</v>
      </c>
      <c r="O216" s="33" t="n">
        <f>950.4</f>
        <v>950.4</v>
      </c>
      <c r="P216" s="34" t="s">
        <v>187</v>
      </c>
      <c r="Q216" s="33" t="n">
        <f>965.1</f>
        <v>965.1</v>
      </c>
      <c r="R216" s="34" t="s">
        <v>51</v>
      </c>
      <c r="S216" s="35" t="n">
        <f>961.49</f>
        <v>961.49</v>
      </c>
      <c r="T216" s="32" t="n">
        <f>7431290</f>
        <v>7431290.0</v>
      </c>
      <c r="U216" s="32" t="n">
        <f>6445450</f>
        <v>6445450.0</v>
      </c>
      <c r="V216" s="32" t="n">
        <f>7154392445</f>
        <v>7.154392445E9</v>
      </c>
      <c r="W216" s="32" t="n">
        <f>6207809396</f>
        <v>6.207809396E9</v>
      </c>
      <c r="X216" s="36" t="n">
        <f>22</f>
        <v>22.0</v>
      </c>
    </row>
    <row r="217">
      <c r="A217" s="27" t="s">
        <v>42</v>
      </c>
      <c r="B217" s="27" t="s">
        <v>706</v>
      </c>
      <c r="C217" s="27" t="s">
        <v>707</v>
      </c>
      <c r="D217" s="27" t="s">
        <v>708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830.9</f>
        <v>830.9</v>
      </c>
      <c r="L217" s="34" t="s">
        <v>48</v>
      </c>
      <c r="M217" s="33" t="n">
        <f>845</f>
        <v>845.0</v>
      </c>
      <c r="N217" s="34" t="s">
        <v>78</v>
      </c>
      <c r="O217" s="33" t="n">
        <f>813.1</f>
        <v>813.1</v>
      </c>
      <c r="P217" s="34" t="s">
        <v>163</v>
      </c>
      <c r="Q217" s="33" t="n">
        <f>833.6</f>
        <v>833.6</v>
      </c>
      <c r="R217" s="34" t="s">
        <v>51</v>
      </c>
      <c r="S217" s="35" t="n">
        <f>832.05</f>
        <v>832.05</v>
      </c>
      <c r="T217" s="32" t="n">
        <f>8283720</f>
        <v>8283720.0</v>
      </c>
      <c r="U217" s="32" t="n">
        <f>7915970</f>
        <v>7915970.0</v>
      </c>
      <c r="V217" s="32" t="n">
        <f>6881146090</f>
        <v>6.88114609E9</v>
      </c>
      <c r="W217" s="32" t="n">
        <f>6578286086</f>
        <v>6.578286086E9</v>
      </c>
      <c r="X217" s="36" t="n">
        <f>22</f>
        <v>22.0</v>
      </c>
    </row>
    <row r="218">
      <c r="A218" s="27" t="s">
        <v>42</v>
      </c>
      <c r="B218" s="27" t="s">
        <v>709</v>
      </c>
      <c r="C218" s="27" t="s">
        <v>710</v>
      </c>
      <c r="D218" s="27" t="s">
        <v>711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1690</f>
        <v>1690.0</v>
      </c>
      <c r="L218" s="34" t="s">
        <v>48</v>
      </c>
      <c r="M218" s="33" t="n">
        <f>1712</f>
        <v>1712.0</v>
      </c>
      <c r="N218" s="34" t="s">
        <v>66</v>
      </c>
      <c r="O218" s="33" t="n">
        <f>1586</f>
        <v>1586.0</v>
      </c>
      <c r="P218" s="34" t="s">
        <v>62</v>
      </c>
      <c r="Q218" s="33" t="n">
        <f>1687.5</f>
        <v>1687.5</v>
      </c>
      <c r="R218" s="34" t="s">
        <v>51</v>
      </c>
      <c r="S218" s="35" t="n">
        <f>1648.43</f>
        <v>1648.43</v>
      </c>
      <c r="T218" s="32" t="n">
        <f>2661920</f>
        <v>2661920.0</v>
      </c>
      <c r="U218" s="32" t="n">
        <f>2251830</f>
        <v>2251830.0</v>
      </c>
      <c r="V218" s="32" t="n">
        <f>4330156403</f>
        <v>4.330156403E9</v>
      </c>
      <c r="W218" s="32" t="n">
        <f>3660542668</f>
        <v>3.660542668E9</v>
      </c>
      <c r="X218" s="36" t="n">
        <f>22</f>
        <v>22.0</v>
      </c>
    </row>
    <row r="219">
      <c r="A219" s="27" t="s">
        <v>42</v>
      </c>
      <c r="B219" s="27" t="s">
        <v>712</v>
      </c>
      <c r="C219" s="27" t="s">
        <v>713</v>
      </c>
      <c r="D219" s="27" t="s">
        <v>714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1323</f>
        <v>1323.0</v>
      </c>
      <c r="L219" s="34" t="s">
        <v>48</v>
      </c>
      <c r="M219" s="33" t="n">
        <f>1366.5</f>
        <v>1366.5</v>
      </c>
      <c r="N219" s="34" t="s">
        <v>94</v>
      </c>
      <c r="O219" s="33" t="n">
        <f>1279.5</f>
        <v>1279.5</v>
      </c>
      <c r="P219" s="34" t="s">
        <v>303</v>
      </c>
      <c r="Q219" s="33" t="n">
        <f>1333</f>
        <v>1333.0</v>
      </c>
      <c r="R219" s="34" t="s">
        <v>51</v>
      </c>
      <c r="S219" s="35" t="n">
        <f>1316.43</f>
        <v>1316.43</v>
      </c>
      <c r="T219" s="32" t="n">
        <f>3951920</f>
        <v>3951920.0</v>
      </c>
      <c r="U219" s="32" t="n">
        <f>3628780</f>
        <v>3628780.0</v>
      </c>
      <c r="V219" s="32" t="n">
        <f>5097654415</f>
        <v>5.097654415E9</v>
      </c>
      <c r="W219" s="32" t="n">
        <f>4673066105</f>
        <v>4.673066105E9</v>
      </c>
      <c r="X219" s="36" t="n">
        <f>22</f>
        <v>22.0</v>
      </c>
    </row>
    <row r="220">
      <c r="A220" s="27" t="s">
        <v>42</v>
      </c>
      <c r="B220" s="27" t="s">
        <v>715</v>
      </c>
      <c r="C220" s="27" t="s">
        <v>716</v>
      </c>
      <c r="D220" s="27" t="s">
        <v>717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1200</f>
        <v>1200.0</v>
      </c>
      <c r="L220" s="34" t="s">
        <v>48</v>
      </c>
      <c r="M220" s="33" t="n">
        <f>1245</f>
        <v>1245.0</v>
      </c>
      <c r="N220" s="34" t="s">
        <v>48</v>
      </c>
      <c r="O220" s="33" t="n">
        <f>1036.5</f>
        <v>1036.5</v>
      </c>
      <c r="P220" s="34" t="s">
        <v>95</v>
      </c>
      <c r="Q220" s="33" t="n">
        <f>1110.5</f>
        <v>1110.5</v>
      </c>
      <c r="R220" s="34" t="s">
        <v>51</v>
      </c>
      <c r="S220" s="35" t="n">
        <f>1132.8</f>
        <v>1132.8</v>
      </c>
      <c r="T220" s="32" t="n">
        <f>1529070</f>
        <v>1529070.0</v>
      </c>
      <c r="U220" s="32" t="n">
        <f>460070</f>
        <v>460070.0</v>
      </c>
      <c r="V220" s="32" t="n">
        <f>1690652653</f>
        <v>1.690652653E9</v>
      </c>
      <c r="W220" s="32" t="n">
        <f>509195103</f>
        <v>5.09195103E8</v>
      </c>
      <c r="X220" s="36" t="n">
        <f>22</f>
        <v>22.0</v>
      </c>
    </row>
    <row r="221">
      <c r="A221" s="27" t="s">
        <v>42</v>
      </c>
      <c r="B221" s="27" t="s">
        <v>718</v>
      </c>
      <c r="C221" s="27" t="s">
        <v>719</v>
      </c>
      <c r="D221" s="27" t="s">
        <v>720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577.7</f>
        <v>577.7</v>
      </c>
      <c r="L221" s="34" t="s">
        <v>48</v>
      </c>
      <c r="M221" s="33" t="n">
        <f>603.3</f>
        <v>603.3</v>
      </c>
      <c r="N221" s="34" t="s">
        <v>49</v>
      </c>
      <c r="O221" s="33" t="n">
        <f>562.4</f>
        <v>562.4</v>
      </c>
      <c r="P221" s="34" t="s">
        <v>50</v>
      </c>
      <c r="Q221" s="33" t="n">
        <f>581.2</f>
        <v>581.2</v>
      </c>
      <c r="R221" s="34" t="s">
        <v>51</v>
      </c>
      <c r="S221" s="35" t="n">
        <f>582.87</f>
        <v>582.87</v>
      </c>
      <c r="T221" s="32" t="n">
        <f>20375590</f>
        <v>2.037559E7</v>
      </c>
      <c r="U221" s="32" t="n">
        <f>311470</f>
        <v>311470.0</v>
      </c>
      <c r="V221" s="32" t="n">
        <f>11864911995</f>
        <v>1.1864911995E10</v>
      </c>
      <c r="W221" s="32" t="n">
        <f>181528980</f>
        <v>1.8152898E8</v>
      </c>
      <c r="X221" s="36" t="n">
        <f>22</f>
        <v>22.0</v>
      </c>
    </row>
    <row r="222">
      <c r="A222" s="27" t="s">
        <v>42</v>
      </c>
      <c r="B222" s="27" t="s">
        <v>721</v>
      </c>
      <c r="C222" s="27" t="s">
        <v>722</v>
      </c>
      <c r="D222" s="27" t="s">
        <v>723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1104.5</f>
        <v>1104.5</v>
      </c>
      <c r="L222" s="34" t="s">
        <v>48</v>
      </c>
      <c r="M222" s="33" t="n">
        <f>1118</f>
        <v>1118.0</v>
      </c>
      <c r="N222" s="34" t="s">
        <v>520</v>
      </c>
      <c r="O222" s="33" t="n">
        <f>1047</f>
        <v>1047.0</v>
      </c>
      <c r="P222" s="34" t="s">
        <v>62</v>
      </c>
      <c r="Q222" s="33" t="n">
        <f>1068</f>
        <v>1068.0</v>
      </c>
      <c r="R222" s="34" t="s">
        <v>51</v>
      </c>
      <c r="S222" s="35" t="n">
        <f>1073.91</f>
        <v>1073.91</v>
      </c>
      <c r="T222" s="32" t="n">
        <f>1025460</f>
        <v>1025460.0</v>
      </c>
      <c r="U222" s="32" t="n">
        <f>20060</f>
        <v>20060.0</v>
      </c>
      <c r="V222" s="32" t="n">
        <f>1104630955</f>
        <v>1.104630955E9</v>
      </c>
      <c r="W222" s="32" t="n">
        <f>21275595</f>
        <v>2.1275595E7</v>
      </c>
      <c r="X222" s="36" t="n">
        <f>22</f>
        <v>22.0</v>
      </c>
    </row>
    <row r="223">
      <c r="A223" s="27" t="s">
        <v>42</v>
      </c>
      <c r="B223" s="27" t="s">
        <v>724</v>
      </c>
      <c r="C223" s="27" t="s">
        <v>725</v>
      </c>
      <c r="D223" s="27" t="s">
        <v>726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1082</f>
        <v>1082.0</v>
      </c>
      <c r="L223" s="34" t="s">
        <v>48</v>
      </c>
      <c r="M223" s="33" t="n">
        <f>1119</f>
        <v>1119.0</v>
      </c>
      <c r="N223" s="34" t="s">
        <v>49</v>
      </c>
      <c r="O223" s="33" t="n">
        <f>1037</f>
        <v>1037.0</v>
      </c>
      <c r="P223" s="34" t="s">
        <v>50</v>
      </c>
      <c r="Q223" s="33" t="n">
        <f>1098</f>
        <v>1098.0</v>
      </c>
      <c r="R223" s="34" t="s">
        <v>51</v>
      </c>
      <c r="S223" s="35" t="n">
        <f>1079.55</f>
        <v>1079.55</v>
      </c>
      <c r="T223" s="32" t="n">
        <f>324753</f>
        <v>324753.0</v>
      </c>
      <c r="U223" s="32" t="n">
        <f>90000</f>
        <v>90000.0</v>
      </c>
      <c r="V223" s="32" t="n">
        <f>353455756</f>
        <v>3.53455756E8</v>
      </c>
      <c r="W223" s="32" t="n">
        <f>97955840</f>
        <v>9.795584E7</v>
      </c>
      <c r="X223" s="36" t="n">
        <f>22</f>
        <v>22.0</v>
      </c>
    </row>
    <row r="224">
      <c r="A224" s="27" t="s">
        <v>42</v>
      </c>
      <c r="B224" s="27" t="s">
        <v>727</v>
      </c>
      <c r="C224" s="27" t="s">
        <v>728</v>
      </c>
      <c r="D224" s="27" t="s">
        <v>729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914.8</f>
        <v>914.8</v>
      </c>
      <c r="L224" s="34" t="s">
        <v>48</v>
      </c>
      <c r="M224" s="33" t="n">
        <f>915.2</f>
        <v>915.2</v>
      </c>
      <c r="N224" s="34" t="s">
        <v>48</v>
      </c>
      <c r="O224" s="33" t="n">
        <f>860</f>
        <v>860.0</v>
      </c>
      <c r="P224" s="34" t="s">
        <v>62</v>
      </c>
      <c r="Q224" s="33" t="n">
        <f>880</f>
        <v>880.0</v>
      </c>
      <c r="R224" s="34" t="s">
        <v>51</v>
      </c>
      <c r="S224" s="35" t="n">
        <f>882.05</f>
        <v>882.05</v>
      </c>
      <c r="T224" s="32" t="n">
        <f>317410</f>
        <v>317410.0</v>
      </c>
      <c r="U224" s="32" t="n">
        <f>104920</f>
        <v>104920.0</v>
      </c>
      <c r="V224" s="32" t="n">
        <f>279958086</f>
        <v>2.79958086E8</v>
      </c>
      <c r="W224" s="32" t="n">
        <f>92350584</f>
        <v>9.2350584E7</v>
      </c>
      <c r="X224" s="36" t="n">
        <f>22</f>
        <v>22.0</v>
      </c>
    </row>
    <row r="225">
      <c r="A225" s="27" t="s">
        <v>42</v>
      </c>
      <c r="B225" s="27" t="s">
        <v>730</v>
      </c>
      <c r="C225" s="27" t="s">
        <v>731</v>
      </c>
      <c r="D225" s="27" t="s">
        <v>732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1140.5</f>
        <v>1140.5</v>
      </c>
      <c r="L225" s="34" t="s">
        <v>48</v>
      </c>
      <c r="M225" s="33" t="n">
        <f>1180</f>
        <v>1180.0</v>
      </c>
      <c r="N225" s="34" t="s">
        <v>66</v>
      </c>
      <c r="O225" s="33" t="n">
        <f>1073.5</f>
        <v>1073.5</v>
      </c>
      <c r="P225" s="34" t="s">
        <v>50</v>
      </c>
      <c r="Q225" s="33" t="n">
        <f>1142.5</f>
        <v>1142.5</v>
      </c>
      <c r="R225" s="34" t="s">
        <v>51</v>
      </c>
      <c r="S225" s="35" t="n">
        <f>1128.14</f>
        <v>1128.14</v>
      </c>
      <c r="T225" s="32" t="n">
        <f>105350</f>
        <v>105350.0</v>
      </c>
      <c r="U225" s="32" t="n">
        <f>20</f>
        <v>20.0</v>
      </c>
      <c r="V225" s="32" t="n">
        <f>117525030</f>
        <v>1.1752503E8</v>
      </c>
      <c r="W225" s="32" t="n">
        <f>23250</f>
        <v>23250.0</v>
      </c>
      <c r="X225" s="36" t="n">
        <f>22</f>
        <v>22.0</v>
      </c>
    </row>
    <row r="226">
      <c r="A226" s="27" t="s">
        <v>42</v>
      </c>
      <c r="B226" s="27" t="s">
        <v>733</v>
      </c>
      <c r="C226" s="27" t="s">
        <v>734</v>
      </c>
      <c r="D226" s="27" t="s">
        <v>735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1318</f>
        <v>1318.0</v>
      </c>
      <c r="L226" s="34" t="s">
        <v>48</v>
      </c>
      <c r="M226" s="33" t="n">
        <f>1350.5</f>
        <v>1350.5</v>
      </c>
      <c r="N226" s="34" t="s">
        <v>66</v>
      </c>
      <c r="O226" s="33" t="n">
        <f>1284</f>
        <v>1284.0</v>
      </c>
      <c r="P226" s="34" t="s">
        <v>303</v>
      </c>
      <c r="Q226" s="33" t="n">
        <f>1345</f>
        <v>1345.0</v>
      </c>
      <c r="R226" s="34" t="s">
        <v>51</v>
      </c>
      <c r="S226" s="35" t="n">
        <f>1319.73</f>
        <v>1319.73</v>
      </c>
      <c r="T226" s="32" t="n">
        <f>5793960</f>
        <v>5793960.0</v>
      </c>
      <c r="U226" s="32" t="n">
        <f>2162600</f>
        <v>2162600.0</v>
      </c>
      <c r="V226" s="32" t="n">
        <f>7644129775</f>
        <v>7.644129775E9</v>
      </c>
      <c r="W226" s="32" t="n">
        <f>2866114380</f>
        <v>2.86611438E9</v>
      </c>
      <c r="X226" s="36" t="n">
        <f>22</f>
        <v>22.0</v>
      </c>
    </row>
    <row r="227">
      <c r="A227" s="27" t="s">
        <v>42</v>
      </c>
      <c r="B227" s="27" t="s">
        <v>736</v>
      </c>
      <c r="C227" s="27" t="s">
        <v>737</v>
      </c>
      <c r="D227" s="27" t="s">
        <v>738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3810</f>
        <v>3810.0</v>
      </c>
      <c r="L227" s="34" t="s">
        <v>48</v>
      </c>
      <c r="M227" s="33" t="n">
        <f>3925</f>
        <v>3925.0</v>
      </c>
      <c r="N227" s="34" t="s">
        <v>61</v>
      </c>
      <c r="O227" s="33" t="n">
        <f>3660</f>
        <v>3660.0</v>
      </c>
      <c r="P227" s="34" t="s">
        <v>50</v>
      </c>
      <c r="Q227" s="33" t="n">
        <f>3875</f>
        <v>3875.0</v>
      </c>
      <c r="R227" s="34" t="s">
        <v>51</v>
      </c>
      <c r="S227" s="35" t="n">
        <f>3796.36</f>
        <v>3796.36</v>
      </c>
      <c r="T227" s="32" t="n">
        <f>50706</f>
        <v>50706.0</v>
      </c>
      <c r="U227" s="32" t="n">
        <f>2</f>
        <v>2.0</v>
      </c>
      <c r="V227" s="32" t="n">
        <f>190114185</f>
        <v>1.90114185E8</v>
      </c>
      <c r="W227" s="32" t="n">
        <f>7835</f>
        <v>7835.0</v>
      </c>
      <c r="X227" s="36" t="n">
        <f>22</f>
        <v>22.0</v>
      </c>
    </row>
    <row r="228">
      <c r="A228" s="27" t="s">
        <v>42</v>
      </c>
      <c r="B228" s="27" t="s">
        <v>739</v>
      </c>
      <c r="C228" s="27" t="s">
        <v>740</v>
      </c>
      <c r="D228" s="27" t="s">
        <v>741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1633</f>
        <v>1633.0</v>
      </c>
      <c r="L228" s="34" t="s">
        <v>77</v>
      </c>
      <c r="M228" s="33" t="n">
        <f>1687</f>
        <v>1687.0</v>
      </c>
      <c r="N228" s="34" t="s">
        <v>61</v>
      </c>
      <c r="O228" s="33" t="n">
        <f>1613</f>
        <v>1613.0</v>
      </c>
      <c r="P228" s="34" t="s">
        <v>123</v>
      </c>
      <c r="Q228" s="33" t="n">
        <f>1655</f>
        <v>1655.0</v>
      </c>
      <c r="R228" s="34" t="s">
        <v>395</v>
      </c>
      <c r="S228" s="35" t="n">
        <f>1650.27</f>
        <v>1650.27</v>
      </c>
      <c r="T228" s="32" t="n">
        <f>1920</f>
        <v>1920.0</v>
      </c>
      <c r="U228" s="32" t="str">
        <f>"－"</f>
        <v>－</v>
      </c>
      <c r="V228" s="32" t="n">
        <f>3156195</f>
        <v>3156195.0</v>
      </c>
      <c r="W228" s="32" t="str">
        <f>"－"</f>
        <v>－</v>
      </c>
      <c r="X228" s="36" t="n">
        <f>11</f>
        <v>11.0</v>
      </c>
    </row>
    <row r="229">
      <c r="A229" s="27" t="s">
        <v>42</v>
      </c>
      <c r="B229" s="27" t="s">
        <v>742</v>
      </c>
      <c r="C229" s="27" t="s">
        <v>743</v>
      </c>
      <c r="D229" s="27" t="s">
        <v>744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2026</f>
        <v>2026.0</v>
      </c>
      <c r="L229" s="34" t="s">
        <v>48</v>
      </c>
      <c r="M229" s="33" t="n">
        <f>2091.5</f>
        <v>2091.5</v>
      </c>
      <c r="N229" s="34" t="s">
        <v>395</v>
      </c>
      <c r="O229" s="33" t="n">
        <f>1962.5</f>
        <v>1962.5</v>
      </c>
      <c r="P229" s="34" t="s">
        <v>50</v>
      </c>
      <c r="Q229" s="33" t="n">
        <f>2057.5</f>
        <v>2057.5</v>
      </c>
      <c r="R229" s="34" t="s">
        <v>51</v>
      </c>
      <c r="S229" s="35" t="n">
        <f>2013.03</f>
        <v>2013.03</v>
      </c>
      <c r="T229" s="32" t="n">
        <f>506610</f>
        <v>506610.0</v>
      </c>
      <c r="U229" s="32" t="n">
        <f>200000</f>
        <v>200000.0</v>
      </c>
      <c r="V229" s="32" t="n">
        <f>1012169840</f>
        <v>1.01216984E9</v>
      </c>
      <c r="W229" s="32" t="n">
        <f>397040000</f>
        <v>3.9704E8</v>
      </c>
      <c r="X229" s="36" t="n">
        <f>17</f>
        <v>17.0</v>
      </c>
    </row>
    <row r="230">
      <c r="A230" s="27" t="s">
        <v>42</v>
      </c>
      <c r="B230" s="27" t="s">
        <v>745</v>
      </c>
      <c r="C230" s="27" t="s">
        <v>746</v>
      </c>
      <c r="D230" s="27" t="s">
        <v>747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27955</f>
        <v>27955.0</v>
      </c>
      <c r="L230" s="34" t="s">
        <v>94</v>
      </c>
      <c r="M230" s="33" t="n">
        <f>28615</f>
        <v>28615.0</v>
      </c>
      <c r="N230" s="34" t="s">
        <v>66</v>
      </c>
      <c r="O230" s="33" t="n">
        <f>26910</f>
        <v>26910.0</v>
      </c>
      <c r="P230" s="34" t="s">
        <v>50</v>
      </c>
      <c r="Q230" s="33" t="n">
        <f>28545</f>
        <v>28545.0</v>
      </c>
      <c r="R230" s="34" t="s">
        <v>51</v>
      </c>
      <c r="S230" s="35" t="n">
        <f>27909.58</f>
        <v>27909.58</v>
      </c>
      <c r="T230" s="32" t="n">
        <f>13928</f>
        <v>13928.0</v>
      </c>
      <c r="U230" s="32" t="n">
        <f>7443</f>
        <v>7443.0</v>
      </c>
      <c r="V230" s="32" t="n">
        <f>391911318</f>
        <v>3.91911318E8</v>
      </c>
      <c r="W230" s="32" t="n">
        <f>212207373</f>
        <v>2.12207373E8</v>
      </c>
      <c r="X230" s="36" t="n">
        <f>12</f>
        <v>12.0</v>
      </c>
    </row>
    <row r="231">
      <c r="A231" s="27" t="s">
        <v>42</v>
      </c>
      <c r="B231" s="27" t="s">
        <v>748</v>
      </c>
      <c r="C231" s="27" t="s">
        <v>749</v>
      </c>
      <c r="D231" s="27" t="s">
        <v>750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18315</f>
        <v>18315.0</v>
      </c>
      <c r="L231" s="34" t="s">
        <v>94</v>
      </c>
      <c r="M231" s="33" t="n">
        <f>18870</f>
        <v>18870.0</v>
      </c>
      <c r="N231" s="34" t="s">
        <v>51</v>
      </c>
      <c r="O231" s="33" t="n">
        <f>17585</f>
        <v>17585.0</v>
      </c>
      <c r="P231" s="34" t="s">
        <v>50</v>
      </c>
      <c r="Q231" s="33" t="n">
        <f>18870</f>
        <v>18870.0</v>
      </c>
      <c r="R231" s="34" t="s">
        <v>51</v>
      </c>
      <c r="S231" s="35" t="n">
        <f>18112.73</f>
        <v>18112.73</v>
      </c>
      <c r="T231" s="32" t="n">
        <f>4827</f>
        <v>4827.0</v>
      </c>
      <c r="U231" s="32" t="str">
        <f>"－"</f>
        <v>－</v>
      </c>
      <c r="V231" s="32" t="n">
        <f>88603715</f>
        <v>8.8603715E7</v>
      </c>
      <c r="W231" s="32" t="str">
        <f>"－"</f>
        <v>－</v>
      </c>
      <c r="X231" s="36" t="n">
        <f>11</f>
        <v>11.0</v>
      </c>
    </row>
    <row r="232">
      <c r="A232" s="27" t="s">
        <v>42</v>
      </c>
      <c r="B232" s="27" t="s">
        <v>751</v>
      </c>
      <c r="C232" s="27" t="s">
        <v>752</v>
      </c>
      <c r="D232" s="27" t="s">
        <v>753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1093</f>
        <v>1093.0</v>
      </c>
      <c r="L232" s="34" t="s">
        <v>48</v>
      </c>
      <c r="M232" s="33" t="n">
        <f>1104</f>
        <v>1104.0</v>
      </c>
      <c r="N232" s="34" t="s">
        <v>520</v>
      </c>
      <c r="O232" s="33" t="n">
        <f>1051.5</f>
        <v>1051.5</v>
      </c>
      <c r="P232" s="34" t="s">
        <v>62</v>
      </c>
      <c r="Q232" s="33" t="n">
        <f>1073</f>
        <v>1073.0</v>
      </c>
      <c r="R232" s="34" t="s">
        <v>51</v>
      </c>
      <c r="S232" s="35" t="n">
        <f>1081.94</f>
        <v>1081.94</v>
      </c>
      <c r="T232" s="32" t="n">
        <f>369670</f>
        <v>369670.0</v>
      </c>
      <c r="U232" s="32" t="n">
        <f>185000</f>
        <v>185000.0</v>
      </c>
      <c r="V232" s="32" t="n">
        <f>394822275</f>
        <v>3.94822275E8</v>
      </c>
      <c r="W232" s="32" t="n">
        <f>196007500</f>
        <v>1.960075E8</v>
      </c>
      <c r="X232" s="36" t="n">
        <f>16</f>
        <v>16.0</v>
      </c>
    </row>
    <row r="233">
      <c r="A233" s="27" t="s">
        <v>42</v>
      </c>
      <c r="B233" s="27" t="s">
        <v>754</v>
      </c>
      <c r="C233" s="27" t="s">
        <v>755</v>
      </c>
      <c r="D233" s="27" t="s">
        <v>756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1105.5</f>
        <v>1105.5</v>
      </c>
      <c r="L233" s="34" t="s">
        <v>48</v>
      </c>
      <c r="M233" s="33" t="n">
        <f>1107</f>
        <v>1107.0</v>
      </c>
      <c r="N233" s="34" t="s">
        <v>66</v>
      </c>
      <c r="O233" s="33" t="n">
        <f>1040</f>
        <v>1040.0</v>
      </c>
      <c r="P233" s="34" t="s">
        <v>62</v>
      </c>
      <c r="Q233" s="33" t="n">
        <f>1061</f>
        <v>1061.0</v>
      </c>
      <c r="R233" s="34" t="s">
        <v>51</v>
      </c>
      <c r="S233" s="35" t="n">
        <f>1070.07</f>
        <v>1070.07</v>
      </c>
      <c r="T233" s="32" t="n">
        <f>116430</f>
        <v>116430.0</v>
      </c>
      <c r="U233" s="32" t="str">
        <f>"－"</f>
        <v>－</v>
      </c>
      <c r="V233" s="32" t="n">
        <f>123863985</f>
        <v>1.23863985E8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757</v>
      </c>
      <c r="C234" s="27" t="s">
        <v>758</v>
      </c>
      <c r="D234" s="27" t="s">
        <v>759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1248</f>
        <v>1248.0</v>
      </c>
      <c r="L234" s="34" t="s">
        <v>48</v>
      </c>
      <c r="M234" s="33" t="n">
        <f>1298</f>
        <v>1298.0</v>
      </c>
      <c r="N234" s="34" t="s">
        <v>78</v>
      </c>
      <c r="O234" s="33" t="n">
        <f>1166</f>
        <v>1166.0</v>
      </c>
      <c r="P234" s="34" t="s">
        <v>303</v>
      </c>
      <c r="Q234" s="33" t="n">
        <f>1272</f>
        <v>1272.0</v>
      </c>
      <c r="R234" s="34" t="s">
        <v>51</v>
      </c>
      <c r="S234" s="35" t="n">
        <f>1249.5</f>
        <v>1249.5</v>
      </c>
      <c r="T234" s="32" t="n">
        <f>319646</f>
        <v>319646.0</v>
      </c>
      <c r="U234" s="32" t="str">
        <f>"－"</f>
        <v>－</v>
      </c>
      <c r="V234" s="32" t="n">
        <f>387318052</f>
        <v>3.87318052E8</v>
      </c>
      <c r="W234" s="32" t="str">
        <f>"－"</f>
        <v>－</v>
      </c>
      <c r="X234" s="36" t="n">
        <f>22</f>
        <v>22.0</v>
      </c>
    </row>
    <row r="235">
      <c r="A235" s="27" t="s">
        <v>42</v>
      </c>
      <c r="B235" s="27" t="s">
        <v>760</v>
      </c>
      <c r="C235" s="27" t="s">
        <v>761</v>
      </c>
      <c r="D235" s="27" t="s">
        <v>762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13695</f>
        <v>13695.0</v>
      </c>
      <c r="L235" s="34" t="s">
        <v>48</v>
      </c>
      <c r="M235" s="33" t="n">
        <f>13920</f>
        <v>13920.0</v>
      </c>
      <c r="N235" s="34" t="s">
        <v>61</v>
      </c>
      <c r="O235" s="33" t="n">
        <f>13020</f>
        <v>13020.0</v>
      </c>
      <c r="P235" s="34" t="s">
        <v>303</v>
      </c>
      <c r="Q235" s="33" t="n">
        <f>13460</f>
        <v>13460.0</v>
      </c>
      <c r="R235" s="34" t="s">
        <v>51</v>
      </c>
      <c r="S235" s="35" t="n">
        <f>13386.84</f>
        <v>13386.84</v>
      </c>
      <c r="T235" s="32" t="n">
        <f>2956</f>
        <v>2956.0</v>
      </c>
      <c r="U235" s="32" t="str">
        <f>"－"</f>
        <v>－</v>
      </c>
      <c r="V235" s="32" t="n">
        <f>39343935</f>
        <v>3.9343935E7</v>
      </c>
      <c r="W235" s="32" t="str">
        <f>"－"</f>
        <v>－</v>
      </c>
      <c r="X235" s="36" t="n">
        <f>19</f>
        <v>19.0</v>
      </c>
    </row>
    <row r="236">
      <c r="A236" s="27" t="s">
        <v>42</v>
      </c>
      <c r="B236" s="27" t="s">
        <v>763</v>
      </c>
      <c r="C236" s="27" t="s">
        <v>764</v>
      </c>
      <c r="D236" s="27" t="s">
        <v>765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1980</f>
        <v>1980.0</v>
      </c>
      <c r="L236" s="34" t="s">
        <v>48</v>
      </c>
      <c r="M236" s="33" t="n">
        <f>1985</f>
        <v>1985.0</v>
      </c>
      <c r="N236" s="34" t="s">
        <v>48</v>
      </c>
      <c r="O236" s="33" t="n">
        <f>1884</f>
        <v>1884.0</v>
      </c>
      <c r="P236" s="34" t="s">
        <v>62</v>
      </c>
      <c r="Q236" s="33" t="n">
        <f>1925</f>
        <v>1925.0</v>
      </c>
      <c r="R236" s="34" t="s">
        <v>51</v>
      </c>
      <c r="S236" s="35" t="n">
        <f>1938.18</f>
        <v>1938.18</v>
      </c>
      <c r="T236" s="32" t="n">
        <f>808151</f>
        <v>808151.0</v>
      </c>
      <c r="U236" s="32" t="n">
        <f>777002</f>
        <v>777002.0</v>
      </c>
      <c r="V236" s="32" t="n">
        <f>1550080011</f>
        <v>1.550080011E9</v>
      </c>
      <c r="W236" s="32" t="n">
        <f>1489935004</f>
        <v>1.489935004E9</v>
      </c>
      <c r="X236" s="36" t="n">
        <f>22</f>
        <v>22.0</v>
      </c>
    </row>
    <row r="237">
      <c r="A237" s="27" t="s">
        <v>42</v>
      </c>
      <c r="B237" s="27" t="s">
        <v>766</v>
      </c>
      <c r="C237" s="27" t="s">
        <v>767</v>
      </c>
      <c r="D237" s="27" t="s">
        <v>768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1729</f>
        <v>1729.0</v>
      </c>
      <c r="L237" s="34" t="s">
        <v>77</v>
      </c>
      <c r="M237" s="33" t="n">
        <f>1729</f>
        <v>1729.0</v>
      </c>
      <c r="N237" s="34" t="s">
        <v>77</v>
      </c>
      <c r="O237" s="33" t="n">
        <f>1601.5</f>
        <v>1601.5</v>
      </c>
      <c r="P237" s="34" t="s">
        <v>187</v>
      </c>
      <c r="Q237" s="33" t="n">
        <f>1604.5</f>
        <v>1604.5</v>
      </c>
      <c r="R237" s="34" t="s">
        <v>164</v>
      </c>
      <c r="S237" s="35" t="n">
        <f>1644.75</f>
        <v>1644.75</v>
      </c>
      <c r="T237" s="32" t="n">
        <f>850</f>
        <v>850.0</v>
      </c>
      <c r="U237" s="32" t="str">
        <f>"－"</f>
        <v>－</v>
      </c>
      <c r="V237" s="32" t="n">
        <f>1409435</f>
        <v>1409435.0</v>
      </c>
      <c r="W237" s="32" t="str">
        <f>"－"</f>
        <v>－</v>
      </c>
      <c r="X237" s="36" t="n">
        <f>14</f>
        <v>14.0</v>
      </c>
    </row>
    <row r="238">
      <c r="A238" s="27" t="s">
        <v>42</v>
      </c>
      <c r="B238" s="27" t="s">
        <v>769</v>
      </c>
      <c r="C238" s="27" t="s">
        <v>770</v>
      </c>
      <c r="D238" s="27" t="s">
        <v>771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843.3</f>
        <v>843.3</v>
      </c>
      <c r="L238" s="34" t="s">
        <v>48</v>
      </c>
      <c r="M238" s="33" t="n">
        <f>850.3</f>
        <v>850.3</v>
      </c>
      <c r="N238" s="34" t="s">
        <v>123</v>
      </c>
      <c r="O238" s="33" t="n">
        <f>830.1</f>
        <v>830.1</v>
      </c>
      <c r="P238" s="34" t="s">
        <v>49</v>
      </c>
      <c r="Q238" s="33" t="n">
        <f>845</f>
        <v>845.0</v>
      </c>
      <c r="R238" s="34" t="s">
        <v>51</v>
      </c>
      <c r="S238" s="35" t="n">
        <f>840.3</f>
        <v>840.3</v>
      </c>
      <c r="T238" s="32" t="n">
        <f>380560</f>
        <v>380560.0</v>
      </c>
      <c r="U238" s="32" t="n">
        <f>172160</f>
        <v>172160.0</v>
      </c>
      <c r="V238" s="32" t="n">
        <f>319965224</f>
        <v>3.19965224E8</v>
      </c>
      <c r="W238" s="32" t="n">
        <f>144787883</f>
        <v>1.44787883E8</v>
      </c>
      <c r="X238" s="36" t="n">
        <f>22</f>
        <v>22.0</v>
      </c>
    </row>
    <row r="239">
      <c r="A239" s="27" t="s">
        <v>42</v>
      </c>
      <c r="B239" s="27" t="s">
        <v>772</v>
      </c>
      <c r="C239" s="27" t="s">
        <v>773</v>
      </c>
      <c r="D239" s="27" t="s">
        <v>774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1902.5</f>
        <v>1902.5</v>
      </c>
      <c r="L239" s="34" t="s">
        <v>48</v>
      </c>
      <c r="M239" s="33" t="n">
        <f>1902.5</f>
        <v>1902.5</v>
      </c>
      <c r="N239" s="34" t="s">
        <v>48</v>
      </c>
      <c r="O239" s="33" t="n">
        <f>1800</f>
        <v>1800.0</v>
      </c>
      <c r="P239" s="34" t="s">
        <v>62</v>
      </c>
      <c r="Q239" s="33" t="n">
        <f>1841</f>
        <v>1841.0</v>
      </c>
      <c r="R239" s="34" t="s">
        <v>51</v>
      </c>
      <c r="S239" s="35" t="n">
        <f>1849.32</f>
        <v>1849.32</v>
      </c>
      <c r="T239" s="32" t="n">
        <f>241640</f>
        <v>241640.0</v>
      </c>
      <c r="U239" s="32" t="n">
        <f>121000</f>
        <v>121000.0</v>
      </c>
      <c r="V239" s="32" t="n">
        <f>442366625</f>
        <v>4.42366625E8</v>
      </c>
      <c r="W239" s="32" t="n">
        <f>221919200</f>
        <v>2.219192E8</v>
      </c>
      <c r="X239" s="36" t="n">
        <f>22</f>
        <v>22.0</v>
      </c>
    </row>
    <row r="240">
      <c r="A240" s="27" t="s">
        <v>42</v>
      </c>
      <c r="B240" s="27" t="s">
        <v>775</v>
      </c>
      <c r="C240" s="27" t="s">
        <v>776</v>
      </c>
      <c r="D240" s="27" t="s">
        <v>777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1899</f>
        <v>1899.0</v>
      </c>
      <c r="L240" s="34" t="s">
        <v>48</v>
      </c>
      <c r="M240" s="33" t="n">
        <f>1899</f>
        <v>1899.0</v>
      </c>
      <c r="N240" s="34" t="s">
        <v>48</v>
      </c>
      <c r="O240" s="33" t="n">
        <f>1797</f>
        <v>1797.0</v>
      </c>
      <c r="P240" s="34" t="s">
        <v>62</v>
      </c>
      <c r="Q240" s="33" t="n">
        <f>1839</f>
        <v>1839.0</v>
      </c>
      <c r="R240" s="34" t="s">
        <v>51</v>
      </c>
      <c r="S240" s="35" t="n">
        <f>1847.95</f>
        <v>1847.95</v>
      </c>
      <c r="T240" s="32" t="n">
        <f>446640</f>
        <v>446640.0</v>
      </c>
      <c r="U240" s="32" t="n">
        <f>40020</f>
        <v>40020.0</v>
      </c>
      <c r="V240" s="32" t="n">
        <f>824671795</f>
        <v>8.24671795E8</v>
      </c>
      <c r="W240" s="32" t="n">
        <f>72946255</f>
        <v>7.2946255E7</v>
      </c>
      <c r="X240" s="36" t="n">
        <f>22</f>
        <v>22.0</v>
      </c>
    </row>
    <row r="241">
      <c r="A241" s="27" t="s">
        <v>42</v>
      </c>
      <c r="B241" s="27" t="s">
        <v>778</v>
      </c>
      <c r="C241" s="27" t="s">
        <v>779</v>
      </c>
      <c r="D241" s="27" t="s">
        <v>780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2020</f>
        <v>2020.0</v>
      </c>
      <c r="L241" s="34" t="s">
        <v>77</v>
      </c>
      <c r="M241" s="33" t="n">
        <f>2089.5</f>
        <v>2089.5</v>
      </c>
      <c r="N241" s="34" t="s">
        <v>49</v>
      </c>
      <c r="O241" s="33" t="n">
        <f>1929.5</f>
        <v>1929.5</v>
      </c>
      <c r="P241" s="34" t="s">
        <v>50</v>
      </c>
      <c r="Q241" s="33" t="n">
        <f>2046.5</f>
        <v>2046.5</v>
      </c>
      <c r="R241" s="34" t="s">
        <v>51</v>
      </c>
      <c r="S241" s="35" t="n">
        <f>2011.58</f>
        <v>2011.58</v>
      </c>
      <c r="T241" s="32" t="n">
        <f>275780</f>
        <v>275780.0</v>
      </c>
      <c r="U241" s="32" t="n">
        <f>103000</f>
        <v>103000.0</v>
      </c>
      <c r="V241" s="32" t="n">
        <f>546192345</f>
        <v>5.46192345E8</v>
      </c>
      <c r="W241" s="32" t="n">
        <f>200541000</f>
        <v>2.00541E8</v>
      </c>
      <c r="X241" s="36" t="n">
        <f>20</f>
        <v>20.0</v>
      </c>
    </row>
    <row r="242">
      <c r="A242" s="27" t="s">
        <v>42</v>
      </c>
      <c r="B242" s="27" t="s">
        <v>781</v>
      </c>
      <c r="C242" s="27" t="s">
        <v>782</v>
      </c>
      <c r="D242" s="27" t="s">
        <v>783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15535</f>
        <v>15535.0</v>
      </c>
      <c r="L242" s="34" t="s">
        <v>48</v>
      </c>
      <c r="M242" s="33" t="n">
        <f>15890</f>
        <v>15890.0</v>
      </c>
      <c r="N242" s="34" t="s">
        <v>66</v>
      </c>
      <c r="O242" s="33" t="n">
        <f>14790</f>
        <v>14790.0</v>
      </c>
      <c r="P242" s="34" t="s">
        <v>303</v>
      </c>
      <c r="Q242" s="33" t="n">
        <f>15545</f>
        <v>15545.0</v>
      </c>
      <c r="R242" s="34" t="s">
        <v>51</v>
      </c>
      <c r="S242" s="35" t="n">
        <f>15310.23</f>
        <v>15310.23</v>
      </c>
      <c r="T242" s="32" t="n">
        <f>976776</f>
        <v>976776.0</v>
      </c>
      <c r="U242" s="32" t="n">
        <f>26417</f>
        <v>26417.0</v>
      </c>
      <c r="V242" s="32" t="n">
        <f>14853777396</f>
        <v>1.4853777396E10</v>
      </c>
      <c r="W242" s="32" t="n">
        <f>412807116</f>
        <v>4.12807116E8</v>
      </c>
      <c r="X242" s="36" t="n">
        <f>22</f>
        <v>22.0</v>
      </c>
    </row>
    <row r="243">
      <c r="A243" s="27" t="s">
        <v>42</v>
      </c>
      <c r="B243" s="27" t="s">
        <v>784</v>
      </c>
      <c r="C243" s="27" t="s">
        <v>785</v>
      </c>
      <c r="D243" s="27" t="s">
        <v>786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14070</f>
        <v>14070.0</v>
      </c>
      <c r="L243" s="34" t="s">
        <v>48</v>
      </c>
      <c r="M243" s="33" t="n">
        <f>14415</f>
        <v>14415.0</v>
      </c>
      <c r="N243" s="34" t="s">
        <v>66</v>
      </c>
      <c r="O243" s="33" t="n">
        <f>13495</f>
        <v>13495.0</v>
      </c>
      <c r="P243" s="34" t="s">
        <v>456</v>
      </c>
      <c r="Q243" s="33" t="n">
        <f>14065</f>
        <v>14065.0</v>
      </c>
      <c r="R243" s="34" t="s">
        <v>51</v>
      </c>
      <c r="S243" s="35" t="n">
        <f>13939.55</f>
        <v>13939.55</v>
      </c>
      <c r="T243" s="32" t="n">
        <f>264169</f>
        <v>264169.0</v>
      </c>
      <c r="U243" s="32" t="n">
        <f>14074</f>
        <v>14074.0</v>
      </c>
      <c r="V243" s="32" t="n">
        <f>3669676402</f>
        <v>3.669676402E9</v>
      </c>
      <c r="W243" s="32" t="n">
        <f>199624677</f>
        <v>1.99624677E8</v>
      </c>
      <c r="X243" s="36" t="n">
        <f>22</f>
        <v>22.0</v>
      </c>
    </row>
    <row r="244">
      <c r="A244" s="27" t="s">
        <v>42</v>
      </c>
      <c r="B244" s="27" t="s">
        <v>787</v>
      </c>
      <c r="C244" s="27" t="s">
        <v>788</v>
      </c>
      <c r="D244" s="27" t="s">
        <v>789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27005</f>
        <v>27005.0</v>
      </c>
      <c r="L244" s="34" t="s">
        <v>61</v>
      </c>
      <c r="M244" s="33" t="n">
        <f>27450</f>
        <v>27450.0</v>
      </c>
      <c r="N244" s="34" t="s">
        <v>49</v>
      </c>
      <c r="O244" s="33" t="n">
        <f>25390</f>
        <v>25390.0</v>
      </c>
      <c r="P244" s="34" t="s">
        <v>50</v>
      </c>
      <c r="Q244" s="33" t="n">
        <f>26345</f>
        <v>26345.0</v>
      </c>
      <c r="R244" s="34" t="s">
        <v>164</v>
      </c>
      <c r="S244" s="35" t="n">
        <f>26508.18</f>
        <v>26508.18</v>
      </c>
      <c r="T244" s="32" t="n">
        <f>27</f>
        <v>27.0</v>
      </c>
      <c r="U244" s="32" t="str">
        <f>"－"</f>
        <v>－</v>
      </c>
      <c r="V244" s="32" t="n">
        <f>721385</f>
        <v>721385.0</v>
      </c>
      <c r="W244" s="32" t="str">
        <f>"－"</f>
        <v>－</v>
      </c>
      <c r="X244" s="36" t="n">
        <f>11</f>
        <v>11.0</v>
      </c>
    </row>
    <row r="245">
      <c r="A245" s="27" t="s">
        <v>42</v>
      </c>
      <c r="B245" s="27" t="s">
        <v>790</v>
      </c>
      <c r="C245" s="27" t="s">
        <v>791</v>
      </c>
      <c r="D245" s="27" t="s">
        <v>792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2491</f>
        <v>2491.0</v>
      </c>
      <c r="L245" s="34" t="s">
        <v>48</v>
      </c>
      <c r="M245" s="33" t="n">
        <f>2572</f>
        <v>2572.0</v>
      </c>
      <c r="N245" s="34" t="s">
        <v>303</v>
      </c>
      <c r="O245" s="33" t="n">
        <f>2484</f>
        <v>2484.0</v>
      </c>
      <c r="P245" s="34" t="s">
        <v>49</v>
      </c>
      <c r="Q245" s="33" t="n">
        <f>2557</f>
        <v>2557.0</v>
      </c>
      <c r="R245" s="34" t="s">
        <v>51</v>
      </c>
      <c r="S245" s="35" t="n">
        <f>2527.59</f>
        <v>2527.59</v>
      </c>
      <c r="T245" s="32" t="n">
        <f>1097082</f>
        <v>1097082.0</v>
      </c>
      <c r="U245" s="32" t="n">
        <f>488633</f>
        <v>488633.0</v>
      </c>
      <c r="V245" s="32" t="n">
        <f>2781002884</f>
        <v>2.781002884E9</v>
      </c>
      <c r="W245" s="32" t="n">
        <f>1245659832</f>
        <v>1.245659832E9</v>
      </c>
      <c r="X245" s="36" t="n">
        <f>22</f>
        <v>22.0</v>
      </c>
    </row>
    <row r="246">
      <c r="A246" s="27" t="s">
        <v>42</v>
      </c>
      <c r="B246" s="27" t="s">
        <v>793</v>
      </c>
      <c r="C246" s="27" t="s">
        <v>794</v>
      </c>
      <c r="D246" s="27" t="s">
        <v>795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2700</f>
        <v>2700.0</v>
      </c>
      <c r="L246" s="34" t="s">
        <v>48</v>
      </c>
      <c r="M246" s="33" t="n">
        <f>2773</f>
        <v>2773.0</v>
      </c>
      <c r="N246" s="34" t="s">
        <v>66</v>
      </c>
      <c r="O246" s="33" t="n">
        <f>2607</f>
        <v>2607.0</v>
      </c>
      <c r="P246" s="34" t="s">
        <v>303</v>
      </c>
      <c r="Q246" s="33" t="n">
        <f>2712.5</f>
        <v>2712.5</v>
      </c>
      <c r="R246" s="34" t="s">
        <v>51</v>
      </c>
      <c r="S246" s="35" t="n">
        <f>2692.95</f>
        <v>2692.95</v>
      </c>
      <c r="T246" s="32" t="n">
        <f>3409320</f>
        <v>3409320.0</v>
      </c>
      <c r="U246" s="32" t="n">
        <f>2904240</f>
        <v>2904240.0</v>
      </c>
      <c r="V246" s="32" t="n">
        <f>9202596126</f>
        <v>9.202596126E9</v>
      </c>
      <c r="W246" s="32" t="n">
        <f>7848992596</f>
        <v>7.848992596E9</v>
      </c>
      <c r="X246" s="36" t="n">
        <f>22</f>
        <v>22.0</v>
      </c>
    </row>
    <row r="247">
      <c r="A247" s="27" t="s">
        <v>42</v>
      </c>
      <c r="B247" s="27" t="s">
        <v>796</v>
      </c>
      <c r="C247" s="27" t="s">
        <v>797</v>
      </c>
      <c r="D247" s="27" t="s">
        <v>798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246.6</f>
        <v>246.6</v>
      </c>
      <c r="L247" s="34" t="s">
        <v>48</v>
      </c>
      <c r="M247" s="33" t="n">
        <f>252.8</f>
        <v>252.8</v>
      </c>
      <c r="N247" s="34" t="s">
        <v>66</v>
      </c>
      <c r="O247" s="33" t="n">
        <f>240</f>
        <v>240.0</v>
      </c>
      <c r="P247" s="34" t="s">
        <v>303</v>
      </c>
      <c r="Q247" s="33" t="n">
        <f>251.6</f>
        <v>251.6</v>
      </c>
      <c r="R247" s="34" t="s">
        <v>51</v>
      </c>
      <c r="S247" s="35" t="n">
        <f>247.02</f>
        <v>247.02</v>
      </c>
      <c r="T247" s="32" t="n">
        <f>61584650</f>
        <v>6.158465E7</v>
      </c>
      <c r="U247" s="32" t="n">
        <f>5121290</f>
        <v>5121290.0</v>
      </c>
      <c r="V247" s="32" t="n">
        <f>15151750796</f>
        <v>1.5151750796E10</v>
      </c>
      <c r="W247" s="32" t="n">
        <f>1248122123</f>
        <v>1.248122123E9</v>
      </c>
      <c r="X247" s="36" t="n">
        <f>22</f>
        <v>22.0</v>
      </c>
    </row>
    <row r="248">
      <c r="A248" s="27" t="s">
        <v>42</v>
      </c>
      <c r="B248" s="27" t="s">
        <v>799</v>
      </c>
      <c r="C248" s="27" t="s">
        <v>800</v>
      </c>
      <c r="D248" s="27" t="s">
        <v>801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2232</f>
        <v>2232.0</v>
      </c>
      <c r="L248" s="34" t="s">
        <v>48</v>
      </c>
      <c r="M248" s="33" t="n">
        <f>2334</f>
        <v>2334.0</v>
      </c>
      <c r="N248" s="34" t="s">
        <v>49</v>
      </c>
      <c r="O248" s="33" t="n">
        <f>2140</f>
        <v>2140.0</v>
      </c>
      <c r="P248" s="34" t="s">
        <v>62</v>
      </c>
      <c r="Q248" s="33" t="n">
        <f>2255</f>
        <v>2255.0</v>
      </c>
      <c r="R248" s="34" t="s">
        <v>51</v>
      </c>
      <c r="S248" s="35" t="n">
        <f>2241.68</f>
        <v>2241.68</v>
      </c>
      <c r="T248" s="32" t="n">
        <f>4994709</f>
        <v>4994709.0</v>
      </c>
      <c r="U248" s="32" t="n">
        <f>180000</f>
        <v>180000.0</v>
      </c>
      <c r="V248" s="32" t="n">
        <f>11208323404</f>
        <v>1.1208323404E10</v>
      </c>
      <c r="W248" s="32" t="n">
        <f>394164000</f>
        <v>3.94164E8</v>
      </c>
      <c r="X248" s="36" t="n">
        <f>22</f>
        <v>22.0</v>
      </c>
    </row>
    <row r="249">
      <c r="A249" s="27" t="s">
        <v>42</v>
      </c>
      <c r="B249" s="27" t="s">
        <v>802</v>
      </c>
      <c r="C249" s="27" t="s">
        <v>803</v>
      </c>
      <c r="D249" s="27" t="s">
        <v>804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980</f>
        <v>980.0</v>
      </c>
      <c r="L249" s="34" t="s">
        <v>48</v>
      </c>
      <c r="M249" s="33" t="n">
        <f>996</f>
        <v>996.0</v>
      </c>
      <c r="N249" s="34" t="s">
        <v>520</v>
      </c>
      <c r="O249" s="33" t="n">
        <f>950</f>
        <v>950.0</v>
      </c>
      <c r="P249" s="34" t="s">
        <v>187</v>
      </c>
      <c r="Q249" s="33" t="n">
        <f>958</f>
        <v>958.0</v>
      </c>
      <c r="R249" s="34" t="s">
        <v>51</v>
      </c>
      <c r="S249" s="35" t="n">
        <f>967.5</f>
        <v>967.5</v>
      </c>
      <c r="T249" s="32" t="n">
        <f>1514993</f>
        <v>1514993.0</v>
      </c>
      <c r="U249" s="32" t="n">
        <f>1202002</f>
        <v>1202002.0</v>
      </c>
      <c r="V249" s="32" t="n">
        <f>1454495216</f>
        <v>1.454495216E9</v>
      </c>
      <c r="W249" s="32" t="n">
        <f>1153098592</f>
        <v>1.153098592E9</v>
      </c>
      <c r="X249" s="36" t="n">
        <f>22</f>
        <v>22.0</v>
      </c>
    </row>
    <row r="250">
      <c r="A250" s="27" t="s">
        <v>42</v>
      </c>
      <c r="B250" s="27" t="s">
        <v>805</v>
      </c>
      <c r="C250" s="27" t="s">
        <v>806</v>
      </c>
      <c r="D250" s="27" t="s">
        <v>807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1044</f>
        <v>1044.0</v>
      </c>
      <c r="L250" s="34" t="s">
        <v>48</v>
      </c>
      <c r="M250" s="33" t="n">
        <f>1044</f>
        <v>1044.0</v>
      </c>
      <c r="N250" s="34" t="s">
        <v>48</v>
      </c>
      <c r="O250" s="33" t="n">
        <f>990.7</f>
        <v>990.7</v>
      </c>
      <c r="P250" s="34" t="s">
        <v>808</v>
      </c>
      <c r="Q250" s="33" t="n">
        <f>1008</f>
        <v>1008.0</v>
      </c>
      <c r="R250" s="34" t="s">
        <v>51</v>
      </c>
      <c r="S250" s="35" t="n">
        <f>1017</f>
        <v>1017.0</v>
      </c>
      <c r="T250" s="32" t="n">
        <f>402940</f>
        <v>402940.0</v>
      </c>
      <c r="U250" s="32" t="n">
        <f>389690</f>
        <v>389690.0</v>
      </c>
      <c r="V250" s="32" t="n">
        <f>413157498</f>
        <v>4.13157498E8</v>
      </c>
      <c r="W250" s="32" t="n">
        <f>399746037</f>
        <v>3.99746037E8</v>
      </c>
      <c r="X250" s="36" t="n">
        <f>22</f>
        <v>22.0</v>
      </c>
    </row>
    <row r="251">
      <c r="A251" s="27" t="s">
        <v>42</v>
      </c>
      <c r="B251" s="27" t="s">
        <v>809</v>
      </c>
      <c r="C251" s="27" t="s">
        <v>810</v>
      </c>
      <c r="D251" s="27" t="s">
        <v>811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249.6</f>
        <v>249.6</v>
      </c>
      <c r="L251" s="34" t="s">
        <v>48</v>
      </c>
      <c r="M251" s="33" t="n">
        <f>257.5</f>
        <v>257.5</v>
      </c>
      <c r="N251" s="34" t="s">
        <v>49</v>
      </c>
      <c r="O251" s="33" t="n">
        <f>245</f>
        <v>245.0</v>
      </c>
      <c r="P251" s="34" t="s">
        <v>50</v>
      </c>
      <c r="Q251" s="33" t="n">
        <f>252.5</f>
        <v>252.5</v>
      </c>
      <c r="R251" s="34" t="s">
        <v>51</v>
      </c>
      <c r="S251" s="35" t="n">
        <f>250.58</f>
        <v>250.58</v>
      </c>
      <c r="T251" s="32" t="n">
        <f>8530</f>
        <v>8530.0</v>
      </c>
      <c r="U251" s="32" t="str">
        <f>"－"</f>
        <v>－</v>
      </c>
      <c r="V251" s="32" t="n">
        <f>2151194</f>
        <v>2151194.0</v>
      </c>
      <c r="W251" s="32" t="str">
        <f>"－"</f>
        <v>－</v>
      </c>
      <c r="X251" s="36" t="n">
        <f>21</f>
        <v>21.0</v>
      </c>
    </row>
    <row r="252">
      <c r="A252" s="27" t="s">
        <v>42</v>
      </c>
      <c r="B252" s="27" t="s">
        <v>812</v>
      </c>
      <c r="C252" s="27" t="s">
        <v>813</v>
      </c>
      <c r="D252" s="27" t="s">
        <v>814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2812</f>
        <v>2812.0</v>
      </c>
      <c r="L252" s="34" t="s">
        <v>48</v>
      </c>
      <c r="M252" s="33" t="n">
        <f>2988</f>
        <v>2988.0</v>
      </c>
      <c r="N252" s="34" t="s">
        <v>51</v>
      </c>
      <c r="O252" s="33" t="n">
        <f>2733.5</f>
        <v>2733.5</v>
      </c>
      <c r="P252" s="34" t="s">
        <v>303</v>
      </c>
      <c r="Q252" s="33" t="n">
        <f>2970</f>
        <v>2970.0</v>
      </c>
      <c r="R252" s="34" t="s">
        <v>51</v>
      </c>
      <c r="S252" s="35" t="n">
        <f>2853.05</f>
        <v>2853.05</v>
      </c>
      <c r="T252" s="32" t="n">
        <f>2111660</f>
        <v>2111660.0</v>
      </c>
      <c r="U252" s="32" t="str">
        <f>"－"</f>
        <v>－</v>
      </c>
      <c r="V252" s="32" t="n">
        <f>5993697630</f>
        <v>5.99369763E9</v>
      </c>
      <c r="W252" s="32" t="str">
        <f>"－"</f>
        <v>－</v>
      </c>
      <c r="X252" s="36" t="n">
        <f>22</f>
        <v>22.0</v>
      </c>
    </row>
    <row r="253">
      <c r="A253" s="27" t="s">
        <v>42</v>
      </c>
      <c r="B253" s="27" t="s">
        <v>815</v>
      </c>
      <c r="C253" s="27" t="s">
        <v>816</v>
      </c>
      <c r="D253" s="27" t="s">
        <v>817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2056</f>
        <v>2056.0</v>
      </c>
      <c r="L253" s="34" t="s">
        <v>48</v>
      </c>
      <c r="M253" s="33" t="n">
        <f>2216.5</f>
        <v>2216.5</v>
      </c>
      <c r="N253" s="34" t="s">
        <v>51</v>
      </c>
      <c r="O253" s="33" t="n">
        <f>2028</f>
        <v>2028.0</v>
      </c>
      <c r="P253" s="34" t="s">
        <v>77</v>
      </c>
      <c r="Q253" s="33" t="n">
        <f>2210.5</f>
        <v>2210.5</v>
      </c>
      <c r="R253" s="34" t="s">
        <v>51</v>
      </c>
      <c r="S253" s="35" t="n">
        <f>2116.93</f>
        <v>2116.93</v>
      </c>
      <c r="T253" s="32" t="n">
        <f>2392280</f>
        <v>2392280.0</v>
      </c>
      <c r="U253" s="32" t="n">
        <f>80000</f>
        <v>80000.0</v>
      </c>
      <c r="V253" s="32" t="n">
        <f>5048022977</f>
        <v>5.048022977E9</v>
      </c>
      <c r="W253" s="32" t="n">
        <f>165583747</f>
        <v>1.65583747E8</v>
      </c>
      <c r="X253" s="36" t="n">
        <f>22</f>
        <v>22.0</v>
      </c>
    </row>
    <row r="254">
      <c r="A254" s="27" t="s">
        <v>42</v>
      </c>
      <c r="B254" s="27" t="s">
        <v>818</v>
      </c>
      <c r="C254" s="27" t="s">
        <v>819</v>
      </c>
      <c r="D254" s="27" t="s">
        <v>820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301.9</f>
        <v>301.9</v>
      </c>
      <c r="L254" s="34" t="s">
        <v>48</v>
      </c>
      <c r="M254" s="33" t="n">
        <f>304.4</f>
        <v>304.4</v>
      </c>
      <c r="N254" s="34" t="s">
        <v>263</v>
      </c>
      <c r="O254" s="33" t="n">
        <f>293</f>
        <v>293.0</v>
      </c>
      <c r="P254" s="34" t="s">
        <v>95</v>
      </c>
      <c r="Q254" s="33" t="n">
        <f>298.2</f>
        <v>298.2</v>
      </c>
      <c r="R254" s="34" t="s">
        <v>51</v>
      </c>
      <c r="S254" s="35" t="n">
        <f>298.87</f>
        <v>298.87</v>
      </c>
      <c r="T254" s="32" t="n">
        <f>9771400</f>
        <v>9771400.0</v>
      </c>
      <c r="U254" s="32" t="n">
        <f>4713310</f>
        <v>4713310.0</v>
      </c>
      <c r="V254" s="32" t="n">
        <f>2902979868</f>
        <v>2.902979868E9</v>
      </c>
      <c r="W254" s="32" t="n">
        <f>1390067942</f>
        <v>1.390067942E9</v>
      </c>
      <c r="X254" s="36" t="n">
        <f>22</f>
        <v>22.0</v>
      </c>
    </row>
    <row r="255">
      <c r="A255" s="27" t="s">
        <v>42</v>
      </c>
      <c r="B255" s="27" t="s">
        <v>821</v>
      </c>
      <c r="C255" s="27" t="s">
        <v>822</v>
      </c>
      <c r="D255" s="27" t="s">
        <v>823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1454</f>
        <v>1454.0</v>
      </c>
      <c r="L255" s="34" t="s">
        <v>48</v>
      </c>
      <c r="M255" s="33" t="n">
        <f>1541</f>
        <v>1541.0</v>
      </c>
      <c r="N255" s="34" t="s">
        <v>50</v>
      </c>
      <c r="O255" s="33" t="n">
        <f>1432</f>
        <v>1432.0</v>
      </c>
      <c r="P255" s="34" t="s">
        <v>94</v>
      </c>
      <c r="Q255" s="33" t="n">
        <f>1503</f>
        <v>1503.0</v>
      </c>
      <c r="R255" s="34" t="s">
        <v>51</v>
      </c>
      <c r="S255" s="35" t="n">
        <f>1492.86</f>
        <v>1492.86</v>
      </c>
      <c r="T255" s="32" t="n">
        <f>11056102</f>
        <v>1.1056102E7</v>
      </c>
      <c r="U255" s="32" t="n">
        <f>280662</f>
        <v>280662.0</v>
      </c>
      <c r="V255" s="32" t="n">
        <f>16530546553</f>
        <v>1.6530546553E10</v>
      </c>
      <c r="W255" s="32" t="n">
        <f>409082622</f>
        <v>4.09082622E8</v>
      </c>
      <c r="X255" s="36" t="n">
        <f>22</f>
        <v>22.0</v>
      </c>
    </row>
    <row r="256">
      <c r="A256" s="27" t="s">
        <v>42</v>
      </c>
      <c r="B256" s="27" t="s">
        <v>824</v>
      </c>
      <c r="C256" s="27" t="s">
        <v>825</v>
      </c>
      <c r="D256" s="27" t="s">
        <v>826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1840</f>
        <v>1840.0</v>
      </c>
      <c r="L256" s="34" t="s">
        <v>48</v>
      </c>
      <c r="M256" s="33" t="n">
        <f>1840</f>
        <v>1840.0</v>
      </c>
      <c r="N256" s="34" t="s">
        <v>48</v>
      </c>
      <c r="O256" s="33" t="n">
        <f>1800</f>
        <v>1800.0</v>
      </c>
      <c r="P256" s="34" t="s">
        <v>94</v>
      </c>
      <c r="Q256" s="33" t="n">
        <f>1831</f>
        <v>1831.0</v>
      </c>
      <c r="R256" s="34" t="s">
        <v>51</v>
      </c>
      <c r="S256" s="35" t="n">
        <f>1818.82</f>
        <v>1818.82</v>
      </c>
      <c r="T256" s="32" t="n">
        <f>41575</f>
        <v>41575.0</v>
      </c>
      <c r="U256" s="32" t="n">
        <f>3</f>
        <v>3.0</v>
      </c>
      <c r="V256" s="32" t="n">
        <f>75435491</f>
        <v>7.5435491E7</v>
      </c>
      <c r="W256" s="32" t="n">
        <f>5486</f>
        <v>5486.0</v>
      </c>
      <c r="X256" s="36" t="n">
        <f>22</f>
        <v>22.0</v>
      </c>
    </row>
    <row r="257">
      <c r="A257" s="27" t="s">
        <v>42</v>
      </c>
      <c r="B257" s="27" t="s">
        <v>827</v>
      </c>
      <c r="C257" s="27" t="s">
        <v>828</v>
      </c>
      <c r="D257" s="27" t="s">
        <v>829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2152</f>
        <v>2152.0</v>
      </c>
      <c r="L257" s="34" t="s">
        <v>48</v>
      </c>
      <c r="M257" s="33" t="n">
        <f>2184</f>
        <v>2184.0</v>
      </c>
      <c r="N257" s="34" t="s">
        <v>95</v>
      </c>
      <c r="O257" s="33" t="n">
        <f>2110</f>
        <v>2110.0</v>
      </c>
      <c r="P257" s="34" t="s">
        <v>49</v>
      </c>
      <c r="Q257" s="33" t="n">
        <f>2132</f>
        <v>2132.0</v>
      </c>
      <c r="R257" s="34" t="s">
        <v>51</v>
      </c>
      <c r="S257" s="35" t="n">
        <f>2127.09</f>
        <v>2127.09</v>
      </c>
      <c r="T257" s="32" t="n">
        <f>14181</f>
        <v>14181.0</v>
      </c>
      <c r="U257" s="32" t="str">
        <f>"－"</f>
        <v>－</v>
      </c>
      <c r="V257" s="32" t="n">
        <f>30279696</f>
        <v>3.0279696E7</v>
      </c>
      <c r="W257" s="32" t="str">
        <f>"－"</f>
        <v>－</v>
      </c>
      <c r="X257" s="36" t="n">
        <f>22</f>
        <v>22.0</v>
      </c>
    </row>
    <row r="258">
      <c r="A258" s="27" t="s">
        <v>42</v>
      </c>
      <c r="B258" s="27" t="s">
        <v>830</v>
      </c>
      <c r="C258" s="27" t="s">
        <v>831</v>
      </c>
      <c r="D258" s="27" t="s">
        <v>832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2751</f>
        <v>2751.0</v>
      </c>
      <c r="L258" s="34" t="s">
        <v>48</v>
      </c>
      <c r="M258" s="33" t="n">
        <f>2884</f>
        <v>2884.0</v>
      </c>
      <c r="N258" s="34" t="s">
        <v>49</v>
      </c>
      <c r="O258" s="33" t="n">
        <f>2674</f>
        <v>2674.0</v>
      </c>
      <c r="P258" s="34" t="s">
        <v>50</v>
      </c>
      <c r="Q258" s="33" t="n">
        <f>2844</f>
        <v>2844.0</v>
      </c>
      <c r="R258" s="34" t="s">
        <v>51</v>
      </c>
      <c r="S258" s="35" t="n">
        <f>2782.82</f>
        <v>2782.82</v>
      </c>
      <c r="T258" s="32" t="n">
        <f>2041094</f>
        <v>2041094.0</v>
      </c>
      <c r="U258" s="32" t="n">
        <f>1600000</f>
        <v>1600000.0</v>
      </c>
      <c r="V258" s="32" t="n">
        <f>5671454668</f>
        <v>5.671454668E9</v>
      </c>
      <c r="W258" s="32" t="n">
        <f>4442450000</f>
        <v>4.44245E9</v>
      </c>
      <c r="X258" s="36" t="n">
        <f>22</f>
        <v>22.0</v>
      </c>
    </row>
    <row r="259">
      <c r="A259" s="27" t="s">
        <v>42</v>
      </c>
      <c r="B259" s="27" t="s">
        <v>833</v>
      </c>
      <c r="C259" s="27" t="s">
        <v>834</v>
      </c>
      <c r="D259" s="27" t="s">
        <v>835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1994</f>
        <v>1994.0</v>
      </c>
      <c r="L259" s="34" t="s">
        <v>48</v>
      </c>
      <c r="M259" s="33" t="n">
        <f>2075</f>
        <v>2075.0</v>
      </c>
      <c r="N259" s="34" t="s">
        <v>49</v>
      </c>
      <c r="O259" s="33" t="n">
        <f>1915</f>
        <v>1915.0</v>
      </c>
      <c r="P259" s="34" t="s">
        <v>50</v>
      </c>
      <c r="Q259" s="33" t="n">
        <f>2034</f>
        <v>2034.0</v>
      </c>
      <c r="R259" s="34" t="s">
        <v>51</v>
      </c>
      <c r="S259" s="35" t="n">
        <f>1995.18</f>
        <v>1995.18</v>
      </c>
      <c r="T259" s="32" t="n">
        <f>1760145</f>
        <v>1760145.0</v>
      </c>
      <c r="U259" s="32" t="n">
        <f>1495800</f>
        <v>1495800.0</v>
      </c>
      <c r="V259" s="32" t="n">
        <f>3473346877</f>
        <v>3.473346877E9</v>
      </c>
      <c r="W259" s="32" t="n">
        <f>2947013193</f>
        <v>2.947013193E9</v>
      </c>
      <c r="X259" s="36" t="n">
        <f>22</f>
        <v>22.0</v>
      </c>
    </row>
    <row r="260">
      <c r="A260" s="27" t="s">
        <v>42</v>
      </c>
      <c r="B260" s="27" t="s">
        <v>836</v>
      </c>
      <c r="C260" s="27" t="s">
        <v>837</v>
      </c>
      <c r="D260" s="27" t="s">
        <v>838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1813</f>
        <v>1813.0</v>
      </c>
      <c r="L260" s="34" t="s">
        <v>48</v>
      </c>
      <c r="M260" s="33" t="n">
        <f>1871</f>
        <v>1871.0</v>
      </c>
      <c r="N260" s="34" t="s">
        <v>49</v>
      </c>
      <c r="O260" s="33" t="n">
        <f>1756</f>
        <v>1756.0</v>
      </c>
      <c r="P260" s="34" t="s">
        <v>50</v>
      </c>
      <c r="Q260" s="33" t="n">
        <f>1865</f>
        <v>1865.0</v>
      </c>
      <c r="R260" s="34" t="s">
        <v>51</v>
      </c>
      <c r="S260" s="35" t="n">
        <f>1830.18</f>
        <v>1830.18</v>
      </c>
      <c r="T260" s="32" t="n">
        <f>26216</f>
        <v>26216.0</v>
      </c>
      <c r="U260" s="32" t="str">
        <f>"－"</f>
        <v>－</v>
      </c>
      <c r="V260" s="32" t="n">
        <f>48382005</f>
        <v>4.8382005E7</v>
      </c>
      <c r="W260" s="32" t="str">
        <f>"－"</f>
        <v>－</v>
      </c>
      <c r="X260" s="36" t="n">
        <f>22</f>
        <v>22.0</v>
      </c>
    </row>
    <row r="261">
      <c r="A261" s="27" t="s">
        <v>42</v>
      </c>
      <c r="B261" s="27" t="s">
        <v>839</v>
      </c>
      <c r="C261" s="27" t="s">
        <v>840</v>
      </c>
      <c r="D261" s="27" t="s">
        <v>841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1389</f>
        <v>1389.0</v>
      </c>
      <c r="L261" s="34" t="s">
        <v>48</v>
      </c>
      <c r="M261" s="33" t="n">
        <f>1400</f>
        <v>1400.0</v>
      </c>
      <c r="N261" s="34" t="s">
        <v>66</v>
      </c>
      <c r="O261" s="33" t="n">
        <f>1290</f>
        <v>1290.0</v>
      </c>
      <c r="P261" s="34" t="s">
        <v>50</v>
      </c>
      <c r="Q261" s="33" t="n">
        <f>1342</f>
        <v>1342.0</v>
      </c>
      <c r="R261" s="34" t="s">
        <v>51</v>
      </c>
      <c r="S261" s="35" t="n">
        <f>1356.77</f>
        <v>1356.77</v>
      </c>
      <c r="T261" s="32" t="n">
        <f>39393</f>
        <v>39393.0</v>
      </c>
      <c r="U261" s="32" t="str">
        <f>"－"</f>
        <v>－</v>
      </c>
      <c r="V261" s="32" t="n">
        <f>53197479</f>
        <v>5.3197479E7</v>
      </c>
      <c r="W261" s="32" t="str">
        <f>"－"</f>
        <v>－</v>
      </c>
      <c r="X261" s="36" t="n">
        <f>22</f>
        <v>22.0</v>
      </c>
    </row>
    <row r="262">
      <c r="A262" s="27" t="s">
        <v>42</v>
      </c>
      <c r="B262" s="27" t="s">
        <v>842</v>
      </c>
      <c r="C262" s="27" t="s">
        <v>843</v>
      </c>
      <c r="D262" s="27" t="s">
        <v>844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1968</f>
        <v>1968.0</v>
      </c>
      <c r="L262" s="34" t="s">
        <v>48</v>
      </c>
      <c r="M262" s="33" t="n">
        <f>2109</f>
        <v>2109.0</v>
      </c>
      <c r="N262" s="34" t="s">
        <v>51</v>
      </c>
      <c r="O262" s="33" t="n">
        <f>1942</f>
        <v>1942.0</v>
      </c>
      <c r="P262" s="34" t="s">
        <v>303</v>
      </c>
      <c r="Q262" s="33" t="n">
        <f>2109</f>
        <v>2109.0</v>
      </c>
      <c r="R262" s="34" t="s">
        <v>51</v>
      </c>
      <c r="S262" s="35" t="n">
        <f>2014.95</f>
        <v>2014.95</v>
      </c>
      <c r="T262" s="32" t="n">
        <f>13207</f>
        <v>13207.0</v>
      </c>
      <c r="U262" s="32" t="str">
        <f>"－"</f>
        <v>－</v>
      </c>
      <c r="V262" s="32" t="n">
        <f>26434947</f>
        <v>2.6434947E7</v>
      </c>
      <c r="W262" s="32" t="str">
        <f>"－"</f>
        <v>－</v>
      </c>
      <c r="X262" s="36" t="n">
        <f>22</f>
        <v>22.0</v>
      </c>
    </row>
    <row r="263">
      <c r="A263" s="27" t="s">
        <v>42</v>
      </c>
      <c r="B263" s="27" t="s">
        <v>845</v>
      </c>
      <c r="C263" s="27" t="s">
        <v>846</v>
      </c>
      <c r="D263" s="27" t="s">
        <v>847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2499</f>
        <v>2499.0</v>
      </c>
      <c r="L263" s="34" t="s">
        <v>48</v>
      </c>
      <c r="M263" s="33" t="n">
        <f>2591</f>
        <v>2591.0</v>
      </c>
      <c r="N263" s="34" t="s">
        <v>94</v>
      </c>
      <c r="O263" s="33" t="n">
        <f>2337</f>
        <v>2337.0</v>
      </c>
      <c r="P263" s="34" t="s">
        <v>62</v>
      </c>
      <c r="Q263" s="33" t="n">
        <f>2495</f>
        <v>2495.0</v>
      </c>
      <c r="R263" s="34" t="s">
        <v>51</v>
      </c>
      <c r="S263" s="35" t="n">
        <f>2454.38</f>
        <v>2454.38</v>
      </c>
      <c r="T263" s="32" t="n">
        <f>2497</f>
        <v>2497.0</v>
      </c>
      <c r="U263" s="32" t="str">
        <f>"－"</f>
        <v>－</v>
      </c>
      <c r="V263" s="32" t="n">
        <f>6186211</f>
        <v>6186211.0</v>
      </c>
      <c r="W263" s="32" t="str">
        <f>"－"</f>
        <v>－</v>
      </c>
      <c r="X263" s="36" t="n">
        <f>21</f>
        <v>21.0</v>
      </c>
    </row>
    <row r="264">
      <c r="A264" s="27" t="s">
        <v>42</v>
      </c>
      <c r="B264" s="27" t="s">
        <v>848</v>
      </c>
      <c r="C264" s="27" t="s">
        <v>849</v>
      </c>
      <c r="D264" s="27" t="s">
        <v>850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9791</f>
        <v>9791.0</v>
      </c>
      <c r="L264" s="34" t="s">
        <v>48</v>
      </c>
      <c r="M264" s="33" t="n">
        <f>10035</f>
        <v>10035.0</v>
      </c>
      <c r="N264" s="34" t="s">
        <v>66</v>
      </c>
      <c r="O264" s="33" t="n">
        <f>9540</f>
        <v>9540.0</v>
      </c>
      <c r="P264" s="34" t="s">
        <v>303</v>
      </c>
      <c r="Q264" s="33" t="n">
        <f>10005</f>
        <v>10005.0</v>
      </c>
      <c r="R264" s="34" t="s">
        <v>51</v>
      </c>
      <c r="S264" s="35" t="n">
        <f>9807.82</f>
        <v>9807.82</v>
      </c>
      <c r="T264" s="32" t="n">
        <f>486198</f>
        <v>486198.0</v>
      </c>
      <c r="U264" s="32" t="n">
        <f>119899</f>
        <v>119899.0</v>
      </c>
      <c r="V264" s="32" t="n">
        <f>4738478149</f>
        <v>4.738478149E9</v>
      </c>
      <c r="W264" s="32" t="n">
        <f>1171603909</f>
        <v>1.171603909E9</v>
      </c>
      <c r="X264" s="36" t="n">
        <f>22</f>
        <v>22.0</v>
      </c>
    </row>
    <row r="265">
      <c r="A265" s="27" t="s">
        <v>42</v>
      </c>
      <c r="B265" s="27" t="s">
        <v>851</v>
      </c>
      <c r="C265" s="27" t="s">
        <v>852</v>
      </c>
      <c r="D265" s="27" t="s">
        <v>853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11760</f>
        <v>11760.0</v>
      </c>
      <c r="L265" s="34" t="s">
        <v>48</v>
      </c>
      <c r="M265" s="33" t="n">
        <f>12500</f>
        <v>12500.0</v>
      </c>
      <c r="N265" s="34" t="s">
        <v>51</v>
      </c>
      <c r="O265" s="33" t="n">
        <f>11425</f>
        <v>11425.0</v>
      </c>
      <c r="P265" s="34" t="s">
        <v>303</v>
      </c>
      <c r="Q265" s="33" t="n">
        <f>12425</f>
        <v>12425.0</v>
      </c>
      <c r="R265" s="34" t="s">
        <v>51</v>
      </c>
      <c r="S265" s="35" t="n">
        <f>11935.45</f>
        <v>11935.45</v>
      </c>
      <c r="T265" s="32" t="n">
        <f>636318</f>
        <v>636318.0</v>
      </c>
      <c r="U265" s="32" t="str">
        <f>"－"</f>
        <v>－</v>
      </c>
      <c r="V265" s="32" t="n">
        <f>7582757570</f>
        <v>7.58275757E9</v>
      </c>
      <c r="W265" s="32" t="str">
        <f>"－"</f>
        <v>－</v>
      </c>
      <c r="X265" s="36" t="n">
        <f>22</f>
        <v>22.0</v>
      </c>
    </row>
    <row r="266">
      <c r="A266" s="27" t="s">
        <v>42</v>
      </c>
      <c r="B266" s="27" t="s">
        <v>854</v>
      </c>
      <c r="C266" s="27" t="s">
        <v>855</v>
      </c>
      <c r="D266" s="27" t="s">
        <v>856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8614</f>
        <v>8614.0</v>
      </c>
      <c r="L266" s="34" t="s">
        <v>48</v>
      </c>
      <c r="M266" s="33" t="n">
        <f>9296</f>
        <v>9296.0</v>
      </c>
      <c r="N266" s="34" t="s">
        <v>51</v>
      </c>
      <c r="O266" s="33" t="n">
        <f>8498</f>
        <v>8498.0</v>
      </c>
      <c r="P266" s="34" t="s">
        <v>77</v>
      </c>
      <c r="Q266" s="33" t="n">
        <f>9273</f>
        <v>9273.0</v>
      </c>
      <c r="R266" s="34" t="s">
        <v>51</v>
      </c>
      <c r="S266" s="35" t="n">
        <f>8876.86</f>
        <v>8876.86</v>
      </c>
      <c r="T266" s="32" t="n">
        <f>634809</f>
        <v>634809.0</v>
      </c>
      <c r="U266" s="32" t="n">
        <f>77100</f>
        <v>77100.0</v>
      </c>
      <c r="V266" s="32" t="n">
        <f>5639927489</f>
        <v>5.639927489E9</v>
      </c>
      <c r="W266" s="32" t="n">
        <f>699533320</f>
        <v>6.9953332E8</v>
      </c>
      <c r="X266" s="36" t="n">
        <f>22</f>
        <v>22.0</v>
      </c>
    </row>
    <row r="267">
      <c r="A267" s="27" t="s">
        <v>42</v>
      </c>
      <c r="B267" s="27" t="s">
        <v>857</v>
      </c>
      <c r="C267" s="27" t="s">
        <v>858</v>
      </c>
      <c r="D267" s="27" t="s">
        <v>859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2504.5</f>
        <v>2504.5</v>
      </c>
      <c r="L267" s="34" t="s">
        <v>48</v>
      </c>
      <c r="M267" s="33" t="n">
        <f>2560</f>
        <v>2560.0</v>
      </c>
      <c r="N267" s="34" t="s">
        <v>66</v>
      </c>
      <c r="O267" s="33" t="n">
        <f>2366</f>
        <v>2366.0</v>
      </c>
      <c r="P267" s="34" t="s">
        <v>95</v>
      </c>
      <c r="Q267" s="33" t="n">
        <f>2484.5</f>
        <v>2484.5</v>
      </c>
      <c r="R267" s="34" t="s">
        <v>51</v>
      </c>
      <c r="S267" s="35" t="n">
        <f>2453.55</f>
        <v>2453.55</v>
      </c>
      <c r="T267" s="32" t="n">
        <f>819100</f>
        <v>819100.0</v>
      </c>
      <c r="U267" s="32" t="str">
        <f>"－"</f>
        <v>－</v>
      </c>
      <c r="V267" s="32" t="n">
        <f>1997162230</f>
        <v>1.99716223E9</v>
      </c>
      <c r="W267" s="32" t="str">
        <f>"－"</f>
        <v>－</v>
      </c>
      <c r="X267" s="36" t="n">
        <f>22</f>
        <v>22.0</v>
      </c>
    </row>
    <row r="268">
      <c r="A268" s="27" t="s">
        <v>42</v>
      </c>
      <c r="B268" s="27" t="s">
        <v>860</v>
      </c>
      <c r="C268" s="27" t="s">
        <v>861</v>
      </c>
      <c r="D268" s="27" t="s">
        <v>862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1930.5</f>
        <v>1930.5</v>
      </c>
      <c r="L268" s="34" t="s">
        <v>48</v>
      </c>
      <c r="M268" s="33" t="n">
        <f>1978.5</f>
        <v>1978.5</v>
      </c>
      <c r="N268" s="34" t="s">
        <v>66</v>
      </c>
      <c r="O268" s="33" t="n">
        <f>1867</f>
        <v>1867.0</v>
      </c>
      <c r="P268" s="34" t="s">
        <v>303</v>
      </c>
      <c r="Q268" s="33" t="n">
        <f>1956.5</f>
        <v>1956.5</v>
      </c>
      <c r="R268" s="34" t="s">
        <v>51</v>
      </c>
      <c r="S268" s="35" t="n">
        <f>1923.89</f>
        <v>1923.89</v>
      </c>
      <c r="T268" s="32" t="n">
        <f>2735290</f>
        <v>2735290.0</v>
      </c>
      <c r="U268" s="32" t="n">
        <f>907990</f>
        <v>907990.0</v>
      </c>
      <c r="V268" s="32" t="n">
        <f>5241792319</f>
        <v>5.241792319E9</v>
      </c>
      <c r="W268" s="32" t="n">
        <f>1751001169</f>
        <v>1.751001169E9</v>
      </c>
      <c r="X268" s="36" t="n">
        <f>22</f>
        <v>22.0</v>
      </c>
    </row>
    <row r="269">
      <c r="A269" s="27" t="s">
        <v>42</v>
      </c>
      <c r="B269" s="27" t="s">
        <v>863</v>
      </c>
      <c r="C269" s="27" t="s">
        <v>864</v>
      </c>
      <c r="D269" s="27" t="s">
        <v>865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2573</f>
        <v>2573.0</v>
      </c>
      <c r="L269" s="34" t="s">
        <v>48</v>
      </c>
      <c r="M269" s="33" t="n">
        <f>2641</f>
        <v>2641.0</v>
      </c>
      <c r="N269" s="34" t="s">
        <v>66</v>
      </c>
      <c r="O269" s="33" t="n">
        <f>2435</f>
        <v>2435.0</v>
      </c>
      <c r="P269" s="34" t="s">
        <v>303</v>
      </c>
      <c r="Q269" s="33" t="n">
        <f>2570.5</f>
        <v>2570.5</v>
      </c>
      <c r="R269" s="34" t="s">
        <v>51</v>
      </c>
      <c r="S269" s="35" t="n">
        <f>2528.86</f>
        <v>2528.86</v>
      </c>
      <c r="T269" s="32" t="n">
        <f>81000</f>
        <v>81000.0</v>
      </c>
      <c r="U269" s="32" t="n">
        <f>30000</f>
        <v>30000.0</v>
      </c>
      <c r="V269" s="32" t="n">
        <f>203294485</f>
        <v>2.03294485E8</v>
      </c>
      <c r="W269" s="32" t="n">
        <f>75315000</f>
        <v>7.5315E7</v>
      </c>
      <c r="X269" s="36" t="n">
        <f>22</f>
        <v>22.0</v>
      </c>
    </row>
    <row r="270">
      <c r="A270" s="27" t="s">
        <v>42</v>
      </c>
      <c r="B270" s="27" t="s">
        <v>866</v>
      </c>
      <c r="C270" s="27" t="s">
        <v>867</v>
      </c>
      <c r="D270" s="27" t="s">
        <v>868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2500</f>
        <v>2500.0</v>
      </c>
      <c r="L270" s="34" t="s">
        <v>48</v>
      </c>
      <c r="M270" s="33" t="n">
        <f>2606</f>
        <v>2606.0</v>
      </c>
      <c r="N270" s="34" t="s">
        <v>49</v>
      </c>
      <c r="O270" s="33" t="n">
        <f>2385</f>
        <v>2385.0</v>
      </c>
      <c r="P270" s="34" t="s">
        <v>456</v>
      </c>
      <c r="Q270" s="33" t="n">
        <f>2474</f>
        <v>2474.0</v>
      </c>
      <c r="R270" s="34" t="s">
        <v>51</v>
      </c>
      <c r="S270" s="35" t="n">
        <f>2497.77</f>
        <v>2497.77</v>
      </c>
      <c r="T270" s="32" t="n">
        <f>14374</f>
        <v>14374.0</v>
      </c>
      <c r="U270" s="32" t="str">
        <f>"－"</f>
        <v>－</v>
      </c>
      <c r="V270" s="32" t="n">
        <f>35265003</f>
        <v>3.5265003E7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869</v>
      </c>
      <c r="C271" s="27" t="s">
        <v>870</v>
      </c>
      <c r="D271" s="27" t="s">
        <v>871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1592</f>
        <v>1592.0</v>
      </c>
      <c r="L271" s="34" t="s">
        <v>48</v>
      </c>
      <c r="M271" s="33" t="n">
        <f>1650</f>
        <v>1650.0</v>
      </c>
      <c r="N271" s="34" t="s">
        <v>49</v>
      </c>
      <c r="O271" s="33" t="n">
        <f>1536</f>
        <v>1536.0</v>
      </c>
      <c r="P271" s="34" t="s">
        <v>50</v>
      </c>
      <c r="Q271" s="33" t="n">
        <f>1607</f>
        <v>1607.0</v>
      </c>
      <c r="R271" s="34" t="s">
        <v>51</v>
      </c>
      <c r="S271" s="35" t="n">
        <f>1584.95</f>
        <v>1584.95</v>
      </c>
      <c r="T271" s="32" t="n">
        <f>7983</f>
        <v>7983.0</v>
      </c>
      <c r="U271" s="32" t="str">
        <f>"－"</f>
        <v>－</v>
      </c>
      <c r="V271" s="32" t="n">
        <f>12834767</f>
        <v>1.2834767E7</v>
      </c>
      <c r="W271" s="32" t="str">
        <f>"－"</f>
        <v>－</v>
      </c>
      <c r="X271" s="36" t="n">
        <f>22</f>
        <v>22.0</v>
      </c>
    </row>
    <row r="272">
      <c r="A272" s="27" t="s">
        <v>42</v>
      </c>
      <c r="B272" s="27" t="s">
        <v>872</v>
      </c>
      <c r="C272" s="27" t="s">
        <v>873</v>
      </c>
      <c r="D272" s="27" t="s">
        <v>874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1982</f>
        <v>1982.0</v>
      </c>
      <c r="L272" s="34" t="s">
        <v>48</v>
      </c>
      <c r="M272" s="33" t="n">
        <f>2079</f>
        <v>2079.0</v>
      </c>
      <c r="N272" s="34" t="s">
        <v>49</v>
      </c>
      <c r="O272" s="33" t="n">
        <f>1924</f>
        <v>1924.0</v>
      </c>
      <c r="P272" s="34" t="s">
        <v>50</v>
      </c>
      <c r="Q272" s="33" t="n">
        <f>2037</f>
        <v>2037.0</v>
      </c>
      <c r="R272" s="34" t="s">
        <v>51</v>
      </c>
      <c r="S272" s="35" t="n">
        <f>2007</f>
        <v>2007.0</v>
      </c>
      <c r="T272" s="32" t="n">
        <f>31484</f>
        <v>31484.0</v>
      </c>
      <c r="U272" s="32" t="str">
        <f>"－"</f>
        <v>－</v>
      </c>
      <c r="V272" s="32" t="n">
        <f>63270084</f>
        <v>6.3270084E7</v>
      </c>
      <c r="W272" s="32" t="str">
        <f>"－"</f>
        <v>－</v>
      </c>
      <c r="X272" s="36" t="n">
        <f>22</f>
        <v>22.0</v>
      </c>
    </row>
    <row r="273">
      <c r="A273" s="27" t="s">
        <v>42</v>
      </c>
      <c r="B273" s="27" t="s">
        <v>875</v>
      </c>
      <c r="C273" s="27" t="s">
        <v>876</v>
      </c>
      <c r="D273" s="27" t="s">
        <v>877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1494</f>
        <v>1494.0</v>
      </c>
      <c r="L273" s="34" t="s">
        <v>48</v>
      </c>
      <c r="M273" s="33" t="n">
        <f>1545</f>
        <v>1545.0</v>
      </c>
      <c r="N273" s="34" t="s">
        <v>49</v>
      </c>
      <c r="O273" s="33" t="n">
        <f>1470</f>
        <v>1470.0</v>
      </c>
      <c r="P273" s="34" t="s">
        <v>50</v>
      </c>
      <c r="Q273" s="33" t="n">
        <f>1538</f>
        <v>1538.0</v>
      </c>
      <c r="R273" s="34" t="s">
        <v>51</v>
      </c>
      <c r="S273" s="35" t="n">
        <f>1509.09</f>
        <v>1509.09</v>
      </c>
      <c r="T273" s="32" t="n">
        <f>12490</f>
        <v>12490.0</v>
      </c>
      <c r="U273" s="32" t="str">
        <f>"－"</f>
        <v>－</v>
      </c>
      <c r="V273" s="32" t="n">
        <f>18770287</f>
        <v>1.8770287E7</v>
      </c>
      <c r="W273" s="32" t="str">
        <f>"－"</f>
        <v>－</v>
      </c>
      <c r="X273" s="36" t="n">
        <f>22</f>
        <v>22.0</v>
      </c>
    </row>
    <row r="274">
      <c r="A274" s="27" t="s">
        <v>42</v>
      </c>
      <c r="B274" s="27" t="s">
        <v>878</v>
      </c>
      <c r="C274" s="27" t="s">
        <v>879</v>
      </c>
      <c r="D274" s="27" t="s">
        <v>880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2546</f>
        <v>2546.0</v>
      </c>
      <c r="L274" s="34" t="s">
        <v>48</v>
      </c>
      <c r="M274" s="33" t="n">
        <f>2660</f>
        <v>2660.0</v>
      </c>
      <c r="N274" s="34" t="s">
        <v>51</v>
      </c>
      <c r="O274" s="33" t="n">
        <f>2487</f>
        <v>2487.0</v>
      </c>
      <c r="P274" s="34" t="s">
        <v>50</v>
      </c>
      <c r="Q274" s="33" t="n">
        <f>2648</f>
        <v>2648.0</v>
      </c>
      <c r="R274" s="34" t="s">
        <v>51</v>
      </c>
      <c r="S274" s="35" t="n">
        <f>2586.36</f>
        <v>2586.36</v>
      </c>
      <c r="T274" s="32" t="n">
        <f>8362</f>
        <v>8362.0</v>
      </c>
      <c r="U274" s="32" t="str">
        <f>"－"</f>
        <v>－</v>
      </c>
      <c r="V274" s="32" t="n">
        <f>21674351</f>
        <v>2.1674351E7</v>
      </c>
      <c r="W274" s="32" t="str">
        <f>"－"</f>
        <v>－</v>
      </c>
      <c r="X274" s="36" t="n">
        <f>22</f>
        <v>22.0</v>
      </c>
    </row>
    <row r="275">
      <c r="A275" s="27" t="s">
        <v>42</v>
      </c>
      <c r="B275" s="27" t="s">
        <v>881</v>
      </c>
      <c r="C275" s="27" t="s">
        <v>882</v>
      </c>
      <c r="D275" s="27" t="s">
        <v>883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2008</f>
        <v>2008.0</v>
      </c>
      <c r="L275" s="34" t="s">
        <v>48</v>
      </c>
      <c r="M275" s="33" t="n">
        <f>2111</f>
        <v>2111.0</v>
      </c>
      <c r="N275" s="34" t="s">
        <v>49</v>
      </c>
      <c r="O275" s="33" t="n">
        <f>1948</f>
        <v>1948.0</v>
      </c>
      <c r="P275" s="34" t="s">
        <v>50</v>
      </c>
      <c r="Q275" s="33" t="n">
        <f>2097</f>
        <v>2097.0</v>
      </c>
      <c r="R275" s="34" t="s">
        <v>51</v>
      </c>
      <c r="S275" s="35" t="n">
        <f>2032.86</f>
        <v>2032.86</v>
      </c>
      <c r="T275" s="32" t="n">
        <f>332855</f>
        <v>332855.0</v>
      </c>
      <c r="U275" s="32" t="n">
        <f>58407</f>
        <v>58407.0</v>
      </c>
      <c r="V275" s="32" t="n">
        <f>688833964</f>
        <v>6.88833964E8</v>
      </c>
      <c r="W275" s="32" t="n">
        <f>120732782</f>
        <v>1.20732782E8</v>
      </c>
      <c r="X275" s="36" t="n">
        <f>22</f>
        <v>22.0</v>
      </c>
    </row>
    <row r="276">
      <c r="A276" s="27" t="s">
        <v>42</v>
      </c>
      <c r="B276" s="27" t="s">
        <v>884</v>
      </c>
      <c r="C276" s="27" t="s">
        <v>885</v>
      </c>
      <c r="D276" s="27" t="s">
        <v>886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26740</f>
        <v>26740.0</v>
      </c>
      <c r="L276" s="34" t="s">
        <v>61</v>
      </c>
      <c r="M276" s="33" t="n">
        <f>27155</f>
        <v>27155.0</v>
      </c>
      <c r="N276" s="34" t="s">
        <v>49</v>
      </c>
      <c r="O276" s="33" t="n">
        <f>25210</f>
        <v>25210.0</v>
      </c>
      <c r="P276" s="34" t="s">
        <v>50</v>
      </c>
      <c r="Q276" s="33" t="n">
        <f>26550</f>
        <v>26550.0</v>
      </c>
      <c r="R276" s="34" t="s">
        <v>51</v>
      </c>
      <c r="S276" s="35" t="n">
        <f>26108.75</f>
        <v>26108.75</v>
      </c>
      <c r="T276" s="32" t="n">
        <f>18</f>
        <v>18.0</v>
      </c>
      <c r="U276" s="32" t="str">
        <f>"－"</f>
        <v>－</v>
      </c>
      <c r="V276" s="32" t="n">
        <f>470175</f>
        <v>470175.0</v>
      </c>
      <c r="W276" s="32" t="str">
        <f>"－"</f>
        <v>－</v>
      </c>
      <c r="X276" s="36" t="n">
        <f>12</f>
        <v>12.0</v>
      </c>
    </row>
    <row r="277">
      <c r="A277" s="27" t="s">
        <v>42</v>
      </c>
      <c r="B277" s="27" t="s">
        <v>887</v>
      </c>
      <c r="C277" s="27" t="s">
        <v>888</v>
      </c>
      <c r="D277" s="27" t="s">
        <v>889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2019</f>
        <v>2019.0</v>
      </c>
      <c r="L277" s="34" t="s">
        <v>48</v>
      </c>
      <c r="M277" s="33" t="n">
        <f>2108</f>
        <v>2108.0</v>
      </c>
      <c r="N277" s="34" t="s">
        <v>49</v>
      </c>
      <c r="O277" s="33" t="n">
        <f>1950</f>
        <v>1950.0</v>
      </c>
      <c r="P277" s="34" t="s">
        <v>50</v>
      </c>
      <c r="Q277" s="33" t="n">
        <f>2070</f>
        <v>2070.0</v>
      </c>
      <c r="R277" s="34" t="s">
        <v>51</v>
      </c>
      <c r="S277" s="35" t="n">
        <f>2029.11</f>
        <v>2029.11</v>
      </c>
      <c r="T277" s="32" t="n">
        <f>17245</f>
        <v>17245.0</v>
      </c>
      <c r="U277" s="32" t="str">
        <f>"－"</f>
        <v>－</v>
      </c>
      <c r="V277" s="32" t="n">
        <f>35067227</f>
        <v>3.5067227E7</v>
      </c>
      <c r="W277" s="32" t="str">
        <f>"－"</f>
        <v>－</v>
      </c>
      <c r="X277" s="36" t="n">
        <f>18</f>
        <v>18.0</v>
      </c>
    </row>
    <row r="278">
      <c r="A278" s="27" t="s">
        <v>42</v>
      </c>
      <c r="B278" s="27" t="s">
        <v>890</v>
      </c>
      <c r="C278" s="27" t="s">
        <v>891</v>
      </c>
      <c r="D278" s="27" t="s">
        <v>892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2378</f>
        <v>2378.0</v>
      </c>
      <c r="L278" s="34" t="s">
        <v>48</v>
      </c>
      <c r="M278" s="33" t="n">
        <f>2570</f>
        <v>2570.0</v>
      </c>
      <c r="N278" s="34" t="s">
        <v>51</v>
      </c>
      <c r="O278" s="33" t="n">
        <f>2367</f>
        <v>2367.0</v>
      </c>
      <c r="P278" s="34" t="s">
        <v>48</v>
      </c>
      <c r="Q278" s="33" t="n">
        <f>2567</f>
        <v>2567.0</v>
      </c>
      <c r="R278" s="34" t="s">
        <v>51</v>
      </c>
      <c r="S278" s="35" t="n">
        <f>2453.95</f>
        <v>2453.95</v>
      </c>
      <c r="T278" s="32" t="n">
        <f>369455</f>
        <v>369455.0</v>
      </c>
      <c r="U278" s="32" t="str">
        <f>"－"</f>
        <v>－</v>
      </c>
      <c r="V278" s="32" t="n">
        <f>913861859</f>
        <v>9.13861859E8</v>
      </c>
      <c r="W278" s="32" t="str">
        <f>"－"</f>
        <v>－</v>
      </c>
      <c r="X278" s="36" t="n">
        <f>22</f>
        <v>22.0</v>
      </c>
    </row>
    <row r="279">
      <c r="A279" s="27" t="s">
        <v>42</v>
      </c>
      <c r="B279" s="27" t="s">
        <v>893</v>
      </c>
      <c r="C279" s="27" t="s">
        <v>894</v>
      </c>
      <c r="D279" s="27" t="s">
        <v>895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1751</f>
        <v>1751.0</v>
      </c>
      <c r="L279" s="34" t="s">
        <v>48</v>
      </c>
      <c r="M279" s="33" t="n">
        <f>1839</f>
        <v>1839.0</v>
      </c>
      <c r="N279" s="34" t="s">
        <v>51</v>
      </c>
      <c r="O279" s="33" t="n">
        <f>1705</f>
        <v>1705.0</v>
      </c>
      <c r="P279" s="34" t="s">
        <v>50</v>
      </c>
      <c r="Q279" s="33" t="n">
        <f>1816</f>
        <v>1816.0</v>
      </c>
      <c r="R279" s="34" t="s">
        <v>51</v>
      </c>
      <c r="S279" s="35" t="n">
        <f>1775.05</f>
        <v>1775.05</v>
      </c>
      <c r="T279" s="32" t="n">
        <f>8842</f>
        <v>8842.0</v>
      </c>
      <c r="U279" s="32" t="str">
        <f>"－"</f>
        <v>－</v>
      </c>
      <c r="V279" s="32" t="n">
        <f>15703140</f>
        <v>1.570314E7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896</v>
      </c>
      <c r="C280" s="27" t="s">
        <v>897</v>
      </c>
      <c r="D280" s="27" t="s">
        <v>898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1497</f>
        <v>1497.0</v>
      </c>
      <c r="L280" s="34" t="s">
        <v>48</v>
      </c>
      <c r="M280" s="33" t="n">
        <f>1590</f>
        <v>1590.0</v>
      </c>
      <c r="N280" s="34" t="s">
        <v>49</v>
      </c>
      <c r="O280" s="33" t="n">
        <f>1450</f>
        <v>1450.0</v>
      </c>
      <c r="P280" s="34" t="s">
        <v>62</v>
      </c>
      <c r="Q280" s="33" t="n">
        <f>1551</f>
        <v>1551.0</v>
      </c>
      <c r="R280" s="34" t="s">
        <v>51</v>
      </c>
      <c r="S280" s="35" t="n">
        <f>1518.55</f>
        <v>1518.55</v>
      </c>
      <c r="T280" s="32" t="n">
        <f>7279</f>
        <v>7279.0</v>
      </c>
      <c r="U280" s="32" t="str">
        <f>"－"</f>
        <v>－</v>
      </c>
      <c r="V280" s="32" t="n">
        <f>11189853</f>
        <v>1.1189853E7</v>
      </c>
      <c r="W280" s="32" t="str">
        <f>"－"</f>
        <v>－</v>
      </c>
      <c r="X280" s="36" t="n">
        <f>22</f>
        <v>22.0</v>
      </c>
    </row>
    <row r="281">
      <c r="A281" s="27" t="s">
        <v>42</v>
      </c>
      <c r="B281" s="27" t="s">
        <v>899</v>
      </c>
      <c r="C281" s="27" t="s">
        <v>900</v>
      </c>
      <c r="D281" s="27" t="s">
        <v>901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5070</f>
        <v>5070.0</v>
      </c>
      <c r="L281" s="34" t="s">
        <v>48</v>
      </c>
      <c r="M281" s="33" t="n">
        <f>5120</f>
        <v>5120.0</v>
      </c>
      <c r="N281" s="34" t="s">
        <v>50</v>
      </c>
      <c r="O281" s="33" t="n">
        <f>5009</f>
        <v>5009.0</v>
      </c>
      <c r="P281" s="34" t="s">
        <v>187</v>
      </c>
      <c r="Q281" s="33" t="n">
        <f>5092</f>
        <v>5092.0</v>
      </c>
      <c r="R281" s="34" t="s">
        <v>51</v>
      </c>
      <c r="S281" s="35" t="n">
        <f>5059.62</f>
        <v>5059.62</v>
      </c>
      <c r="T281" s="32" t="n">
        <f>241760</f>
        <v>241760.0</v>
      </c>
      <c r="U281" s="32" t="n">
        <f>20040</f>
        <v>20040.0</v>
      </c>
      <c r="V281" s="32" t="n">
        <f>1222704642</f>
        <v>1.222704642E9</v>
      </c>
      <c r="W281" s="32" t="n">
        <f>101143472</f>
        <v>1.01143472E8</v>
      </c>
      <c r="X281" s="36" t="n">
        <f>21</f>
        <v>21.0</v>
      </c>
    </row>
    <row r="282">
      <c r="A282" s="27" t="s">
        <v>42</v>
      </c>
      <c r="B282" s="27" t="s">
        <v>902</v>
      </c>
      <c r="C282" s="27" t="s">
        <v>903</v>
      </c>
      <c r="D282" s="27" t="s">
        <v>904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10.0</v>
      </c>
      <c r="K282" s="33" t="n">
        <f>4043</f>
        <v>4043.0</v>
      </c>
      <c r="L282" s="34" t="s">
        <v>48</v>
      </c>
      <c r="M282" s="33" t="n">
        <f>4200</f>
        <v>4200.0</v>
      </c>
      <c r="N282" s="34" t="s">
        <v>123</v>
      </c>
      <c r="O282" s="33" t="n">
        <f>3996</f>
        <v>3996.0</v>
      </c>
      <c r="P282" s="34" t="s">
        <v>94</v>
      </c>
      <c r="Q282" s="33" t="n">
        <f>4126</f>
        <v>4126.0</v>
      </c>
      <c r="R282" s="34" t="s">
        <v>395</v>
      </c>
      <c r="S282" s="35" t="n">
        <f>4091.35</f>
        <v>4091.35</v>
      </c>
      <c r="T282" s="32" t="n">
        <f>163260</f>
        <v>163260.0</v>
      </c>
      <c r="U282" s="32" t="str">
        <f>"－"</f>
        <v>－</v>
      </c>
      <c r="V282" s="32" t="n">
        <f>677169990</f>
        <v>6.7716999E8</v>
      </c>
      <c r="W282" s="32" t="str">
        <f>"－"</f>
        <v>－</v>
      </c>
      <c r="X282" s="36" t="n">
        <f>17</f>
        <v>17.0</v>
      </c>
    </row>
    <row r="283">
      <c r="A283" s="27" t="s">
        <v>42</v>
      </c>
      <c r="B283" s="27" t="s">
        <v>905</v>
      </c>
      <c r="C283" s="27" t="s">
        <v>906</v>
      </c>
      <c r="D283" s="27" t="s">
        <v>907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10.0</v>
      </c>
      <c r="K283" s="33" t="n">
        <f>684.2</f>
        <v>684.2</v>
      </c>
      <c r="L283" s="34" t="s">
        <v>48</v>
      </c>
      <c r="M283" s="33" t="n">
        <f>705</f>
        <v>705.0</v>
      </c>
      <c r="N283" s="34" t="s">
        <v>263</v>
      </c>
      <c r="O283" s="33" t="n">
        <f>675.5</f>
        <v>675.5</v>
      </c>
      <c r="P283" s="34" t="s">
        <v>49</v>
      </c>
      <c r="Q283" s="33" t="n">
        <f>693</f>
        <v>693.0</v>
      </c>
      <c r="R283" s="34" t="s">
        <v>51</v>
      </c>
      <c r="S283" s="35" t="n">
        <f>688.82</f>
        <v>688.82</v>
      </c>
      <c r="T283" s="32" t="n">
        <f>72000</f>
        <v>72000.0</v>
      </c>
      <c r="U283" s="32" t="str">
        <f>"－"</f>
        <v>－</v>
      </c>
      <c r="V283" s="32" t="n">
        <f>49760223</f>
        <v>4.9760223E7</v>
      </c>
      <c r="W283" s="32" t="str">
        <f>"－"</f>
        <v>－</v>
      </c>
      <c r="X283" s="36" t="n">
        <f>20</f>
        <v>20.0</v>
      </c>
    </row>
    <row r="284">
      <c r="A284" s="27" t="s">
        <v>42</v>
      </c>
      <c r="B284" s="27" t="s">
        <v>908</v>
      </c>
      <c r="C284" s="27" t="s">
        <v>909</v>
      </c>
      <c r="D284" s="27" t="s">
        <v>910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2127</f>
        <v>2127.0</v>
      </c>
      <c r="L284" s="34" t="s">
        <v>48</v>
      </c>
      <c r="M284" s="33" t="n">
        <f>2165</f>
        <v>2165.0</v>
      </c>
      <c r="N284" s="34" t="s">
        <v>49</v>
      </c>
      <c r="O284" s="33" t="n">
        <f>2045</f>
        <v>2045.0</v>
      </c>
      <c r="P284" s="34" t="s">
        <v>50</v>
      </c>
      <c r="Q284" s="33" t="n">
        <f>2107</f>
        <v>2107.0</v>
      </c>
      <c r="R284" s="34" t="s">
        <v>51</v>
      </c>
      <c r="S284" s="35" t="n">
        <f>2118.25</f>
        <v>2118.25</v>
      </c>
      <c r="T284" s="32" t="n">
        <f>2142</f>
        <v>2142.0</v>
      </c>
      <c r="U284" s="32" t="str">
        <f>"－"</f>
        <v>－</v>
      </c>
      <c r="V284" s="32" t="n">
        <f>4567775</f>
        <v>4567775.0</v>
      </c>
      <c r="W284" s="32" t="str">
        <f>"－"</f>
        <v>－</v>
      </c>
      <c r="X284" s="36" t="n">
        <f>20</f>
        <v>20.0</v>
      </c>
    </row>
    <row r="285">
      <c r="A285" s="27" t="s">
        <v>42</v>
      </c>
      <c r="B285" s="27" t="s">
        <v>911</v>
      </c>
      <c r="C285" s="27" t="s">
        <v>912</v>
      </c>
      <c r="D285" s="27" t="s">
        <v>913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1926</f>
        <v>1926.0</v>
      </c>
      <c r="L285" s="34" t="s">
        <v>48</v>
      </c>
      <c r="M285" s="33" t="n">
        <f>1978</f>
        <v>1978.0</v>
      </c>
      <c r="N285" s="34" t="s">
        <v>49</v>
      </c>
      <c r="O285" s="33" t="n">
        <f>1845</f>
        <v>1845.0</v>
      </c>
      <c r="P285" s="34" t="s">
        <v>50</v>
      </c>
      <c r="Q285" s="33" t="n">
        <f>1946</f>
        <v>1946.0</v>
      </c>
      <c r="R285" s="34" t="s">
        <v>51</v>
      </c>
      <c r="S285" s="35" t="n">
        <f>1923.9</f>
        <v>1923.9</v>
      </c>
      <c r="T285" s="32" t="n">
        <f>7673</f>
        <v>7673.0</v>
      </c>
      <c r="U285" s="32" t="str">
        <f>"－"</f>
        <v>－</v>
      </c>
      <c r="V285" s="32" t="n">
        <f>14634102</f>
        <v>1.4634102E7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914</v>
      </c>
      <c r="C286" s="27" t="s">
        <v>915</v>
      </c>
      <c r="D286" s="27" t="s">
        <v>916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7551</f>
        <v>7551.0</v>
      </c>
      <c r="L286" s="34" t="s">
        <v>48</v>
      </c>
      <c r="M286" s="33" t="n">
        <f>7644</f>
        <v>7644.0</v>
      </c>
      <c r="N286" s="34" t="s">
        <v>50</v>
      </c>
      <c r="O286" s="33" t="n">
        <f>7470</f>
        <v>7470.0</v>
      </c>
      <c r="P286" s="34" t="s">
        <v>164</v>
      </c>
      <c r="Q286" s="33" t="n">
        <f>7587</f>
        <v>7587.0</v>
      </c>
      <c r="R286" s="34" t="s">
        <v>51</v>
      </c>
      <c r="S286" s="35" t="n">
        <f>7549.41</f>
        <v>7549.41</v>
      </c>
      <c r="T286" s="32" t="n">
        <f>227864</f>
        <v>227864.0</v>
      </c>
      <c r="U286" s="32" t="n">
        <f>58120</f>
        <v>58120.0</v>
      </c>
      <c r="V286" s="32" t="n">
        <f>1724265174</f>
        <v>1.724265174E9</v>
      </c>
      <c r="W286" s="32" t="n">
        <f>440645640</f>
        <v>4.4064564E8</v>
      </c>
      <c r="X286" s="36" t="n">
        <f>22</f>
        <v>22.0</v>
      </c>
    </row>
    <row r="287">
      <c r="A287" s="27" t="s">
        <v>42</v>
      </c>
      <c r="B287" s="27" t="s">
        <v>917</v>
      </c>
      <c r="C287" s="27" t="s">
        <v>918</v>
      </c>
      <c r="D287" s="27" t="s">
        <v>919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6005</f>
        <v>6005.0</v>
      </c>
      <c r="L287" s="34" t="s">
        <v>48</v>
      </c>
      <c r="M287" s="33" t="n">
        <f>6264</f>
        <v>6264.0</v>
      </c>
      <c r="N287" s="34" t="s">
        <v>123</v>
      </c>
      <c r="O287" s="33" t="n">
        <f>5934</f>
        <v>5934.0</v>
      </c>
      <c r="P287" s="34" t="s">
        <v>94</v>
      </c>
      <c r="Q287" s="33" t="n">
        <f>6168</f>
        <v>6168.0</v>
      </c>
      <c r="R287" s="34" t="s">
        <v>51</v>
      </c>
      <c r="S287" s="35" t="n">
        <f>6108.77</f>
        <v>6108.77</v>
      </c>
      <c r="T287" s="32" t="n">
        <f>187736</f>
        <v>187736.0</v>
      </c>
      <c r="U287" s="32" t="n">
        <f>80000</f>
        <v>80000.0</v>
      </c>
      <c r="V287" s="32" t="n">
        <f>1142872841</f>
        <v>1.142872841E9</v>
      </c>
      <c r="W287" s="32" t="n">
        <f>481836000</f>
        <v>4.81836E8</v>
      </c>
      <c r="X287" s="36" t="n">
        <f>22</f>
        <v>22.0</v>
      </c>
    </row>
    <row r="288">
      <c r="A288" s="27" t="s">
        <v>42</v>
      </c>
      <c r="B288" s="27" t="s">
        <v>920</v>
      </c>
      <c r="C288" s="27" t="s">
        <v>921</v>
      </c>
      <c r="D288" s="27" t="s">
        <v>922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15430</f>
        <v>15430.0</v>
      </c>
      <c r="L288" s="34" t="s">
        <v>48</v>
      </c>
      <c r="M288" s="33" t="n">
        <f>16275</f>
        <v>16275.0</v>
      </c>
      <c r="N288" s="34" t="s">
        <v>51</v>
      </c>
      <c r="O288" s="33" t="n">
        <f>14940</f>
        <v>14940.0</v>
      </c>
      <c r="P288" s="34" t="s">
        <v>303</v>
      </c>
      <c r="Q288" s="33" t="n">
        <f>16190</f>
        <v>16190.0</v>
      </c>
      <c r="R288" s="34" t="s">
        <v>51</v>
      </c>
      <c r="S288" s="35" t="n">
        <f>15601.59</f>
        <v>15601.59</v>
      </c>
      <c r="T288" s="32" t="n">
        <f>602651</f>
        <v>602651.0</v>
      </c>
      <c r="U288" s="32" t="n">
        <f>205046</f>
        <v>205046.0</v>
      </c>
      <c r="V288" s="32" t="n">
        <f>9251657366</f>
        <v>9.251657366E9</v>
      </c>
      <c r="W288" s="32" t="n">
        <f>3099724056</f>
        <v>3.099724056E9</v>
      </c>
      <c r="X288" s="36" t="n">
        <f>22</f>
        <v>22.0</v>
      </c>
    </row>
    <row r="289">
      <c r="A289" s="27" t="s">
        <v>42</v>
      </c>
      <c r="B289" s="27" t="s">
        <v>923</v>
      </c>
      <c r="C289" s="27" t="s">
        <v>924</v>
      </c>
      <c r="D289" s="27" t="s">
        <v>925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8123</f>
        <v>8123.0</v>
      </c>
      <c r="L289" s="34" t="s">
        <v>48</v>
      </c>
      <c r="M289" s="33" t="n">
        <f>8750</f>
        <v>8750.0</v>
      </c>
      <c r="N289" s="34" t="s">
        <v>51</v>
      </c>
      <c r="O289" s="33" t="n">
        <f>8020</f>
        <v>8020.0</v>
      </c>
      <c r="P289" s="34" t="s">
        <v>77</v>
      </c>
      <c r="Q289" s="33" t="n">
        <f>8730</f>
        <v>8730.0</v>
      </c>
      <c r="R289" s="34" t="s">
        <v>51</v>
      </c>
      <c r="S289" s="35" t="n">
        <f>8360.77</f>
        <v>8360.77</v>
      </c>
      <c r="T289" s="32" t="n">
        <f>613913</f>
        <v>613913.0</v>
      </c>
      <c r="U289" s="32" t="str">
        <f>"－"</f>
        <v>－</v>
      </c>
      <c r="V289" s="32" t="n">
        <f>5119405778</f>
        <v>5.119405778E9</v>
      </c>
      <c r="W289" s="32" t="str">
        <f>"－"</f>
        <v>－</v>
      </c>
      <c r="X289" s="36" t="n">
        <f>22</f>
        <v>22.0</v>
      </c>
    </row>
    <row r="290">
      <c r="A290" s="27" t="s">
        <v>42</v>
      </c>
      <c r="B290" s="27" t="s">
        <v>926</v>
      </c>
      <c r="C290" s="27" t="s">
        <v>927</v>
      </c>
      <c r="D290" s="27" t="s">
        <v>928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30370</f>
        <v>30370.0</v>
      </c>
      <c r="L290" s="34" t="s">
        <v>48</v>
      </c>
      <c r="M290" s="33" t="n">
        <f>30770</f>
        <v>30770.0</v>
      </c>
      <c r="N290" s="34" t="s">
        <v>77</v>
      </c>
      <c r="O290" s="33" t="n">
        <f>27910</f>
        <v>27910.0</v>
      </c>
      <c r="P290" s="34" t="s">
        <v>51</v>
      </c>
      <c r="Q290" s="33" t="n">
        <f>27975</f>
        <v>27975.0</v>
      </c>
      <c r="R290" s="34" t="s">
        <v>51</v>
      </c>
      <c r="S290" s="35" t="n">
        <f>29384.77</f>
        <v>29384.77</v>
      </c>
      <c r="T290" s="32" t="n">
        <f>567981</f>
        <v>567981.0</v>
      </c>
      <c r="U290" s="32" t="n">
        <f>149300</f>
        <v>149300.0</v>
      </c>
      <c r="V290" s="32" t="n">
        <f>16845268637</f>
        <v>1.6845268637E10</v>
      </c>
      <c r="W290" s="32" t="n">
        <f>4474932912</f>
        <v>4.474932912E9</v>
      </c>
      <c r="X290" s="36" t="n">
        <f>22</f>
        <v>22.0</v>
      </c>
    </row>
    <row r="291">
      <c r="A291" s="27" t="s">
        <v>42</v>
      </c>
      <c r="B291" s="27" t="s">
        <v>929</v>
      </c>
      <c r="C291" s="27" t="s">
        <v>930</v>
      </c>
      <c r="D291" s="27" t="s">
        <v>931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4290</f>
        <v>4290.0</v>
      </c>
      <c r="L291" s="34" t="s">
        <v>94</v>
      </c>
      <c r="M291" s="33" t="n">
        <f>4599</f>
        <v>4599.0</v>
      </c>
      <c r="N291" s="34" t="s">
        <v>123</v>
      </c>
      <c r="O291" s="33" t="n">
        <f>4290</f>
        <v>4290.0</v>
      </c>
      <c r="P291" s="34" t="s">
        <v>94</v>
      </c>
      <c r="Q291" s="33" t="n">
        <f>4538</f>
        <v>4538.0</v>
      </c>
      <c r="R291" s="34" t="s">
        <v>51</v>
      </c>
      <c r="S291" s="35" t="n">
        <f>4499.33</f>
        <v>4499.33</v>
      </c>
      <c r="T291" s="32" t="n">
        <f>350</f>
        <v>350.0</v>
      </c>
      <c r="U291" s="32" t="str">
        <f>"－"</f>
        <v>－</v>
      </c>
      <c r="V291" s="32" t="n">
        <f>1588800</f>
        <v>1588800.0</v>
      </c>
      <c r="W291" s="32" t="str">
        <f>"－"</f>
        <v>－</v>
      </c>
      <c r="X291" s="36" t="n">
        <f>9</f>
        <v>9.0</v>
      </c>
    </row>
    <row r="292">
      <c r="A292" s="27" t="s">
        <v>42</v>
      </c>
      <c r="B292" s="27" t="s">
        <v>932</v>
      </c>
      <c r="C292" s="27" t="s">
        <v>933</v>
      </c>
      <c r="D292" s="27" t="s">
        <v>934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4911</f>
        <v>4911.0</v>
      </c>
      <c r="L292" s="34" t="s">
        <v>48</v>
      </c>
      <c r="M292" s="33" t="n">
        <f>5008</f>
        <v>5008.0</v>
      </c>
      <c r="N292" s="34" t="s">
        <v>51</v>
      </c>
      <c r="O292" s="33" t="n">
        <f>4894</f>
        <v>4894.0</v>
      </c>
      <c r="P292" s="34" t="s">
        <v>78</v>
      </c>
      <c r="Q292" s="33" t="n">
        <f>5008</f>
        <v>5008.0</v>
      </c>
      <c r="R292" s="34" t="s">
        <v>51</v>
      </c>
      <c r="S292" s="35" t="n">
        <f>4935.06</f>
        <v>4935.06</v>
      </c>
      <c r="T292" s="32" t="n">
        <f>8220</f>
        <v>8220.0</v>
      </c>
      <c r="U292" s="32" t="str">
        <f>"－"</f>
        <v>－</v>
      </c>
      <c r="V292" s="32" t="n">
        <f>40429570</f>
        <v>4.042957E7</v>
      </c>
      <c r="W292" s="32" t="str">
        <f>"－"</f>
        <v>－</v>
      </c>
      <c r="X292" s="36" t="n">
        <f>17</f>
        <v>17.0</v>
      </c>
    </row>
    <row r="293">
      <c r="A293" s="27" t="s">
        <v>42</v>
      </c>
      <c r="B293" s="27" t="s">
        <v>935</v>
      </c>
      <c r="C293" s="27" t="s">
        <v>936</v>
      </c>
      <c r="D293" s="27" t="s">
        <v>937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1694.5</f>
        <v>1694.5</v>
      </c>
      <c r="L293" s="34" t="s">
        <v>48</v>
      </c>
      <c r="M293" s="33" t="n">
        <f>1827.5</f>
        <v>1827.5</v>
      </c>
      <c r="N293" s="34" t="s">
        <v>51</v>
      </c>
      <c r="O293" s="33" t="n">
        <f>1671</f>
        <v>1671.0</v>
      </c>
      <c r="P293" s="34" t="s">
        <v>77</v>
      </c>
      <c r="Q293" s="33" t="n">
        <f>1824</f>
        <v>1824.0</v>
      </c>
      <c r="R293" s="34" t="s">
        <v>51</v>
      </c>
      <c r="S293" s="35" t="n">
        <f>1745.61</f>
        <v>1745.61</v>
      </c>
      <c r="T293" s="32" t="n">
        <f>1945060</f>
        <v>1945060.0</v>
      </c>
      <c r="U293" s="32" t="str">
        <f>"－"</f>
        <v>－</v>
      </c>
      <c r="V293" s="32" t="n">
        <f>3389656740</f>
        <v>3.38965674E9</v>
      </c>
      <c r="W293" s="32" t="str">
        <f>"－"</f>
        <v>－</v>
      </c>
      <c r="X293" s="36" t="n">
        <f>22</f>
        <v>22.0</v>
      </c>
    </row>
    <row r="294">
      <c r="A294" s="27" t="s">
        <v>42</v>
      </c>
      <c r="B294" s="27" t="s">
        <v>938</v>
      </c>
      <c r="C294" s="27" t="s">
        <v>939</v>
      </c>
      <c r="D294" s="27" t="s">
        <v>940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1858.5</f>
        <v>1858.5</v>
      </c>
      <c r="L294" s="34" t="s">
        <v>48</v>
      </c>
      <c r="M294" s="33" t="n">
        <f>1907.5</f>
        <v>1907.5</v>
      </c>
      <c r="N294" s="34" t="s">
        <v>66</v>
      </c>
      <c r="O294" s="33" t="n">
        <f>1810.5</f>
        <v>1810.5</v>
      </c>
      <c r="P294" s="34" t="s">
        <v>62</v>
      </c>
      <c r="Q294" s="33" t="n">
        <f>1868</f>
        <v>1868.0</v>
      </c>
      <c r="R294" s="34" t="s">
        <v>51</v>
      </c>
      <c r="S294" s="35" t="n">
        <f>1851.2</f>
        <v>1851.2</v>
      </c>
      <c r="T294" s="32" t="n">
        <f>4287260</f>
        <v>4287260.0</v>
      </c>
      <c r="U294" s="32" t="n">
        <f>2634270</f>
        <v>2634270.0</v>
      </c>
      <c r="V294" s="32" t="n">
        <f>7978259484</f>
        <v>7.978259484E9</v>
      </c>
      <c r="W294" s="32" t="n">
        <f>4937174274</f>
        <v>4.937174274E9</v>
      </c>
      <c r="X294" s="36" t="n">
        <f>22</f>
        <v>22.0</v>
      </c>
    </row>
    <row r="295">
      <c r="A295" s="27" t="s">
        <v>42</v>
      </c>
      <c r="B295" s="27" t="s">
        <v>941</v>
      </c>
      <c r="C295" s="27" t="s">
        <v>942</v>
      </c>
      <c r="D295" s="27" t="s">
        <v>943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1565</f>
        <v>1565.0</v>
      </c>
      <c r="L295" s="34" t="s">
        <v>48</v>
      </c>
      <c r="M295" s="33" t="n">
        <f>1620</f>
        <v>1620.0</v>
      </c>
      <c r="N295" s="34" t="s">
        <v>49</v>
      </c>
      <c r="O295" s="33" t="n">
        <f>1515</f>
        <v>1515.0</v>
      </c>
      <c r="P295" s="34" t="s">
        <v>62</v>
      </c>
      <c r="Q295" s="33" t="n">
        <f>1585</f>
        <v>1585.0</v>
      </c>
      <c r="R295" s="34" t="s">
        <v>51</v>
      </c>
      <c r="S295" s="35" t="n">
        <f>1563.41</f>
        <v>1563.41</v>
      </c>
      <c r="T295" s="32" t="n">
        <f>4484</f>
        <v>4484.0</v>
      </c>
      <c r="U295" s="32" t="str">
        <f>"－"</f>
        <v>－</v>
      </c>
      <c r="V295" s="32" t="n">
        <f>7139311</f>
        <v>7139311.0</v>
      </c>
      <c r="W295" s="32" t="str">
        <f>"－"</f>
        <v>－</v>
      </c>
      <c r="X295" s="36" t="n">
        <f>22</f>
        <v>22.0</v>
      </c>
    </row>
    <row r="296">
      <c r="A296" s="27" t="s">
        <v>42</v>
      </c>
      <c r="B296" s="27" t="s">
        <v>944</v>
      </c>
      <c r="C296" s="27" t="s">
        <v>945</v>
      </c>
      <c r="D296" s="27" t="s">
        <v>946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1555</f>
        <v>1555.0</v>
      </c>
      <c r="L296" s="34" t="s">
        <v>48</v>
      </c>
      <c r="M296" s="33" t="n">
        <f>1621</f>
        <v>1621.0</v>
      </c>
      <c r="N296" s="34" t="s">
        <v>49</v>
      </c>
      <c r="O296" s="33" t="n">
        <f>1497</f>
        <v>1497.0</v>
      </c>
      <c r="P296" s="34" t="s">
        <v>50</v>
      </c>
      <c r="Q296" s="33" t="n">
        <f>1577</f>
        <v>1577.0</v>
      </c>
      <c r="R296" s="34" t="s">
        <v>51</v>
      </c>
      <c r="S296" s="35" t="n">
        <f>1560.65</f>
        <v>1560.65</v>
      </c>
      <c r="T296" s="32" t="n">
        <f>11983</f>
        <v>11983.0</v>
      </c>
      <c r="U296" s="32" t="str">
        <f>"－"</f>
        <v>－</v>
      </c>
      <c r="V296" s="32" t="n">
        <f>19036593</f>
        <v>1.9036593E7</v>
      </c>
      <c r="W296" s="32" t="str">
        <f>"－"</f>
        <v>－</v>
      </c>
      <c r="X296" s="36" t="n">
        <f>20</f>
        <v>20.0</v>
      </c>
    </row>
    <row r="297">
      <c r="A297" s="27" t="s">
        <v>42</v>
      </c>
      <c r="B297" s="27" t="s">
        <v>947</v>
      </c>
      <c r="C297" s="27" t="s">
        <v>948</v>
      </c>
      <c r="D297" s="27" t="s">
        <v>949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3250</f>
        <v>3250.0</v>
      </c>
      <c r="L297" s="34" t="s">
        <v>48</v>
      </c>
      <c r="M297" s="33" t="n">
        <f>3370</f>
        <v>3370.0</v>
      </c>
      <c r="N297" s="34" t="s">
        <v>49</v>
      </c>
      <c r="O297" s="33" t="n">
        <f>3200</f>
        <v>3200.0</v>
      </c>
      <c r="P297" s="34" t="s">
        <v>50</v>
      </c>
      <c r="Q297" s="33" t="n">
        <f>3345</f>
        <v>3345.0</v>
      </c>
      <c r="R297" s="34" t="s">
        <v>51</v>
      </c>
      <c r="S297" s="35" t="n">
        <f>3288.86</f>
        <v>3288.86</v>
      </c>
      <c r="T297" s="32" t="n">
        <f>190747</f>
        <v>190747.0</v>
      </c>
      <c r="U297" s="32" t="n">
        <f>31800</f>
        <v>31800.0</v>
      </c>
      <c r="V297" s="32" t="n">
        <f>631334575</f>
        <v>6.31334575E8</v>
      </c>
      <c r="W297" s="32" t="n">
        <f>105791720</f>
        <v>1.0579172E8</v>
      </c>
      <c r="X297" s="36" t="n">
        <f>22</f>
        <v>22.0</v>
      </c>
    </row>
    <row r="298">
      <c r="A298" s="27" t="s">
        <v>42</v>
      </c>
      <c r="B298" s="27" t="s">
        <v>950</v>
      </c>
      <c r="C298" s="27" t="s">
        <v>951</v>
      </c>
      <c r="D298" s="27" t="s">
        <v>952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2007</f>
        <v>2007.0</v>
      </c>
      <c r="L298" s="34" t="s">
        <v>61</v>
      </c>
      <c r="M298" s="33" t="n">
        <f>2017.5</f>
        <v>2017.5</v>
      </c>
      <c r="N298" s="34" t="s">
        <v>78</v>
      </c>
      <c r="O298" s="33" t="n">
        <f>1937</f>
        <v>1937.0</v>
      </c>
      <c r="P298" s="34" t="s">
        <v>303</v>
      </c>
      <c r="Q298" s="33" t="n">
        <f>1937</f>
        <v>1937.0</v>
      </c>
      <c r="R298" s="34" t="s">
        <v>303</v>
      </c>
      <c r="S298" s="35" t="n">
        <f>2000.1</f>
        <v>2000.1</v>
      </c>
      <c r="T298" s="32" t="n">
        <f>570</f>
        <v>570.0</v>
      </c>
      <c r="U298" s="32" t="str">
        <f>"－"</f>
        <v>－</v>
      </c>
      <c r="V298" s="32" t="n">
        <f>1144985</f>
        <v>1144985.0</v>
      </c>
      <c r="W298" s="32" t="str">
        <f>"－"</f>
        <v>－</v>
      </c>
      <c r="X298" s="36" t="n">
        <f>5</f>
        <v>5.0</v>
      </c>
    </row>
    <row r="299">
      <c r="A299" s="27" t="s">
        <v>42</v>
      </c>
      <c r="B299" s="27" t="s">
        <v>953</v>
      </c>
      <c r="C299" s="27" t="s">
        <v>954</v>
      </c>
      <c r="D299" s="27" t="s">
        <v>955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204.2</f>
        <v>204.2</v>
      </c>
      <c r="L299" s="34" t="s">
        <v>48</v>
      </c>
      <c r="M299" s="33" t="n">
        <f>208.5</f>
        <v>208.5</v>
      </c>
      <c r="N299" s="34" t="s">
        <v>49</v>
      </c>
      <c r="O299" s="33" t="n">
        <f>188.5</f>
        <v>188.5</v>
      </c>
      <c r="P299" s="34" t="s">
        <v>94</v>
      </c>
      <c r="Q299" s="33" t="n">
        <f>204</f>
        <v>204.0</v>
      </c>
      <c r="R299" s="34" t="s">
        <v>51</v>
      </c>
      <c r="S299" s="35" t="n">
        <f>202.17</f>
        <v>202.17</v>
      </c>
      <c r="T299" s="32" t="n">
        <f>6470</f>
        <v>6470.0</v>
      </c>
      <c r="U299" s="32" t="str">
        <f>"－"</f>
        <v>－</v>
      </c>
      <c r="V299" s="32" t="n">
        <f>1309015</f>
        <v>1309015.0</v>
      </c>
      <c r="W299" s="32" t="str">
        <f>"－"</f>
        <v>－</v>
      </c>
      <c r="X299" s="36" t="n">
        <f>22</f>
        <v>22.0</v>
      </c>
    </row>
    <row r="300">
      <c r="A300" s="27" t="s">
        <v>42</v>
      </c>
      <c r="B300" s="27" t="s">
        <v>956</v>
      </c>
      <c r="C300" s="27" t="s">
        <v>957</v>
      </c>
      <c r="D300" s="27" t="s">
        <v>958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187.6</f>
        <v>187.6</v>
      </c>
      <c r="L300" s="34" t="s">
        <v>48</v>
      </c>
      <c r="M300" s="33" t="n">
        <f>187.6</f>
        <v>187.6</v>
      </c>
      <c r="N300" s="34" t="s">
        <v>48</v>
      </c>
      <c r="O300" s="33" t="n">
        <f>175</f>
        <v>175.0</v>
      </c>
      <c r="P300" s="34" t="s">
        <v>50</v>
      </c>
      <c r="Q300" s="33" t="n">
        <f>179.6</f>
        <v>179.6</v>
      </c>
      <c r="R300" s="34" t="s">
        <v>51</v>
      </c>
      <c r="S300" s="35" t="n">
        <f>182.46</f>
        <v>182.46</v>
      </c>
      <c r="T300" s="32" t="n">
        <f>102500</f>
        <v>102500.0</v>
      </c>
      <c r="U300" s="32" t="n">
        <f>79650</f>
        <v>79650.0</v>
      </c>
      <c r="V300" s="32" t="n">
        <f>18535672</f>
        <v>1.8535672E7</v>
      </c>
      <c r="W300" s="32" t="n">
        <f>14403124</f>
        <v>1.4403124E7</v>
      </c>
      <c r="X300" s="36" t="n">
        <f>22</f>
        <v>22.0</v>
      </c>
    </row>
    <row r="301">
      <c r="A301" s="27" t="s">
        <v>42</v>
      </c>
      <c r="B301" s="27" t="s">
        <v>959</v>
      </c>
      <c r="C301" s="27" t="s">
        <v>960</v>
      </c>
      <c r="D301" s="27" t="s">
        <v>961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706.1</f>
        <v>706.1</v>
      </c>
      <c r="L301" s="34" t="s">
        <v>77</v>
      </c>
      <c r="M301" s="33" t="n">
        <f>735.7</f>
        <v>735.7</v>
      </c>
      <c r="N301" s="34" t="s">
        <v>123</v>
      </c>
      <c r="O301" s="33" t="n">
        <f>700</f>
        <v>700.0</v>
      </c>
      <c r="P301" s="34" t="s">
        <v>77</v>
      </c>
      <c r="Q301" s="33" t="n">
        <f>721.7</f>
        <v>721.7</v>
      </c>
      <c r="R301" s="34" t="s">
        <v>51</v>
      </c>
      <c r="S301" s="35" t="n">
        <f>716.33</f>
        <v>716.33</v>
      </c>
      <c r="T301" s="32" t="n">
        <f>920</f>
        <v>920.0</v>
      </c>
      <c r="U301" s="32" t="str">
        <f>"－"</f>
        <v>－</v>
      </c>
      <c r="V301" s="32" t="n">
        <f>657423</f>
        <v>657423.0</v>
      </c>
      <c r="W301" s="32" t="str">
        <f>"－"</f>
        <v>－</v>
      </c>
      <c r="X301" s="36" t="n">
        <f>9</f>
        <v>9.0</v>
      </c>
    </row>
    <row r="302">
      <c r="A302" s="27" t="s">
        <v>42</v>
      </c>
      <c r="B302" s="27" t="s">
        <v>962</v>
      </c>
      <c r="C302" s="27" t="s">
        <v>963</v>
      </c>
      <c r="D302" s="27" t="s">
        <v>964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1023</f>
        <v>1023.0</v>
      </c>
      <c r="L302" s="34" t="s">
        <v>48</v>
      </c>
      <c r="M302" s="33" t="n">
        <f>1068</f>
        <v>1068.0</v>
      </c>
      <c r="N302" s="34" t="s">
        <v>51</v>
      </c>
      <c r="O302" s="33" t="n">
        <f>985</f>
        <v>985.0</v>
      </c>
      <c r="P302" s="34" t="s">
        <v>50</v>
      </c>
      <c r="Q302" s="33" t="n">
        <f>1064</f>
        <v>1064.0</v>
      </c>
      <c r="R302" s="34" t="s">
        <v>51</v>
      </c>
      <c r="S302" s="35" t="n">
        <f>1036.5</f>
        <v>1036.5</v>
      </c>
      <c r="T302" s="32" t="n">
        <f>93601</f>
        <v>93601.0</v>
      </c>
      <c r="U302" s="32" t="str">
        <f>"－"</f>
        <v>－</v>
      </c>
      <c r="V302" s="32" t="n">
        <f>97620249</f>
        <v>9.7620249E7</v>
      </c>
      <c r="W302" s="32" t="str">
        <f>"－"</f>
        <v>－</v>
      </c>
      <c r="X302" s="36" t="n">
        <f>22</f>
        <v>22.0</v>
      </c>
    </row>
    <row r="303">
      <c r="A303" s="27" t="s">
        <v>42</v>
      </c>
      <c r="B303" s="27" t="s">
        <v>965</v>
      </c>
      <c r="C303" s="27" t="s">
        <v>966</v>
      </c>
      <c r="D303" s="27" t="s">
        <v>967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958</f>
        <v>958.0</v>
      </c>
      <c r="L303" s="34" t="s">
        <v>48</v>
      </c>
      <c r="M303" s="33" t="n">
        <f>958</f>
        <v>958.0</v>
      </c>
      <c r="N303" s="34" t="s">
        <v>48</v>
      </c>
      <c r="O303" s="33" t="n">
        <f>914</f>
        <v>914.0</v>
      </c>
      <c r="P303" s="34" t="s">
        <v>62</v>
      </c>
      <c r="Q303" s="33" t="n">
        <f>922</f>
        <v>922.0</v>
      </c>
      <c r="R303" s="34" t="s">
        <v>51</v>
      </c>
      <c r="S303" s="35" t="n">
        <f>935.41</f>
        <v>935.41</v>
      </c>
      <c r="T303" s="32" t="n">
        <f>12364</f>
        <v>12364.0</v>
      </c>
      <c r="U303" s="32" t="str">
        <f>"－"</f>
        <v>－</v>
      </c>
      <c r="V303" s="32" t="n">
        <f>11629412</f>
        <v>1.1629412E7</v>
      </c>
      <c r="W303" s="32" t="str">
        <f>"－"</f>
        <v>－</v>
      </c>
      <c r="X303" s="36" t="n">
        <f>22</f>
        <v>22.0</v>
      </c>
    </row>
    <row r="304">
      <c r="A304" s="27" t="s">
        <v>42</v>
      </c>
      <c r="B304" s="27" t="s">
        <v>968</v>
      </c>
      <c r="C304" s="27" t="s">
        <v>969</v>
      </c>
      <c r="D304" s="27" t="s">
        <v>970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741.9</f>
        <v>741.9</v>
      </c>
      <c r="L304" s="34" t="s">
        <v>48</v>
      </c>
      <c r="M304" s="33" t="n">
        <f>764.8</f>
        <v>764.8</v>
      </c>
      <c r="N304" s="34" t="s">
        <v>95</v>
      </c>
      <c r="O304" s="33" t="n">
        <f>734.5</f>
        <v>734.5</v>
      </c>
      <c r="P304" s="34" t="s">
        <v>163</v>
      </c>
      <c r="Q304" s="33" t="n">
        <f>755.5</f>
        <v>755.5</v>
      </c>
      <c r="R304" s="34" t="s">
        <v>51</v>
      </c>
      <c r="S304" s="35" t="n">
        <f>750.63</f>
        <v>750.63</v>
      </c>
      <c r="T304" s="32" t="n">
        <f>508540</f>
        <v>508540.0</v>
      </c>
      <c r="U304" s="32" t="n">
        <f>260000</f>
        <v>260000.0</v>
      </c>
      <c r="V304" s="32" t="n">
        <f>385558810</f>
        <v>3.8555881E8</v>
      </c>
      <c r="W304" s="32" t="n">
        <f>198588000</f>
        <v>1.98588E8</v>
      </c>
      <c r="X304" s="36" t="n">
        <f>22</f>
        <v>22.0</v>
      </c>
    </row>
    <row r="305">
      <c r="A305" s="27" t="s">
        <v>42</v>
      </c>
      <c r="B305" s="27" t="s">
        <v>971</v>
      </c>
      <c r="C305" s="27" t="s">
        <v>972</v>
      </c>
      <c r="D305" s="27" t="s">
        <v>973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708.8</f>
        <v>708.8</v>
      </c>
      <c r="L305" s="34" t="s">
        <v>48</v>
      </c>
      <c r="M305" s="33" t="n">
        <f>742.1</f>
        <v>742.1</v>
      </c>
      <c r="N305" s="34" t="s">
        <v>123</v>
      </c>
      <c r="O305" s="33" t="n">
        <f>702</f>
        <v>702.0</v>
      </c>
      <c r="P305" s="34" t="s">
        <v>94</v>
      </c>
      <c r="Q305" s="33" t="n">
        <f>722.5</f>
        <v>722.5</v>
      </c>
      <c r="R305" s="34" t="s">
        <v>51</v>
      </c>
      <c r="S305" s="35" t="n">
        <f>719.42</f>
        <v>719.42</v>
      </c>
      <c r="T305" s="32" t="n">
        <f>570200</f>
        <v>570200.0</v>
      </c>
      <c r="U305" s="32" t="n">
        <f>485330</f>
        <v>485330.0</v>
      </c>
      <c r="V305" s="32" t="n">
        <f>414012582</f>
        <v>4.14012582E8</v>
      </c>
      <c r="W305" s="32" t="n">
        <f>353820968</f>
        <v>3.53820968E8</v>
      </c>
      <c r="X305" s="36" t="n">
        <f>22</f>
        <v>22.0</v>
      </c>
    </row>
    <row r="306">
      <c r="A306" s="27" t="s">
        <v>42</v>
      </c>
      <c r="B306" s="27" t="s">
        <v>974</v>
      </c>
      <c r="C306" s="27" t="s">
        <v>975</v>
      </c>
      <c r="D306" s="27" t="s">
        <v>976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1020</f>
        <v>1020.0</v>
      </c>
      <c r="L306" s="34" t="s">
        <v>48</v>
      </c>
      <c r="M306" s="33" t="n">
        <f>1039</f>
        <v>1039.0</v>
      </c>
      <c r="N306" s="34" t="s">
        <v>51</v>
      </c>
      <c r="O306" s="33" t="n">
        <f>977</f>
        <v>977.0</v>
      </c>
      <c r="P306" s="34" t="s">
        <v>50</v>
      </c>
      <c r="Q306" s="33" t="n">
        <f>1038</f>
        <v>1038.0</v>
      </c>
      <c r="R306" s="34" t="s">
        <v>51</v>
      </c>
      <c r="S306" s="35" t="n">
        <f>1014.82</f>
        <v>1014.82</v>
      </c>
      <c r="T306" s="32" t="n">
        <f>18964</f>
        <v>18964.0</v>
      </c>
      <c r="U306" s="32" t="str">
        <f>"－"</f>
        <v>－</v>
      </c>
      <c r="V306" s="32" t="n">
        <f>19133632</f>
        <v>1.9133632E7</v>
      </c>
      <c r="W306" s="32" t="str">
        <f>"－"</f>
        <v>－</v>
      </c>
      <c r="X306" s="36" t="n">
        <f>22</f>
        <v>22.0</v>
      </c>
    </row>
    <row r="307">
      <c r="A307" s="27" t="s">
        <v>42</v>
      </c>
      <c r="B307" s="27" t="s">
        <v>977</v>
      </c>
      <c r="C307" s="27" t="s">
        <v>978</v>
      </c>
      <c r="D307" s="27" t="s">
        <v>979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2320.5</f>
        <v>2320.5</v>
      </c>
      <c r="L307" s="34" t="s">
        <v>48</v>
      </c>
      <c r="M307" s="33" t="n">
        <f>2396</f>
        <v>2396.0</v>
      </c>
      <c r="N307" s="34" t="s">
        <v>61</v>
      </c>
      <c r="O307" s="33" t="n">
        <f>2201</f>
        <v>2201.0</v>
      </c>
      <c r="P307" s="34" t="s">
        <v>303</v>
      </c>
      <c r="Q307" s="33" t="n">
        <f>2376.5</f>
        <v>2376.5</v>
      </c>
      <c r="R307" s="34" t="s">
        <v>51</v>
      </c>
      <c r="S307" s="35" t="n">
        <f>2330.95</f>
        <v>2330.95</v>
      </c>
      <c r="T307" s="32" t="n">
        <f>22870</f>
        <v>22870.0</v>
      </c>
      <c r="U307" s="32" t="str">
        <f>"－"</f>
        <v>－</v>
      </c>
      <c r="V307" s="32" t="n">
        <f>53168470</f>
        <v>5.316847E7</v>
      </c>
      <c r="W307" s="32" t="str">
        <f>"－"</f>
        <v>－</v>
      </c>
      <c r="X307" s="36" t="n">
        <f>22</f>
        <v>22.0</v>
      </c>
    </row>
    <row r="308">
      <c r="A308" s="27" t="s">
        <v>42</v>
      </c>
      <c r="B308" s="27" t="s">
        <v>980</v>
      </c>
      <c r="C308" s="27" t="s">
        <v>981</v>
      </c>
      <c r="D308" s="27" t="s">
        <v>982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2311</f>
        <v>2311.0</v>
      </c>
      <c r="L308" s="34" t="s">
        <v>48</v>
      </c>
      <c r="M308" s="33" t="n">
        <f>2375.5</f>
        <v>2375.5</v>
      </c>
      <c r="N308" s="34" t="s">
        <v>77</v>
      </c>
      <c r="O308" s="33" t="n">
        <f>2234</f>
        <v>2234.0</v>
      </c>
      <c r="P308" s="34" t="s">
        <v>62</v>
      </c>
      <c r="Q308" s="33" t="n">
        <f>2355</f>
        <v>2355.0</v>
      </c>
      <c r="R308" s="34" t="s">
        <v>51</v>
      </c>
      <c r="S308" s="35" t="n">
        <f>2312.88</f>
        <v>2312.88</v>
      </c>
      <c r="T308" s="32" t="n">
        <f>132790</f>
        <v>132790.0</v>
      </c>
      <c r="U308" s="32" t="n">
        <f>110050</f>
        <v>110050.0</v>
      </c>
      <c r="V308" s="32" t="n">
        <f>302533392</f>
        <v>3.02533392E8</v>
      </c>
      <c r="W308" s="32" t="n">
        <f>250446037</f>
        <v>2.50446037E8</v>
      </c>
      <c r="X308" s="36" t="n">
        <f>21</f>
        <v>21.0</v>
      </c>
    </row>
    <row r="309">
      <c r="A309" s="27" t="s">
        <v>42</v>
      </c>
      <c r="B309" s="27" t="s">
        <v>983</v>
      </c>
      <c r="C309" s="27" t="s">
        <v>984</v>
      </c>
      <c r="D309" s="27" t="s">
        <v>985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4685</f>
        <v>4685.0</v>
      </c>
      <c r="L309" s="34" t="s">
        <v>48</v>
      </c>
      <c r="M309" s="33" t="n">
        <f>4800</f>
        <v>4800.0</v>
      </c>
      <c r="N309" s="34" t="s">
        <v>51</v>
      </c>
      <c r="O309" s="33" t="n">
        <f>4671</f>
        <v>4671.0</v>
      </c>
      <c r="P309" s="34" t="s">
        <v>77</v>
      </c>
      <c r="Q309" s="33" t="n">
        <f>4800</f>
        <v>4800.0</v>
      </c>
      <c r="R309" s="34" t="s">
        <v>51</v>
      </c>
      <c r="S309" s="35" t="n">
        <f>4707</f>
        <v>4707.0</v>
      </c>
      <c r="T309" s="32" t="n">
        <f>20150</f>
        <v>20150.0</v>
      </c>
      <c r="U309" s="32" t="n">
        <f>20000</f>
        <v>20000.0</v>
      </c>
      <c r="V309" s="32" t="n">
        <f>95565520</f>
        <v>9.556552E7</v>
      </c>
      <c r="W309" s="32" t="n">
        <f>94862000</f>
        <v>9.4862E7</v>
      </c>
      <c r="X309" s="36" t="n">
        <f>4</f>
        <v>4.0</v>
      </c>
    </row>
    <row r="310">
      <c r="A310" s="27" t="s">
        <v>42</v>
      </c>
      <c r="B310" s="27" t="s">
        <v>986</v>
      </c>
      <c r="C310" s="27" t="s">
        <v>987</v>
      </c>
      <c r="D310" s="27" t="s">
        <v>988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4316</f>
        <v>4316.0</v>
      </c>
      <c r="L310" s="34" t="s">
        <v>77</v>
      </c>
      <c r="M310" s="33" t="n">
        <f>4499</f>
        <v>4499.0</v>
      </c>
      <c r="N310" s="34" t="s">
        <v>123</v>
      </c>
      <c r="O310" s="33" t="n">
        <f>4316</f>
        <v>4316.0</v>
      </c>
      <c r="P310" s="34" t="s">
        <v>77</v>
      </c>
      <c r="Q310" s="33" t="n">
        <f>4453</f>
        <v>4453.0</v>
      </c>
      <c r="R310" s="34" t="s">
        <v>395</v>
      </c>
      <c r="S310" s="35" t="n">
        <f>4402.17</f>
        <v>4402.17</v>
      </c>
      <c r="T310" s="32" t="n">
        <f>37500</f>
        <v>37500.0</v>
      </c>
      <c r="U310" s="32" t="n">
        <f>11000</f>
        <v>11000.0</v>
      </c>
      <c r="V310" s="32" t="n">
        <f>166075540</f>
        <v>1.6607554E8</v>
      </c>
      <c r="W310" s="32" t="n">
        <f>47472700</f>
        <v>4.74727E7</v>
      </c>
      <c r="X310" s="36" t="n">
        <f>6</f>
        <v>6.0</v>
      </c>
    </row>
    <row r="311">
      <c r="A311" s="27" t="s">
        <v>42</v>
      </c>
      <c r="B311" s="27" t="s">
        <v>989</v>
      </c>
      <c r="C311" s="27" t="s">
        <v>990</v>
      </c>
      <c r="D311" s="27" t="s">
        <v>991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10.0</v>
      </c>
      <c r="K311" s="33" t="n">
        <f>1915.5</f>
        <v>1915.5</v>
      </c>
      <c r="L311" s="34" t="s">
        <v>77</v>
      </c>
      <c r="M311" s="33" t="n">
        <f>1975.5</f>
        <v>1975.5</v>
      </c>
      <c r="N311" s="34" t="s">
        <v>123</v>
      </c>
      <c r="O311" s="33" t="n">
        <f>1908.5</f>
        <v>1908.5</v>
      </c>
      <c r="P311" s="34" t="s">
        <v>94</v>
      </c>
      <c r="Q311" s="33" t="n">
        <f>1954</f>
        <v>1954.0</v>
      </c>
      <c r="R311" s="34" t="s">
        <v>51</v>
      </c>
      <c r="S311" s="35" t="n">
        <f>1934.27</f>
        <v>1934.27</v>
      </c>
      <c r="T311" s="32" t="n">
        <f>85110</f>
        <v>85110.0</v>
      </c>
      <c r="U311" s="32" t="str">
        <f>"－"</f>
        <v>－</v>
      </c>
      <c r="V311" s="32" t="n">
        <f>164305820</f>
        <v>1.6430582E8</v>
      </c>
      <c r="W311" s="32" t="str">
        <f>"－"</f>
        <v>－</v>
      </c>
      <c r="X311" s="36" t="n">
        <f>13</f>
        <v>13.0</v>
      </c>
    </row>
    <row r="312">
      <c r="A312" s="27" t="s">
        <v>42</v>
      </c>
      <c r="B312" s="27" t="s">
        <v>992</v>
      </c>
      <c r="C312" s="27" t="s">
        <v>993</v>
      </c>
      <c r="D312" s="27" t="s">
        <v>994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1136</f>
        <v>1136.0</v>
      </c>
      <c r="L312" s="34" t="s">
        <v>48</v>
      </c>
      <c r="M312" s="33" t="n">
        <f>1142</f>
        <v>1142.0</v>
      </c>
      <c r="N312" s="34" t="s">
        <v>163</v>
      </c>
      <c r="O312" s="33" t="n">
        <f>1001</f>
        <v>1001.0</v>
      </c>
      <c r="P312" s="34" t="s">
        <v>95</v>
      </c>
      <c r="Q312" s="33" t="n">
        <f>1075</f>
        <v>1075.0</v>
      </c>
      <c r="R312" s="34" t="s">
        <v>51</v>
      </c>
      <c r="S312" s="35" t="n">
        <f>1075.41</f>
        <v>1075.41</v>
      </c>
      <c r="T312" s="32" t="n">
        <f>7655</f>
        <v>7655.0</v>
      </c>
      <c r="U312" s="32" t="str">
        <f>"－"</f>
        <v>－</v>
      </c>
      <c r="V312" s="32" t="n">
        <f>8193718</f>
        <v>8193718.0</v>
      </c>
      <c r="W312" s="32" t="str">
        <f>"－"</f>
        <v>－</v>
      </c>
      <c r="X312" s="36" t="n">
        <f>22</f>
        <v>22.0</v>
      </c>
    </row>
    <row r="313">
      <c r="A313" s="27" t="s">
        <v>42</v>
      </c>
      <c r="B313" s="27" t="s">
        <v>995</v>
      </c>
      <c r="C313" s="27" t="s">
        <v>996</v>
      </c>
      <c r="D313" s="27" t="s">
        <v>997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972</f>
        <v>972.0</v>
      </c>
      <c r="L313" s="34" t="s">
        <v>48</v>
      </c>
      <c r="M313" s="33" t="n">
        <f>991</f>
        <v>991.0</v>
      </c>
      <c r="N313" s="34" t="s">
        <v>163</v>
      </c>
      <c r="O313" s="33" t="n">
        <f>940</f>
        <v>940.0</v>
      </c>
      <c r="P313" s="34" t="s">
        <v>303</v>
      </c>
      <c r="Q313" s="33" t="n">
        <f>986</f>
        <v>986.0</v>
      </c>
      <c r="R313" s="34" t="s">
        <v>51</v>
      </c>
      <c r="S313" s="35" t="n">
        <f>969.27</f>
        <v>969.27</v>
      </c>
      <c r="T313" s="32" t="n">
        <f>770186</f>
        <v>770186.0</v>
      </c>
      <c r="U313" s="32" t="str">
        <f>"－"</f>
        <v>－</v>
      </c>
      <c r="V313" s="32" t="n">
        <f>743129250</f>
        <v>7.4312925E8</v>
      </c>
      <c r="W313" s="32" t="str">
        <f>"－"</f>
        <v>－</v>
      </c>
      <c r="X313" s="36" t="n">
        <f>22</f>
        <v>22.0</v>
      </c>
    </row>
    <row r="314">
      <c r="A314" s="27" t="s">
        <v>42</v>
      </c>
      <c r="B314" s="27" t="s">
        <v>998</v>
      </c>
      <c r="C314" s="27" t="s">
        <v>999</v>
      </c>
      <c r="D314" s="27" t="s">
        <v>1000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959</f>
        <v>959.0</v>
      </c>
      <c r="L314" s="34" t="s">
        <v>48</v>
      </c>
      <c r="M314" s="33" t="n">
        <f>964</f>
        <v>964.0</v>
      </c>
      <c r="N314" s="34" t="s">
        <v>78</v>
      </c>
      <c r="O314" s="33" t="n">
        <f>859</f>
        <v>859.0</v>
      </c>
      <c r="P314" s="34" t="s">
        <v>95</v>
      </c>
      <c r="Q314" s="33" t="n">
        <f>886</f>
        <v>886.0</v>
      </c>
      <c r="R314" s="34" t="s">
        <v>51</v>
      </c>
      <c r="S314" s="35" t="n">
        <f>909.18</f>
        <v>909.18</v>
      </c>
      <c r="T314" s="32" t="n">
        <f>2243527</f>
        <v>2243527.0</v>
      </c>
      <c r="U314" s="32" t="n">
        <f>2</f>
        <v>2.0</v>
      </c>
      <c r="V314" s="32" t="n">
        <f>1984049129</f>
        <v>1.984049129E9</v>
      </c>
      <c r="W314" s="32" t="n">
        <f>1977</f>
        <v>1977.0</v>
      </c>
      <c r="X314" s="36" t="n">
        <f>22</f>
        <v>22.0</v>
      </c>
    </row>
    <row r="315">
      <c r="A315" s="27" t="s">
        <v>42</v>
      </c>
      <c r="B315" s="27" t="s">
        <v>1001</v>
      </c>
      <c r="C315" s="27" t="s">
        <v>1002</v>
      </c>
      <c r="D315" s="27" t="s">
        <v>1003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1004</f>
        <v>1004.0</v>
      </c>
      <c r="L315" s="34" t="s">
        <v>48</v>
      </c>
      <c r="M315" s="33" t="n">
        <f>1044</f>
        <v>1044.0</v>
      </c>
      <c r="N315" s="34" t="s">
        <v>61</v>
      </c>
      <c r="O315" s="33" t="n">
        <f>928</f>
        <v>928.0</v>
      </c>
      <c r="P315" s="34" t="s">
        <v>50</v>
      </c>
      <c r="Q315" s="33" t="n">
        <f>992</f>
        <v>992.0</v>
      </c>
      <c r="R315" s="34" t="s">
        <v>51</v>
      </c>
      <c r="S315" s="35" t="n">
        <f>979.09</f>
        <v>979.09</v>
      </c>
      <c r="T315" s="32" t="n">
        <f>99548</f>
        <v>99548.0</v>
      </c>
      <c r="U315" s="32" t="str">
        <f>"－"</f>
        <v>－</v>
      </c>
      <c r="V315" s="32" t="n">
        <f>94578365</f>
        <v>9.4578365E7</v>
      </c>
      <c r="W315" s="32" t="str">
        <f>"－"</f>
        <v>－</v>
      </c>
      <c r="X315" s="36" t="n">
        <f>22</f>
        <v>22.0</v>
      </c>
    </row>
    <row r="316">
      <c r="A316" s="27" t="s">
        <v>42</v>
      </c>
      <c r="B316" s="27" t="s">
        <v>1004</v>
      </c>
      <c r="C316" s="27" t="s">
        <v>1005</v>
      </c>
      <c r="D316" s="27" t="s">
        <v>1006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945</f>
        <v>945.0</v>
      </c>
      <c r="L316" s="34" t="s">
        <v>48</v>
      </c>
      <c r="M316" s="33" t="n">
        <f>960</f>
        <v>960.0</v>
      </c>
      <c r="N316" s="34" t="s">
        <v>163</v>
      </c>
      <c r="O316" s="33" t="n">
        <f>895</f>
        <v>895.0</v>
      </c>
      <c r="P316" s="34" t="s">
        <v>303</v>
      </c>
      <c r="Q316" s="33" t="n">
        <f>928</f>
        <v>928.0</v>
      </c>
      <c r="R316" s="34" t="s">
        <v>51</v>
      </c>
      <c r="S316" s="35" t="n">
        <f>924.68</f>
        <v>924.68</v>
      </c>
      <c r="T316" s="32" t="n">
        <f>818345</f>
        <v>818345.0</v>
      </c>
      <c r="U316" s="32" t="str">
        <f>"－"</f>
        <v>－</v>
      </c>
      <c r="V316" s="32" t="n">
        <f>763030165</f>
        <v>7.63030165E8</v>
      </c>
      <c r="W316" s="32" t="str">
        <f>"－"</f>
        <v>－</v>
      </c>
      <c r="X316" s="36" t="n">
        <f>22</f>
        <v>22.0</v>
      </c>
    </row>
    <row r="317">
      <c r="A317" s="27" t="s">
        <v>42</v>
      </c>
      <c r="B317" s="27" t="s">
        <v>1007</v>
      </c>
      <c r="C317" s="27" t="s">
        <v>1008</v>
      </c>
      <c r="D317" s="27" t="s">
        <v>1009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19845</f>
        <v>19845.0</v>
      </c>
      <c r="L317" s="34" t="s">
        <v>48</v>
      </c>
      <c r="M317" s="33" t="n">
        <f>23105</f>
        <v>23105.0</v>
      </c>
      <c r="N317" s="34" t="s">
        <v>51</v>
      </c>
      <c r="O317" s="33" t="n">
        <f>19290</f>
        <v>19290.0</v>
      </c>
      <c r="P317" s="34" t="s">
        <v>77</v>
      </c>
      <c r="Q317" s="33" t="n">
        <f>23005</f>
        <v>23005.0</v>
      </c>
      <c r="R317" s="34" t="s">
        <v>51</v>
      </c>
      <c r="S317" s="35" t="n">
        <f>21074.77</f>
        <v>21074.77</v>
      </c>
      <c r="T317" s="32" t="n">
        <f>740108</f>
        <v>740108.0</v>
      </c>
      <c r="U317" s="32" t="n">
        <f>3</f>
        <v>3.0</v>
      </c>
      <c r="V317" s="32" t="n">
        <f>15390984645</f>
        <v>1.5390984645E10</v>
      </c>
      <c r="W317" s="32" t="n">
        <f>62685</f>
        <v>62685.0</v>
      </c>
      <c r="X317" s="36" t="n">
        <f>22</f>
        <v>22.0</v>
      </c>
    </row>
    <row r="318">
      <c r="A318" s="27" t="s">
        <v>42</v>
      </c>
      <c r="B318" s="27" t="s">
        <v>1010</v>
      </c>
      <c r="C318" s="27" t="s">
        <v>1011</v>
      </c>
      <c r="D318" s="27" t="s">
        <v>1012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54970</f>
        <v>54970.0</v>
      </c>
      <c r="L318" s="34" t="s">
        <v>48</v>
      </c>
      <c r="M318" s="33" t="n">
        <f>56450</f>
        <v>56450.0</v>
      </c>
      <c r="N318" s="34" t="s">
        <v>77</v>
      </c>
      <c r="O318" s="33" t="n">
        <f>46350</f>
        <v>46350.0</v>
      </c>
      <c r="P318" s="34" t="s">
        <v>51</v>
      </c>
      <c r="Q318" s="33" t="n">
        <f>46550</f>
        <v>46550.0</v>
      </c>
      <c r="R318" s="34" t="s">
        <v>51</v>
      </c>
      <c r="S318" s="35" t="n">
        <f>51448.64</f>
        <v>51448.64</v>
      </c>
      <c r="T318" s="32" t="n">
        <f>320275</f>
        <v>320275.0</v>
      </c>
      <c r="U318" s="32" t="n">
        <f>8</f>
        <v>8.0</v>
      </c>
      <c r="V318" s="32" t="n">
        <f>16777159440</f>
        <v>1.677715944E10</v>
      </c>
      <c r="W318" s="32" t="n">
        <f>417080</f>
        <v>417080.0</v>
      </c>
      <c r="X318" s="36" t="n">
        <f>22</f>
        <v>22.0</v>
      </c>
    </row>
    <row r="319">
      <c r="A319" s="27" t="s">
        <v>42</v>
      </c>
      <c r="B319" s="27" t="s">
        <v>1013</v>
      </c>
      <c r="C319" s="27" t="s">
        <v>1014</v>
      </c>
      <c r="D319" s="27" t="s">
        <v>1015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112000</f>
        <v>112000.0</v>
      </c>
      <c r="L319" s="34" t="s">
        <v>48</v>
      </c>
      <c r="M319" s="33" t="n">
        <f>112200</f>
        <v>112200.0</v>
      </c>
      <c r="N319" s="34" t="s">
        <v>61</v>
      </c>
      <c r="O319" s="33" t="n">
        <f>102800</f>
        <v>102800.0</v>
      </c>
      <c r="P319" s="34" t="s">
        <v>62</v>
      </c>
      <c r="Q319" s="33" t="n">
        <f>108600</f>
        <v>108600.0</v>
      </c>
      <c r="R319" s="34" t="s">
        <v>51</v>
      </c>
      <c r="S319" s="35" t="n">
        <f>108263.64</f>
        <v>108263.64</v>
      </c>
      <c r="T319" s="32" t="n">
        <f>43733</f>
        <v>43733.0</v>
      </c>
      <c r="U319" s="32" t="n">
        <f>2515</f>
        <v>2515.0</v>
      </c>
      <c r="V319" s="32" t="n">
        <f>4718484491</f>
        <v>4.718484491E9</v>
      </c>
      <c r="W319" s="32" t="n">
        <f>272346391</f>
        <v>2.72346391E8</v>
      </c>
      <c r="X319" s="36" t="n">
        <f>22</f>
        <v>22.0</v>
      </c>
    </row>
    <row r="320">
      <c r="A320" s="27" t="s">
        <v>42</v>
      </c>
      <c r="B320" s="27" t="s">
        <v>1016</v>
      </c>
      <c r="C320" s="27" t="s">
        <v>1017</v>
      </c>
      <c r="D320" s="27" t="s">
        <v>1018</v>
      </c>
      <c r="E320" s="28" t="s">
        <v>46</v>
      </c>
      <c r="F320" s="29" t="s">
        <v>46</v>
      </c>
      <c r="G320" s="30" t="s">
        <v>46</v>
      </c>
      <c r="H320" s="31"/>
      <c r="I320" s="31" t="s">
        <v>593</v>
      </c>
      <c r="J320" s="32" t="n">
        <v>1.0</v>
      </c>
      <c r="K320" s="33" t="n">
        <f>86000</f>
        <v>86000.0</v>
      </c>
      <c r="L320" s="34" t="s">
        <v>48</v>
      </c>
      <c r="M320" s="33" t="n">
        <f>86400</f>
        <v>86400.0</v>
      </c>
      <c r="N320" s="34" t="s">
        <v>48</v>
      </c>
      <c r="O320" s="33" t="n">
        <f>79900</f>
        <v>79900.0</v>
      </c>
      <c r="P320" s="34" t="s">
        <v>62</v>
      </c>
      <c r="Q320" s="33" t="n">
        <f>82500</f>
        <v>82500.0</v>
      </c>
      <c r="R320" s="34" t="s">
        <v>51</v>
      </c>
      <c r="S320" s="35" t="n">
        <f>82668.18</f>
        <v>82668.18</v>
      </c>
      <c r="T320" s="32" t="n">
        <f>57189</f>
        <v>57189.0</v>
      </c>
      <c r="U320" s="32" t="n">
        <f>5823</f>
        <v>5823.0</v>
      </c>
      <c r="V320" s="32" t="n">
        <f>4740372064</f>
        <v>4.740372064E9</v>
      </c>
      <c r="W320" s="32" t="n">
        <f>481314164</f>
        <v>4.81314164E8</v>
      </c>
      <c r="X320" s="36" t="n">
        <f>22</f>
        <v>22.0</v>
      </c>
    </row>
    <row r="321">
      <c r="A321" s="27" t="s">
        <v>42</v>
      </c>
      <c r="B321" s="27" t="s">
        <v>1019</v>
      </c>
      <c r="C321" s="27" t="s">
        <v>1020</v>
      </c>
      <c r="D321" s="27" t="s">
        <v>1021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131500</f>
        <v>131500.0</v>
      </c>
      <c r="L321" s="34" t="s">
        <v>48</v>
      </c>
      <c r="M321" s="33" t="n">
        <f>135000</f>
        <v>135000.0</v>
      </c>
      <c r="N321" s="34" t="s">
        <v>520</v>
      </c>
      <c r="O321" s="33" t="n">
        <f>127500</f>
        <v>127500.0</v>
      </c>
      <c r="P321" s="34" t="s">
        <v>77</v>
      </c>
      <c r="Q321" s="33" t="n">
        <f>130000</f>
        <v>130000.0</v>
      </c>
      <c r="R321" s="34" t="s">
        <v>51</v>
      </c>
      <c r="S321" s="35" t="n">
        <f>131477.27</f>
        <v>131477.27</v>
      </c>
      <c r="T321" s="32" t="n">
        <f>55774</f>
        <v>55774.0</v>
      </c>
      <c r="U321" s="32" t="n">
        <f>13171</f>
        <v>13171.0</v>
      </c>
      <c r="V321" s="32" t="n">
        <f>7334228456</f>
        <v>7.334228456E9</v>
      </c>
      <c r="W321" s="32" t="n">
        <f>1732550756</f>
        <v>1.732550756E9</v>
      </c>
      <c r="X321" s="36" t="n">
        <f>22</f>
        <v>22.0</v>
      </c>
    </row>
    <row r="322">
      <c r="A322" s="27" t="s">
        <v>42</v>
      </c>
      <c r="B322" s="27" t="s">
        <v>1022</v>
      </c>
      <c r="C322" s="27" t="s">
        <v>1023</v>
      </c>
      <c r="D322" s="27" t="s">
        <v>1024</v>
      </c>
      <c r="E322" s="28" t="s">
        <v>46</v>
      </c>
      <c r="F322" s="29" t="s">
        <v>46</v>
      </c>
      <c r="G322" s="30" t="s">
        <v>46</v>
      </c>
      <c r="H322" s="31"/>
      <c r="I322" s="31" t="s">
        <v>593</v>
      </c>
      <c r="J322" s="32" t="n">
        <v>1.0</v>
      </c>
      <c r="K322" s="33" t="n">
        <f>116600</f>
        <v>116600.0</v>
      </c>
      <c r="L322" s="34" t="s">
        <v>48</v>
      </c>
      <c r="M322" s="33" t="n">
        <f>118500</f>
        <v>118500.0</v>
      </c>
      <c r="N322" s="34" t="s">
        <v>187</v>
      </c>
      <c r="O322" s="33" t="n">
        <f>111000</f>
        <v>111000.0</v>
      </c>
      <c r="P322" s="34" t="s">
        <v>50</v>
      </c>
      <c r="Q322" s="33" t="n">
        <f>117300</f>
        <v>117300.0</v>
      </c>
      <c r="R322" s="34" t="s">
        <v>51</v>
      </c>
      <c r="S322" s="35" t="n">
        <f>115054.55</f>
        <v>115054.55</v>
      </c>
      <c r="T322" s="32" t="n">
        <f>41906</f>
        <v>41906.0</v>
      </c>
      <c r="U322" s="32" t="n">
        <f>4129</f>
        <v>4129.0</v>
      </c>
      <c r="V322" s="32" t="n">
        <f>4807247689</f>
        <v>4.807247689E9</v>
      </c>
      <c r="W322" s="32" t="n">
        <f>474467089</f>
        <v>4.74467089E8</v>
      </c>
      <c r="X322" s="36" t="n">
        <f>22</f>
        <v>22.0</v>
      </c>
    </row>
    <row r="323">
      <c r="A323" s="27" t="s">
        <v>42</v>
      </c>
      <c r="B323" s="27" t="s">
        <v>1025</v>
      </c>
      <c r="C323" s="27" t="s">
        <v>1026</v>
      </c>
      <c r="D323" s="27" t="s">
        <v>1027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609000</f>
        <v>609000.0</v>
      </c>
      <c r="L323" s="34" t="s">
        <v>48</v>
      </c>
      <c r="M323" s="33" t="n">
        <f>612000</f>
        <v>612000.0</v>
      </c>
      <c r="N323" s="34" t="s">
        <v>48</v>
      </c>
      <c r="O323" s="33" t="n">
        <f>572000</f>
        <v>572000.0</v>
      </c>
      <c r="P323" s="34" t="s">
        <v>62</v>
      </c>
      <c r="Q323" s="33" t="n">
        <f>597000</f>
        <v>597000.0</v>
      </c>
      <c r="R323" s="34" t="s">
        <v>51</v>
      </c>
      <c r="S323" s="35" t="n">
        <f>591090.91</f>
        <v>591090.91</v>
      </c>
      <c r="T323" s="32" t="n">
        <f>42763</f>
        <v>42763.0</v>
      </c>
      <c r="U323" s="32" t="n">
        <f>13922</f>
        <v>13922.0</v>
      </c>
      <c r="V323" s="32" t="n">
        <f>25261957324</f>
        <v>2.5261957324E10</v>
      </c>
      <c r="W323" s="32" t="n">
        <f>8211955324</f>
        <v>8.211955324E9</v>
      </c>
      <c r="X323" s="36" t="n">
        <f>22</f>
        <v>22.0</v>
      </c>
    </row>
    <row r="324">
      <c r="A324" s="27" t="s">
        <v>42</v>
      </c>
      <c r="B324" s="27" t="s">
        <v>1028</v>
      </c>
      <c r="C324" s="27" t="s">
        <v>1029</v>
      </c>
      <c r="D324" s="27" t="s">
        <v>1030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153300</f>
        <v>153300.0</v>
      </c>
      <c r="L324" s="34" t="s">
        <v>48</v>
      </c>
      <c r="M324" s="33" t="n">
        <f>153300</f>
        <v>153300.0</v>
      </c>
      <c r="N324" s="34" t="s">
        <v>48</v>
      </c>
      <c r="O324" s="33" t="n">
        <f>142000</f>
        <v>142000.0</v>
      </c>
      <c r="P324" s="34" t="s">
        <v>168</v>
      </c>
      <c r="Q324" s="33" t="n">
        <f>147600</f>
        <v>147600.0</v>
      </c>
      <c r="R324" s="34" t="s">
        <v>51</v>
      </c>
      <c r="S324" s="35" t="n">
        <f>148277.27</f>
        <v>148277.27</v>
      </c>
      <c r="T324" s="32" t="n">
        <f>94627</f>
        <v>94627.0</v>
      </c>
      <c r="U324" s="32" t="n">
        <f>18629</f>
        <v>18629.0</v>
      </c>
      <c r="V324" s="32" t="n">
        <f>13993242941</f>
        <v>1.3993242941E10</v>
      </c>
      <c r="W324" s="32" t="n">
        <f>2762314941</f>
        <v>2.762314941E9</v>
      </c>
      <c r="X324" s="36" t="n">
        <f>22</f>
        <v>22.0</v>
      </c>
    </row>
    <row r="325">
      <c r="A325" s="27" t="s">
        <v>42</v>
      </c>
      <c r="B325" s="27" t="s">
        <v>1031</v>
      </c>
      <c r="C325" s="27" t="s">
        <v>1032</v>
      </c>
      <c r="D325" s="27" t="s">
        <v>1033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143800</f>
        <v>143800.0</v>
      </c>
      <c r="L325" s="34" t="s">
        <v>48</v>
      </c>
      <c r="M325" s="33" t="n">
        <f>147800</f>
        <v>147800.0</v>
      </c>
      <c r="N325" s="34" t="s">
        <v>164</v>
      </c>
      <c r="O325" s="33" t="n">
        <f>139100</f>
        <v>139100.0</v>
      </c>
      <c r="P325" s="34" t="s">
        <v>303</v>
      </c>
      <c r="Q325" s="33" t="n">
        <f>144200</f>
        <v>144200.0</v>
      </c>
      <c r="R325" s="34" t="s">
        <v>51</v>
      </c>
      <c r="S325" s="35" t="n">
        <f>144345.45</f>
        <v>144345.45</v>
      </c>
      <c r="T325" s="32" t="n">
        <f>242628</f>
        <v>242628.0</v>
      </c>
      <c r="U325" s="32" t="n">
        <f>49637</f>
        <v>49637.0</v>
      </c>
      <c r="V325" s="32" t="n">
        <f>35009412895</f>
        <v>3.5009412895E10</v>
      </c>
      <c r="W325" s="32" t="n">
        <f>7179562395</f>
        <v>7.179562395E9</v>
      </c>
      <c r="X325" s="36" t="n">
        <f>22</f>
        <v>22.0</v>
      </c>
    </row>
    <row r="326">
      <c r="A326" s="27" t="s">
        <v>42</v>
      </c>
      <c r="B326" s="27" t="s">
        <v>1034</v>
      </c>
      <c r="C326" s="27" t="s">
        <v>1035</v>
      </c>
      <c r="D326" s="27" t="s">
        <v>1036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334500</f>
        <v>334500.0</v>
      </c>
      <c r="L326" s="34" t="s">
        <v>48</v>
      </c>
      <c r="M326" s="33" t="n">
        <f>335000</f>
        <v>335000.0</v>
      </c>
      <c r="N326" s="34" t="s">
        <v>48</v>
      </c>
      <c r="O326" s="33" t="n">
        <f>304000</f>
        <v>304000.0</v>
      </c>
      <c r="P326" s="34" t="s">
        <v>168</v>
      </c>
      <c r="Q326" s="33" t="n">
        <f>316500</f>
        <v>316500.0</v>
      </c>
      <c r="R326" s="34" t="s">
        <v>51</v>
      </c>
      <c r="S326" s="35" t="n">
        <f>319431.82</f>
        <v>319431.82</v>
      </c>
      <c r="T326" s="32" t="n">
        <f>112880</f>
        <v>112880.0</v>
      </c>
      <c r="U326" s="32" t="n">
        <f>38688</f>
        <v>38688.0</v>
      </c>
      <c r="V326" s="32" t="n">
        <f>35820102238</f>
        <v>3.5820102238E10</v>
      </c>
      <c r="W326" s="32" t="n">
        <f>12262457238</f>
        <v>1.2262457238E10</v>
      </c>
      <c r="X326" s="36" t="n">
        <f>22</f>
        <v>22.0</v>
      </c>
    </row>
    <row r="327">
      <c r="A327" s="27" t="s">
        <v>42</v>
      </c>
      <c r="B327" s="27" t="s">
        <v>1037</v>
      </c>
      <c r="C327" s="27" t="s">
        <v>1038</v>
      </c>
      <c r="D327" s="27" t="s">
        <v>1039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205700</f>
        <v>205700.0</v>
      </c>
      <c r="L327" s="34" t="s">
        <v>48</v>
      </c>
      <c r="M327" s="33" t="n">
        <f>207700</f>
        <v>207700.0</v>
      </c>
      <c r="N327" s="34" t="s">
        <v>520</v>
      </c>
      <c r="O327" s="33" t="n">
        <f>196400</f>
        <v>196400.0</v>
      </c>
      <c r="P327" s="34" t="s">
        <v>62</v>
      </c>
      <c r="Q327" s="33" t="n">
        <f>204800</f>
        <v>204800.0</v>
      </c>
      <c r="R327" s="34" t="s">
        <v>51</v>
      </c>
      <c r="S327" s="35" t="n">
        <f>201850</f>
        <v>201850.0</v>
      </c>
      <c r="T327" s="32" t="n">
        <f>62546</f>
        <v>62546.0</v>
      </c>
      <c r="U327" s="32" t="n">
        <f>13526</f>
        <v>13526.0</v>
      </c>
      <c r="V327" s="32" t="n">
        <f>12607763737</f>
        <v>1.2607763737E10</v>
      </c>
      <c r="W327" s="32" t="n">
        <f>2724815737</f>
        <v>2.724815737E9</v>
      </c>
      <c r="X327" s="36" t="n">
        <f>22</f>
        <v>22.0</v>
      </c>
    </row>
    <row r="328">
      <c r="A328" s="27" t="s">
        <v>42</v>
      </c>
      <c r="B328" s="27" t="s">
        <v>1040</v>
      </c>
      <c r="C328" s="27" t="s">
        <v>1041</v>
      </c>
      <c r="D328" s="27" t="s">
        <v>1042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391500</f>
        <v>391500.0</v>
      </c>
      <c r="L328" s="34" t="s">
        <v>48</v>
      </c>
      <c r="M328" s="33" t="n">
        <f>391500</f>
        <v>391500.0</v>
      </c>
      <c r="N328" s="34" t="s">
        <v>48</v>
      </c>
      <c r="O328" s="33" t="n">
        <f>361500</f>
        <v>361500.0</v>
      </c>
      <c r="P328" s="34" t="s">
        <v>62</v>
      </c>
      <c r="Q328" s="33" t="n">
        <f>378000</f>
        <v>378000.0</v>
      </c>
      <c r="R328" s="34" t="s">
        <v>51</v>
      </c>
      <c r="S328" s="35" t="n">
        <f>375022.73</f>
        <v>375022.73</v>
      </c>
      <c r="T328" s="32" t="n">
        <f>67268</f>
        <v>67268.0</v>
      </c>
      <c r="U328" s="32" t="n">
        <f>14073</f>
        <v>14073.0</v>
      </c>
      <c r="V328" s="32" t="n">
        <f>25224929620</f>
        <v>2.522492962E10</v>
      </c>
      <c r="W328" s="32" t="n">
        <f>5287657120</f>
        <v>5.28765712E9</v>
      </c>
      <c r="X328" s="36" t="n">
        <f>22</f>
        <v>22.0</v>
      </c>
    </row>
    <row r="329">
      <c r="A329" s="27" t="s">
        <v>42</v>
      </c>
      <c r="B329" s="27" t="s">
        <v>1043</v>
      </c>
      <c r="C329" s="27" t="s">
        <v>1044</v>
      </c>
      <c r="D329" s="27" t="s">
        <v>1045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143300</f>
        <v>143300.0</v>
      </c>
      <c r="L329" s="34" t="s">
        <v>48</v>
      </c>
      <c r="M329" s="33" t="n">
        <f>152100</f>
        <v>152100.0</v>
      </c>
      <c r="N329" s="34" t="s">
        <v>520</v>
      </c>
      <c r="O329" s="33" t="n">
        <f>141400</f>
        <v>141400.0</v>
      </c>
      <c r="P329" s="34" t="s">
        <v>77</v>
      </c>
      <c r="Q329" s="33" t="n">
        <f>143100</f>
        <v>143100.0</v>
      </c>
      <c r="R329" s="34" t="s">
        <v>51</v>
      </c>
      <c r="S329" s="35" t="n">
        <f>145086.36</f>
        <v>145086.36</v>
      </c>
      <c r="T329" s="32" t="n">
        <f>355381</f>
        <v>355381.0</v>
      </c>
      <c r="U329" s="32" t="n">
        <f>72340</f>
        <v>72340.0</v>
      </c>
      <c r="V329" s="32" t="n">
        <f>51649849242</f>
        <v>5.1649849242E10</v>
      </c>
      <c r="W329" s="32" t="n">
        <f>10518467442</f>
        <v>1.0518467442E10</v>
      </c>
      <c r="X329" s="36" t="n">
        <f>22</f>
        <v>22.0</v>
      </c>
    </row>
    <row r="330">
      <c r="A330" s="27" t="s">
        <v>42</v>
      </c>
      <c r="B330" s="27" t="s">
        <v>1046</v>
      </c>
      <c r="C330" s="27" t="s">
        <v>1047</v>
      </c>
      <c r="D330" s="27" t="s">
        <v>1048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313500</f>
        <v>313500.0</v>
      </c>
      <c r="L330" s="34" t="s">
        <v>48</v>
      </c>
      <c r="M330" s="33" t="n">
        <f>323000</f>
        <v>323000.0</v>
      </c>
      <c r="N330" s="34" t="s">
        <v>395</v>
      </c>
      <c r="O330" s="33" t="n">
        <f>301000</f>
        <v>301000.0</v>
      </c>
      <c r="P330" s="34" t="s">
        <v>163</v>
      </c>
      <c r="Q330" s="33" t="n">
        <f>315500</f>
        <v>315500.0</v>
      </c>
      <c r="R330" s="34" t="s">
        <v>51</v>
      </c>
      <c r="S330" s="35" t="n">
        <f>308772.73</f>
        <v>308772.73</v>
      </c>
      <c r="T330" s="32" t="n">
        <f>71287</f>
        <v>71287.0</v>
      </c>
      <c r="U330" s="32" t="n">
        <f>18524</f>
        <v>18524.0</v>
      </c>
      <c r="V330" s="32" t="n">
        <f>21997243981</f>
        <v>2.1997243981E10</v>
      </c>
      <c r="W330" s="32" t="n">
        <f>5708563481</f>
        <v>5.708563481E9</v>
      </c>
      <c r="X330" s="36" t="n">
        <f>22</f>
        <v>22.0</v>
      </c>
    </row>
    <row r="331">
      <c r="A331" s="27" t="s">
        <v>42</v>
      </c>
      <c r="B331" s="27" t="s">
        <v>1049</v>
      </c>
      <c r="C331" s="27" t="s">
        <v>1050</v>
      </c>
      <c r="D331" s="27" t="s">
        <v>1051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292500</f>
        <v>292500.0</v>
      </c>
      <c r="L331" s="34" t="s">
        <v>48</v>
      </c>
      <c r="M331" s="33" t="n">
        <f>299600</f>
        <v>299600.0</v>
      </c>
      <c r="N331" s="34" t="s">
        <v>520</v>
      </c>
      <c r="O331" s="33" t="n">
        <f>278500</f>
        <v>278500.0</v>
      </c>
      <c r="P331" s="34" t="s">
        <v>51</v>
      </c>
      <c r="Q331" s="33" t="n">
        <f>280300</f>
        <v>280300.0</v>
      </c>
      <c r="R331" s="34" t="s">
        <v>51</v>
      </c>
      <c r="S331" s="35" t="n">
        <f>287177.27</f>
        <v>287177.27</v>
      </c>
      <c r="T331" s="32" t="n">
        <f>179352</f>
        <v>179352.0</v>
      </c>
      <c r="U331" s="32" t="n">
        <f>36788</f>
        <v>36788.0</v>
      </c>
      <c r="V331" s="32" t="n">
        <f>51610773940</f>
        <v>5.161077394E10</v>
      </c>
      <c r="W331" s="32" t="n">
        <f>10588662940</f>
        <v>1.058866294E10</v>
      </c>
      <c r="X331" s="36" t="n">
        <f>22</f>
        <v>22.0</v>
      </c>
    </row>
    <row r="332">
      <c r="A332" s="27" t="s">
        <v>42</v>
      </c>
      <c r="B332" s="27" t="s">
        <v>1052</v>
      </c>
      <c r="C332" s="27" t="s">
        <v>1053</v>
      </c>
      <c r="D332" s="27" t="s">
        <v>1054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754000</f>
        <v>754000.0</v>
      </c>
      <c r="L332" s="34" t="s">
        <v>48</v>
      </c>
      <c r="M332" s="33" t="n">
        <f>755000</f>
        <v>755000.0</v>
      </c>
      <c r="N332" s="34" t="s">
        <v>48</v>
      </c>
      <c r="O332" s="33" t="n">
        <f>654000</f>
        <v>654000.0</v>
      </c>
      <c r="P332" s="34" t="s">
        <v>62</v>
      </c>
      <c r="Q332" s="33" t="n">
        <f>690000</f>
        <v>690000.0</v>
      </c>
      <c r="R332" s="34" t="s">
        <v>51</v>
      </c>
      <c r="S332" s="35" t="n">
        <f>696318.18</f>
        <v>696318.18</v>
      </c>
      <c r="T332" s="32" t="n">
        <f>21804</f>
        <v>21804.0</v>
      </c>
      <c r="U332" s="32" t="n">
        <f>3213</f>
        <v>3213.0</v>
      </c>
      <c r="V332" s="32" t="n">
        <f>15142020450</f>
        <v>1.514202045E10</v>
      </c>
      <c r="W332" s="32" t="n">
        <f>2244148450</f>
        <v>2.24414845E9</v>
      </c>
      <c r="X332" s="36" t="n">
        <f>22</f>
        <v>22.0</v>
      </c>
    </row>
    <row r="333">
      <c r="A333" s="27" t="s">
        <v>42</v>
      </c>
      <c r="B333" s="27" t="s">
        <v>1055</v>
      </c>
      <c r="C333" s="27" t="s">
        <v>1056</v>
      </c>
      <c r="D333" s="27" t="s">
        <v>1057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239600</f>
        <v>239600.0</v>
      </c>
      <c r="L333" s="34" t="s">
        <v>48</v>
      </c>
      <c r="M333" s="33" t="n">
        <f>239900</f>
        <v>239900.0</v>
      </c>
      <c r="N333" s="34" t="s">
        <v>48</v>
      </c>
      <c r="O333" s="33" t="n">
        <f>224900</f>
        <v>224900.0</v>
      </c>
      <c r="P333" s="34" t="s">
        <v>187</v>
      </c>
      <c r="Q333" s="33" t="n">
        <f>230700</f>
        <v>230700.0</v>
      </c>
      <c r="R333" s="34" t="s">
        <v>51</v>
      </c>
      <c r="S333" s="35" t="n">
        <f>231881.82</f>
        <v>231881.82</v>
      </c>
      <c r="T333" s="32" t="n">
        <f>21861</f>
        <v>21861.0</v>
      </c>
      <c r="U333" s="32" t="n">
        <f>3292</f>
        <v>3292.0</v>
      </c>
      <c r="V333" s="32" t="n">
        <f>5065071236</f>
        <v>5.065071236E9</v>
      </c>
      <c r="W333" s="32" t="n">
        <f>761672436</f>
        <v>7.61672436E8</v>
      </c>
      <c r="X333" s="36" t="n">
        <f>22</f>
        <v>22.0</v>
      </c>
    </row>
    <row r="334">
      <c r="A334" s="27" t="s">
        <v>42</v>
      </c>
      <c r="B334" s="27" t="s">
        <v>1058</v>
      </c>
      <c r="C334" s="27" t="s">
        <v>1059</v>
      </c>
      <c r="D334" s="27" t="s">
        <v>1060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149000</f>
        <v>149000.0</v>
      </c>
      <c r="L334" s="34" t="s">
        <v>48</v>
      </c>
      <c r="M334" s="33" t="n">
        <f>149000</f>
        <v>149000.0</v>
      </c>
      <c r="N334" s="34" t="s">
        <v>48</v>
      </c>
      <c r="O334" s="33" t="n">
        <f>139600</f>
        <v>139600.0</v>
      </c>
      <c r="P334" s="34" t="s">
        <v>62</v>
      </c>
      <c r="Q334" s="33" t="n">
        <f>144900</f>
        <v>144900.0</v>
      </c>
      <c r="R334" s="34" t="s">
        <v>51</v>
      </c>
      <c r="S334" s="35" t="n">
        <f>144568.18</f>
        <v>144568.18</v>
      </c>
      <c r="T334" s="32" t="n">
        <f>117592</f>
        <v>117592.0</v>
      </c>
      <c r="U334" s="32" t="n">
        <f>22051</f>
        <v>22051.0</v>
      </c>
      <c r="V334" s="32" t="n">
        <f>16972775708</f>
        <v>1.6972775708E10</v>
      </c>
      <c r="W334" s="32" t="n">
        <f>3183730908</f>
        <v>3.183730908E9</v>
      </c>
      <c r="X334" s="36" t="n">
        <f>22</f>
        <v>22.0</v>
      </c>
    </row>
    <row r="335">
      <c r="A335" s="27" t="s">
        <v>42</v>
      </c>
      <c r="B335" s="27" t="s">
        <v>1061</v>
      </c>
      <c r="C335" s="27" t="s">
        <v>1062</v>
      </c>
      <c r="D335" s="27" t="s">
        <v>1063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152500</f>
        <v>152500.0</v>
      </c>
      <c r="L335" s="34" t="s">
        <v>48</v>
      </c>
      <c r="M335" s="33" t="n">
        <f>152600</f>
        <v>152600.0</v>
      </c>
      <c r="N335" s="34" t="s">
        <v>66</v>
      </c>
      <c r="O335" s="33" t="n">
        <f>144000</f>
        <v>144000.0</v>
      </c>
      <c r="P335" s="34" t="s">
        <v>62</v>
      </c>
      <c r="Q335" s="33" t="n">
        <f>149600</f>
        <v>149600.0</v>
      </c>
      <c r="R335" s="34" t="s">
        <v>51</v>
      </c>
      <c r="S335" s="35" t="n">
        <f>148831.82</f>
        <v>148831.82</v>
      </c>
      <c r="T335" s="32" t="n">
        <f>75519</f>
        <v>75519.0</v>
      </c>
      <c r="U335" s="32" t="n">
        <f>14511</f>
        <v>14511.0</v>
      </c>
      <c r="V335" s="32" t="n">
        <f>11231908877</f>
        <v>1.1231908877E10</v>
      </c>
      <c r="W335" s="32" t="n">
        <f>2161882877</f>
        <v>2.161882877E9</v>
      </c>
      <c r="X335" s="36" t="n">
        <f>22</f>
        <v>22.0</v>
      </c>
    </row>
    <row r="336">
      <c r="A336" s="27" t="s">
        <v>42</v>
      </c>
      <c r="B336" s="27" t="s">
        <v>1064</v>
      </c>
      <c r="C336" s="27" t="s">
        <v>1065</v>
      </c>
      <c r="D336" s="27" t="s">
        <v>1066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333500</f>
        <v>333500.0</v>
      </c>
      <c r="L336" s="34" t="s">
        <v>48</v>
      </c>
      <c r="M336" s="33" t="n">
        <f>333500</f>
        <v>333500.0</v>
      </c>
      <c r="N336" s="34" t="s">
        <v>48</v>
      </c>
      <c r="O336" s="33" t="n">
        <f>304000</f>
        <v>304000.0</v>
      </c>
      <c r="P336" s="34" t="s">
        <v>62</v>
      </c>
      <c r="Q336" s="33" t="n">
        <f>320000</f>
        <v>320000.0</v>
      </c>
      <c r="R336" s="34" t="s">
        <v>51</v>
      </c>
      <c r="S336" s="35" t="n">
        <f>317431.82</f>
        <v>317431.82</v>
      </c>
      <c r="T336" s="32" t="n">
        <f>36767</f>
        <v>36767.0</v>
      </c>
      <c r="U336" s="32" t="n">
        <f>6774</f>
        <v>6774.0</v>
      </c>
      <c r="V336" s="32" t="n">
        <f>11636619914</f>
        <v>1.1636619914E10</v>
      </c>
      <c r="W336" s="32" t="n">
        <f>2151609914</f>
        <v>2.151609914E9</v>
      </c>
      <c r="X336" s="36" t="n">
        <f>22</f>
        <v>22.0</v>
      </c>
    </row>
    <row r="337">
      <c r="A337" s="27" t="s">
        <v>42</v>
      </c>
      <c r="B337" s="27" t="s">
        <v>1067</v>
      </c>
      <c r="C337" s="27" t="s">
        <v>1068</v>
      </c>
      <c r="D337" s="27" t="s">
        <v>1069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72000</f>
        <v>72000.0</v>
      </c>
      <c r="L337" s="34" t="s">
        <v>48</v>
      </c>
      <c r="M337" s="33" t="n">
        <f>72300</f>
        <v>72300.0</v>
      </c>
      <c r="N337" s="34" t="s">
        <v>395</v>
      </c>
      <c r="O337" s="33" t="n">
        <f>68400</f>
        <v>68400.0</v>
      </c>
      <c r="P337" s="34" t="s">
        <v>62</v>
      </c>
      <c r="Q337" s="33" t="n">
        <f>71900</f>
        <v>71900.0</v>
      </c>
      <c r="R337" s="34" t="s">
        <v>51</v>
      </c>
      <c r="S337" s="35" t="n">
        <f>70559.09</f>
        <v>70559.09</v>
      </c>
      <c r="T337" s="32" t="n">
        <f>303106</f>
        <v>303106.0</v>
      </c>
      <c r="U337" s="32" t="n">
        <f>65178</f>
        <v>65178.0</v>
      </c>
      <c r="V337" s="32" t="n">
        <f>21350005686</f>
        <v>2.1350005686E10</v>
      </c>
      <c r="W337" s="32" t="n">
        <f>4594041186</f>
        <v>4.594041186E9</v>
      </c>
      <c r="X337" s="36" t="n">
        <f>22</f>
        <v>22.0</v>
      </c>
    </row>
    <row r="338">
      <c r="A338" s="27" t="s">
        <v>42</v>
      </c>
      <c r="B338" s="27" t="s">
        <v>1070</v>
      </c>
      <c r="C338" s="27" t="s">
        <v>1071</v>
      </c>
      <c r="D338" s="27" t="s">
        <v>1072</v>
      </c>
      <c r="E338" s="28" t="s">
        <v>46</v>
      </c>
      <c r="F338" s="29" t="s">
        <v>46</v>
      </c>
      <c r="G338" s="30" t="s">
        <v>46</v>
      </c>
      <c r="H338" s="31"/>
      <c r="I338" s="31" t="s">
        <v>593</v>
      </c>
      <c r="J338" s="32" t="n">
        <v>1.0</v>
      </c>
      <c r="K338" s="33" t="n">
        <f>132400</f>
        <v>132400.0</v>
      </c>
      <c r="L338" s="34" t="s">
        <v>48</v>
      </c>
      <c r="M338" s="33" t="n">
        <f>133100</f>
        <v>133100.0</v>
      </c>
      <c r="N338" s="34" t="s">
        <v>51</v>
      </c>
      <c r="O338" s="33" t="n">
        <f>125700</f>
        <v>125700.0</v>
      </c>
      <c r="P338" s="34" t="s">
        <v>62</v>
      </c>
      <c r="Q338" s="33" t="n">
        <f>132900</f>
        <v>132900.0</v>
      </c>
      <c r="R338" s="34" t="s">
        <v>51</v>
      </c>
      <c r="S338" s="35" t="n">
        <f>130300</f>
        <v>130300.0</v>
      </c>
      <c r="T338" s="32" t="n">
        <f>17073</f>
        <v>17073.0</v>
      </c>
      <c r="U338" s="32" t="n">
        <f>2589</f>
        <v>2589.0</v>
      </c>
      <c r="V338" s="32" t="n">
        <f>2219369429</f>
        <v>2.219369429E9</v>
      </c>
      <c r="W338" s="32" t="n">
        <f>336949729</f>
        <v>3.36949729E8</v>
      </c>
      <c r="X338" s="36" t="n">
        <f>22</f>
        <v>22.0</v>
      </c>
    </row>
    <row r="339">
      <c r="A339" s="27" t="s">
        <v>42</v>
      </c>
      <c r="B339" s="27" t="s">
        <v>1073</v>
      </c>
      <c r="C339" s="27" t="s">
        <v>1074</v>
      </c>
      <c r="D339" s="27" t="s">
        <v>1075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248000</f>
        <v>248000.0</v>
      </c>
      <c r="L339" s="34" t="s">
        <v>48</v>
      </c>
      <c r="M339" s="33" t="n">
        <f>248500</f>
        <v>248500.0</v>
      </c>
      <c r="N339" s="34" t="s">
        <v>48</v>
      </c>
      <c r="O339" s="33" t="n">
        <f>233700</f>
        <v>233700.0</v>
      </c>
      <c r="P339" s="34" t="s">
        <v>395</v>
      </c>
      <c r="Q339" s="33" t="n">
        <f>234900</f>
        <v>234900.0</v>
      </c>
      <c r="R339" s="34" t="s">
        <v>51</v>
      </c>
      <c r="S339" s="35" t="n">
        <f>240804.55</f>
        <v>240804.55</v>
      </c>
      <c r="T339" s="32" t="n">
        <f>52406</f>
        <v>52406.0</v>
      </c>
      <c r="U339" s="32" t="n">
        <f>8417</f>
        <v>8417.0</v>
      </c>
      <c r="V339" s="32" t="n">
        <f>12600965250</f>
        <v>1.260096525E10</v>
      </c>
      <c r="W339" s="32" t="n">
        <f>2030702450</f>
        <v>2.03070245E9</v>
      </c>
      <c r="X339" s="36" t="n">
        <f>22</f>
        <v>22.0</v>
      </c>
    </row>
    <row r="340">
      <c r="A340" s="27" t="s">
        <v>42</v>
      </c>
      <c r="B340" s="27" t="s">
        <v>1076</v>
      </c>
      <c r="C340" s="27" t="s">
        <v>1077</v>
      </c>
      <c r="D340" s="27" t="s">
        <v>1078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173300</f>
        <v>173300.0</v>
      </c>
      <c r="L340" s="34" t="s">
        <v>48</v>
      </c>
      <c r="M340" s="33" t="n">
        <f>174500</f>
        <v>174500.0</v>
      </c>
      <c r="N340" s="34" t="s">
        <v>263</v>
      </c>
      <c r="O340" s="33" t="n">
        <f>155000</f>
        <v>155000.0</v>
      </c>
      <c r="P340" s="34" t="s">
        <v>62</v>
      </c>
      <c r="Q340" s="33" t="n">
        <f>163900</f>
        <v>163900.0</v>
      </c>
      <c r="R340" s="34" t="s">
        <v>51</v>
      </c>
      <c r="S340" s="35" t="n">
        <f>164600</f>
        <v>164600.0</v>
      </c>
      <c r="T340" s="32" t="n">
        <f>20294</f>
        <v>20294.0</v>
      </c>
      <c r="U340" s="32" t="n">
        <f>3525</f>
        <v>3525.0</v>
      </c>
      <c r="V340" s="32" t="n">
        <f>3336559980</f>
        <v>3.33655998E9</v>
      </c>
      <c r="W340" s="32" t="n">
        <f>582246880</f>
        <v>5.8224688E8</v>
      </c>
      <c r="X340" s="36" t="n">
        <f>22</f>
        <v>22.0</v>
      </c>
    </row>
    <row r="341">
      <c r="A341" s="27" t="s">
        <v>42</v>
      </c>
      <c r="B341" s="27" t="s">
        <v>1079</v>
      </c>
      <c r="C341" s="27" t="s">
        <v>1080</v>
      </c>
      <c r="D341" s="27" t="s">
        <v>1081</v>
      </c>
      <c r="E341" s="28" t="s">
        <v>46</v>
      </c>
      <c r="F341" s="29" t="s">
        <v>46</v>
      </c>
      <c r="G341" s="30" t="s">
        <v>46</v>
      </c>
      <c r="H341" s="31"/>
      <c r="I341" s="31" t="s">
        <v>593</v>
      </c>
      <c r="J341" s="32" t="n">
        <v>1.0</v>
      </c>
      <c r="K341" s="33" t="n">
        <f>112500</f>
        <v>112500.0</v>
      </c>
      <c r="L341" s="34" t="s">
        <v>48</v>
      </c>
      <c r="M341" s="33" t="n">
        <f>112800</f>
        <v>112800.0</v>
      </c>
      <c r="N341" s="34" t="s">
        <v>78</v>
      </c>
      <c r="O341" s="33" t="n">
        <f>107100</f>
        <v>107100.0</v>
      </c>
      <c r="P341" s="34" t="s">
        <v>62</v>
      </c>
      <c r="Q341" s="33" t="n">
        <f>111700</f>
        <v>111700.0</v>
      </c>
      <c r="R341" s="34" t="s">
        <v>51</v>
      </c>
      <c r="S341" s="35" t="n">
        <f>110800</f>
        <v>110800.0</v>
      </c>
      <c r="T341" s="32" t="n">
        <f>29236</f>
        <v>29236.0</v>
      </c>
      <c r="U341" s="32" t="n">
        <f>4575</f>
        <v>4575.0</v>
      </c>
      <c r="V341" s="32" t="n">
        <f>3229338171</f>
        <v>3.229338171E9</v>
      </c>
      <c r="W341" s="32" t="n">
        <f>505357171</f>
        <v>5.05357171E8</v>
      </c>
      <c r="X341" s="36" t="n">
        <f>22</f>
        <v>22.0</v>
      </c>
    </row>
    <row r="342">
      <c r="A342" s="27" t="s">
        <v>42</v>
      </c>
      <c r="B342" s="27" t="s">
        <v>1082</v>
      </c>
      <c r="C342" s="27" t="s">
        <v>1083</v>
      </c>
      <c r="D342" s="27" t="s">
        <v>1084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151100</f>
        <v>151100.0</v>
      </c>
      <c r="L342" s="34" t="s">
        <v>48</v>
      </c>
      <c r="M342" s="33" t="n">
        <f>152200</f>
        <v>152200.0</v>
      </c>
      <c r="N342" s="34" t="s">
        <v>520</v>
      </c>
      <c r="O342" s="33" t="n">
        <f>145700</f>
        <v>145700.0</v>
      </c>
      <c r="P342" s="34" t="s">
        <v>62</v>
      </c>
      <c r="Q342" s="33" t="n">
        <f>148500</f>
        <v>148500.0</v>
      </c>
      <c r="R342" s="34" t="s">
        <v>51</v>
      </c>
      <c r="S342" s="35" t="n">
        <f>148618.18</f>
        <v>148618.18</v>
      </c>
      <c r="T342" s="32" t="n">
        <f>308238</f>
        <v>308238.0</v>
      </c>
      <c r="U342" s="32" t="n">
        <f>67921</f>
        <v>67921.0</v>
      </c>
      <c r="V342" s="32" t="n">
        <f>45815463481</f>
        <v>4.5815463481E10</v>
      </c>
      <c r="W342" s="32" t="n">
        <f>10090081381</f>
        <v>1.0090081381E10</v>
      </c>
      <c r="X342" s="36" t="n">
        <f>22</f>
        <v>22.0</v>
      </c>
    </row>
    <row r="343">
      <c r="A343" s="27" t="s">
        <v>42</v>
      </c>
      <c r="B343" s="27" t="s">
        <v>1085</v>
      </c>
      <c r="C343" s="27" t="s">
        <v>1086</v>
      </c>
      <c r="D343" s="27" t="s">
        <v>1087</v>
      </c>
      <c r="E343" s="28" t="s">
        <v>46</v>
      </c>
      <c r="F343" s="29" t="s">
        <v>46</v>
      </c>
      <c r="G343" s="30" t="s">
        <v>46</v>
      </c>
      <c r="H343" s="31"/>
      <c r="I343" s="31" t="s">
        <v>593</v>
      </c>
      <c r="J343" s="32" t="n">
        <v>1.0</v>
      </c>
      <c r="K343" s="33" t="n">
        <f>119100</f>
        <v>119100.0</v>
      </c>
      <c r="L343" s="34" t="s">
        <v>48</v>
      </c>
      <c r="M343" s="33" t="n">
        <f>119100</f>
        <v>119100.0</v>
      </c>
      <c r="N343" s="34" t="s">
        <v>48</v>
      </c>
      <c r="O343" s="33" t="n">
        <f>101200</f>
        <v>101200.0</v>
      </c>
      <c r="P343" s="34" t="s">
        <v>62</v>
      </c>
      <c r="Q343" s="33" t="n">
        <f>103600</f>
        <v>103600.0</v>
      </c>
      <c r="R343" s="34" t="s">
        <v>51</v>
      </c>
      <c r="S343" s="35" t="n">
        <f>109436.36</f>
        <v>109436.36</v>
      </c>
      <c r="T343" s="32" t="n">
        <f>62856</f>
        <v>62856.0</v>
      </c>
      <c r="U343" s="32" t="n">
        <f>6511</f>
        <v>6511.0</v>
      </c>
      <c r="V343" s="32" t="n">
        <f>6719471834</f>
        <v>6.719471834E9</v>
      </c>
      <c r="W343" s="32" t="n">
        <f>690554634</f>
        <v>6.90554634E8</v>
      </c>
      <c r="X343" s="36" t="n">
        <f>22</f>
        <v>22.0</v>
      </c>
    </row>
    <row r="344">
      <c r="A344" s="27" t="s">
        <v>42</v>
      </c>
      <c r="B344" s="27" t="s">
        <v>1088</v>
      </c>
      <c r="C344" s="27" t="s">
        <v>1089</v>
      </c>
      <c r="D344" s="27" t="s">
        <v>1090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155200</f>
        <v>155200.0</v>
      </c>
      <c r="L344" s="34" t="s">
        <v>48</v>
      </c>
      <c r="M344" s="33" t="n">
        <f>158900</f>
        <v>158900.0</v>
      </c>
      <c r="N344" s="34" t="s">
        <v>520</v>
      </c>
      <c r="O344" s="33" t="n">
        <f>151400</f>
        <v>151400.0</v>
      </c>
      <c r="P344" s="34" t="s">
        <v>187</v>
      </c>
      <c r="Q344" s="33" t="n">
        <f>153700</f>
        <v>153700.0</v>
      </c>
      <c r="R344" s="34" t="s">
        <v>51</v>
      </c>
      <c r="S344" s="35" t="n">
        <f>154222.73</f>
        <v>154222.73</v>
      </c>
      <c r="T344" s="32" t="n">
        <f>97630</f>
        <v>97630.0</v>
      </c>
      <c r="U344" s="32" t="n">
        <f>21838</f>
        <v>21838.0</v>
      </c>
      <c r="V344" s="32" t="n">
        <f>15057158315</f>
        <v>1.5057158315E10</v>
      </c>
      <c r="W344" s="32" t="n">
        <f>3365206715</f>
        <v>3.365206715E9</v>
      </c>
      <c r="X344" s="36" t="n">
        <f>22</f>
        <v>22.0</v>
      </c>
    </row>
    <row r="345">
      <c r="A345" s="27" t="s">
        <v>42</v>
      </c>
      <c r="B345" s="27" t="s">
        <v>1091</v>
      </c>
      <c r="C345" s="27" t="s">
        <v>1092</v>
      </c>
      <c r="D345" s="27" t="s">
        <v>1093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55000</f>
        <v>55000.0</v>
      </c>
      <c r="L345" s="34" t="s">
        <v>48</v>
      </c>
      <c r="M345" s="33" t="n">
        <f>55200</f>
        <v>55200.0</v>
      </c>
      <c r="N345" s="34" t="s">
        <v>78</v>
      </c>
      <c r="O345" s="33" t="n">
        <f>52300</f>
        <v>52300.0</v>
      </c>
      <c r="P345" s="34" t="s">
        <v>62</v>
      </c>
      <c r="Q345" s="33" t="n">
        <f>54800</f>
        <v>54800.0</v>
      </c>
      <c r="R345" s="34" t="s">
        <v>51</v>
      </c>
      <c r="S345" s="35" t="n">
        <f>54231.82</f>
        <v>54231.82</v>
      </c>
      <c r="T345" s="32" t="n">
        <f>135869</f>
        <v>135869.0</v>
      </c>
      <c r="U345" s="32" t="n">
        <f>28910</f>
        <v>28910.0</v>
      </c>
      <c r="V345" s="32" t="n">
        <f>7346441282</f>
        <v>7.346441282E9</v>
      </c>
      <c r="W345" s="32" t="n">
        <f>1566597582</f>
        <v>1.566597582E9</v>
      </c>
      <c r="X345" s="36" t="n">
        <f>22</f>
        <v>22.0</v>
      </c>
    </row>
    <row r="346">
      <c r="A346" s="27" t="s">
        <v>42</v>
      </c>
      <c r="B346" s="27" t="s">
        <v>1094</v>
      </c>
      <c r="C346" s="27" t="s">
        <v>1095</v>
      </c>
      <c r="D346" s="27" t="s">
        <v>1096</v>
      </c>
      <c r="E346" s="28" t="s">
        <v>46</v>
      </c>
      <c r="F346" s="29" t="s">
        <v>46</v>
      </c>
      <c r="G346" s="30" t="s">
        <v>46</v>
      </c>
      <c r="H346" s="31"/>
      <c r="I346" s="31" t="s">
        <v>593</v>
      </c>
      <c r="J346" s="32" t="n">
        <v>1.0</v>
      </c>
      <c r="K346" s="33" t="n">
        <f>125100</f>
        <v>125100.0</v>
      </c>
      <c r="L346" s="34" t="s">
        <v>48</v>
      </c>
      <c r="M346" s="33" t="n">
        <f>128000</f>
        <v>128000.0</v>
      </c>
      <c r="N346" s="34" t="s">
        <v>395</v>
      </c>
      <c r="O346" s="33" t="n">
        <f>120700</f>
        <v>120700.0</v>
      </c>
      <c r="P346" s="34" t="s">
        <v>62</v>
      </c>
      <c r="Q346" s="33" t="n">
        <f>126900</f>
        <v>126900.0</v>
      </c>
      <c r="R346" s="34" t="s">
        <v>51</v>
      </c>
      <c r="S346" s="35" t="n">
        <f>124672.73</f>
        <v>124672.73</v>
      </c>
      <c r="T346" s="32" t="n">
        <f>23476</f>
        <v>23476.0</v>
      </c>
      <c r="U346" s="32" t="n">
        <f>2212</f>
        <v>2212.0</v>
      </c>
      <c r="V346" s="32" t="n">
        <f>2918560041</f>
        <v>2.918560041E9</v>
      </c>
      <c r="W346" s="32" t="n">
        <f>275689341</f>
        <v>2.75689341E8</v>
      </c>
      <c r="X346" s="36" t="n">
        <f>22</f>
        <v>22.0</v>
      </c>
    </row>
    <row r="347">
      <c r="A347" s="27" t="s">
        <v>42</v>
      </c>
      <c r="B347" s="27" t="s">
        <v>1097</v>
      </c>
      <c r="C347" s="27" t="s">
        <v>1098</v>
      </c>
      <c r="D347" s="27" t="s">
        <v>1099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454000</f>
        <v>454000.0</v>
      </c>
      <c r="L347" s="34" t="s">
        <v>48</v>
      </c>
      <c r="M347" s="33" t="n">
        <f>473000</f>
        <v>473000.0</v>
      </c>
      <c r="N347" s="34" t="s">
        <v>51</v>
      </c>
      <c r="O347" s="33" t="n">
        <f>439000</f>
        <v>439000.0</v>
      </c>
      <c r="P347" s="34" t="s">
        <v>78</v>
      </c>
      <c r="Q347" s="33" t="n">
        <f>465000</f>
        <v>465000.0</v>
      </c>
      <c r="R347" s="34" t="s">
        <v>51</v>
      </c>
      <c r="S347" s="35" t="n">
        <f>454045.45</f>
        <v>454045.45</v>
      </c>
      <c r="T347" s="32" t="n">
        <f>55693</f>
        <v>55693.0</v>
      </c>
      <c r="U347" s="32" t="n">
        <f>10140</f>
        <v>10140.0</v>
      </c>
      <c r="V347" s="32" t="n">
        <f>25349482427</f>
        <v>2.5349482427E10</v>
      </c>
      <c r="W347" s="32" t="n">
        <f>4618360927</f>
        <v>4.618360927E9</v>
      </c>
      <c r="X347" s="36" t="n">
        <f>22</f>
        <v>22.0</v>
      </c>
    </row>
    <row r="348">
      <c r="A348" s="27" t="s">
        <v>42</v>
      </c>
      <c r="B348" s="27" t="s">
        <v>1100</v>
      </c>
      <c r="C348" s="27" t="s">
        <v>1101</v>
      </c>
      <c r="D348" s="27" t="s">
        <v>1102</v>
      </c>
      <c r="E348" s="28" t="s">
        <v>46</v>
      </c>
      <c r="F348" s="29" t="s">
        <v>46</v>
      </c>
      <c r="G348" s="30" t="s">
        <v>46</v>
      </c>
      <c r="H348" s="31"/>
      <c r="I348" s="31" t="s">
        <v>593</v>
      </c>
      <c r="J348" s="32" t="n">
        <v>1.0</v>
      </c>
      <c r="K348" s="33" t="n">
        <f>65800</f>
        <v>65800.0</v>
      </c>
      <c r="L348" s="34" t="s">
        <v>48</v>
      </c>
      <c r="M348" s="33" t="n">
        <f>65800</f>
        <v>65800.0</v>
      </c>
      <c r="N348" s="34" t="s">
        <v>48</v>
      </c>
      <c r="O348" s="33" t="n">
        <f>61500</f>
        <v>61500.0</v>
      </c>
      <c r="P348" s="34" t="s">
        <v>62</v>
      </c>
      <c r="Q348" s="33" t="n">
        <f>63900</f>
        <v>63900.0</v>
      </c>
      <c r="R348" s="34" t="s">
        <v>51</v>
      </c>
      <c r="S348" s="35" t="n">
        <f>63327.27</f>
        <v>63327.27</v>
      </c>
      <c r="T348" s="32" t="n">
        <f>15647</f>
        <v>15647.0</v>
      </c>
      <c r="U348" s="32" t="n">
        <f>1897</f>
        <v>1897.0</v>
      </c>
      <c r="V348" s="32" t="n">
        <f>990680781</f>
        <v>9.90680781E8</v>
      </c>
      <c r="W348" s="32" t="n">
        <f>120241881</f>
        <v>1.20241881E8</v>
      </c>
      <c r="X348" s="36" t="n">
        <f>22</f>
        <v>22.0</v>
      </c>
    </row>
    <row r="349">
      <c r="A349" s="27" t="s">
        <v>42</v>
      </c>
      <c r="B349" s="27" t="s">
        <v>1103</v>
      </c>
      <c r="C349" s="27" t="s">
        <v>1104</v>
      </c>
      <c r="D349" s="27" t="s">
        <v>1105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44850</f>
        <v>44850.0</v>
      </c>
      <c r="L349" s="34" t="s">
        <v>48</v>
      </c>
      <c r="M349" s="33" t="n">
        <f>45300</f>
        <v>45300.0</v>
      </c>
      <c r="N349" s="34" t="s">
        <v>395</v>
      </c>
      <c r="O349" s="33" t="n">
        <f>42700</f>
        <v>42700.0</v>
      </c>
      <c r="P349" s="34" t="s">
        <v>62</v>
      </c>
      <c r="Q349" s="33" t="n">
        <f>45050</f>
        <v>45050.0</v>
      </c>
      <c r="R349" s="34" t="s">
        <v>51</v>
      </c>
      <c r="S349" s="35" t="n">
        <f>44143.18</f>
        <v>44143.18</v>
      </c>
      <c r="T349" s="32" t="n">
        <f>138435</f>
        <v>138435.0</v>
      </c>
      <c r="U349" s="32" t="n">
        <f>20216</f>
        <v>20216.0</v>
      </c>
      <c r="V349" s="32" t="n">
        <f>6103541563</f>
        <v>6.103541563E9</v>
      </c>
      <c r="W349" s="32" t="n">
        <f>892277763</f>
        <v>8.92277763E8</v>
      </c>
      <c r="X349" s="36" t="n">
        <f>22</f>
        <v>22.0</v>
      </c>
    </row>
    <row r="350">
      <c r="A350" s="27" t="s">
        <v>42</v>
      </c>
      <c r="B350" s="27" t="s">
        <v>1106</v>
      </c>
      <c r="C350" s="27" t="s">
        <v>1107</v>
      </c>
      <c r="D350" s="27" t="s">
        <v>1108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401500</f>
        <v>401500.0</v>
      </c>
      <c r="L350" s="34" t="s">
        <v>48</v>
      </c>
      <c r="M350" s="33" t="n">
        <f>407500</f>
        <v>407500.0</v>
      </c>
      <c r="N350" s="34" t="s">
        <v>66</v>
      </c>
      <c r="O350" s="33" t="n">
        <f>386500</f>
        <v>386500.0</v>
      </c>
      <c r="P350" s="34" t="s">
        <v>62</v>
      </c>
      <c r="Q350" s="33" t="n">
        <f>390500</f>
        <v>390500.0</v>
      </c>
      <c r="R350" s="34" t="s">
        <v>51</v>
      </c>
      <c r="S350" s="35" t="n">
        <f>394931.82</f>
        <v>394931.82</v>
      </c>
      <c r="T350" s="32" t="n">
        <f>47179</f>
        <v>47179.0</v>
      </c>
      <c r="U350" s="32" t="n">
        <f>14543</f>
        <v>14543.0</v>
      </c>
      <c r="V350" s="32" t="n">
        <f>18649100733</f>
        <v>1.8649100733E10</v>
      </c>
      <c r="W350" s="32" t="n">
        <f>5775516733</f>
        <v>5.775516733E9</v>
      </c>
      <c r="X350" s="36" t="n">
        <f>22</f>
        <v>22.0</v>
      </c>
    </row>
    <row r="351">
      <c r="A351" s="27" t="s">
        <v>42</v>
      </c>
      <c r="B351" s="27" t="s">
        <v>1109</v>
      </c>
      <c r="C351" s="27" t="s">
        <v>1110</v>
      </c>
      <c r="D351" s="27" t="s">
        <v>1111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177600</f>
        <v>177600.0</v>
      </c>
      <c r="L351" s="34" t="s">
        <v>48</v>
      </c>
      <c r="M351" s="33" t="n">
        <f>184800</f>
        <v>184800.0</v>
      </c>
      <c r="N351" s="34" t="s">
        <v>520</v>
      </c>
      <c r="O351" s="33" t="n">
        <f>166600</f>
        <v>166600.0</v>
      </c>
      <c r="P351" s="34" t="s">
        <v>95</v>
      </c>
      <c r="Q351" s="33" t="n">
        <f>169000</f>
        <v>169000.0</v>
      </c>
      <c r="R351" s="34" t="s">
        <v>51</v>
      </c>
      <c r="S351" s="35" t="n">
        <f>176777.27</f>
        <v>176777.27</v>
      </c>
      <c r="T351" s="32" t="n">
        <f>85354</f>
        <v>85354.0</v>
      </c>
      <c r="U351" s="32" t="n">
        <f>7814</f>
        <v>7814.0</v>
      </c>
      <c r="V351" s="32" t="n">
        <f>14741751932</f>
        <v>1.4741751932E10</v>
      </c>
      <c r="W351" s="32" t="n">
        <f>1375808932</f>
        <v>1.375808932E9</v>
      </c>
      <c r="X351" s="36" t="n">
        <f>22</f>
        <v>22.0</v>
      </c>
    </row>
    <row r="352">
      <c r="A352" s="27" t="s">
        <v>42</v>
      </c>
      <c r="B352" s="27" t="s">
        <v>1112</v>
      </c>
      <c r="C352" s="27" t="s">
        <v>1113</v>
      </c>
      <c r="D352" s="27" t="s">
        <v>1114</v>
      </c>
      <c r="E352" s="28" t="s">
        <v>46</v>
      </c>
      <c r="F352" s="29" t="s">
        <v>46</v>
      </c>
      <c r="G352" s="30" t="s">
        <v>46</v>
      </c>
      <c r="H352" s="31"/>
      <c r="I352" s="31" t="s">
        <v>593</v>
      </c>
      <c r="J352" s="32" t="n">
        <v>1.0</v>
      </c>
      <c r="K352" s="33" t="n">
        <f>113600</f>
        <v>113600.0</v>
      </c>
      <c r="L352" s="34" t="s">
        <v>48</v>
      </c>
      <c r="M352" s="33" t="n">
        <f>113800</f>
        <v>113800.0</v>
      </c>
      <c r="N352" s="34" t="s">
        <v>48</v>
      </c>
      <c r="O352" s="33" t="n">
        <f>106400</f>
        <v>106400.0</v>
      </c>
      <c r="P352" s="34" t="s">
        <v>62</v>
      </c>
      <c r="Q352" s="33" t="n">
        <f>110300</f>
        <v>110300.0</v>
      </c>
      <c r="R352" s="34" t="s">
        <v>51</v>
      </c>
      <c r="S352" s="35" t="n">
        <f>110659.09</f>
        <v>110659.09</v>
      </c>
      <c r="T352" s="32" t="n">
        <f>26032</f>
        <v>26032.0</v>
      </c>
      <c r="U352" s="32" t="n">
        <f>3592</f>
        <v>3592.0</v>
      </c>
      <c r="V352" s="32" t="n">
        <f>2862550939</f>
        <v>2.862550939E9</v>
      </c>
      <c r="W352" s="32" t="n">
        <f>396553139</f>
        <v>3.96553139E8</v>
      </c>
      <c r="X352" s="36" t="n">
        <f>22</f>
        <v>22.0</v>
      </c>
    </row>
    <row r="353">
      <c r="A353" s="27" t="s">
        <v>42</v>
      </c>
      <c r="B353" s="27" t="s">
        <v>1115</v>
      </c>
      <c r="C353" s="27" t="s">
        <v>1116</v>
      </c>
      <c r="D353" s="27" t="s">
        <v>1117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90200</f>
        <v>90200.0</v>
      </c>
      <c r="L353" s="34" t="s">
        <v>48</v>
      </c>
      <c r="M353" s="33" t="n">
        <f>90900</f>
        <v>90900.0</v>
      </c>
      <c r="N353" s="34" t="s">
        <v>66</v>
      </c>
      <c r="O353" s="33" t="n">
        <f>85300</f>
        <v>85300.0</v>
      </c>
      <c r="P353" s="34" t="s">
        <v>62</v>
      </c>
      <c r="Q353" s="33" t="n">
        <f>89600</f>
        <v>89600.0</v>
      </c>
      <c r="R353" s="34" t="s">
        <v>51</v>
      </c>
      <c r="S353" s="35" t="n">
        <f>88918.18</f>
        <v>88918.18</v>
      </c>
      <c r="T353" s="32" t="n">
        <f>187377</f>
        <v>187377.0</v>
      </c>
      <c r="U353" s="32" t="n">
        <f>18597</f>
        <v>18597.0</v>
      </c>
      <c r="V353" s="32" t="n">
        <f>16650542332</f>
        <v>1.6650542332E10</v>
      </c>
      <c r="W353" s="32" t="n">
        <f>1661907932</f>
        <v>1.661907932E9</v>
      </c>
      <c r="X353" s="36" t="n">
        <f>22</f>
        <v>22.0</v>
      </c>
    </row>
    <row r="354">
      <c r="A354" s="27" t="s">
        <v>42</v>
      </c>
      <c r="B354" s="27" t="s">
        <v>1118</v>
      </c>
      <c r="C354" s="27" t="s">
        <v>1119</v>
      </c>
      <c r="D354" s="27" t="s">
        <v>1120</v>
      </c>
      <c r="E354" s="28" t="s">
        <v>46</v>
      </c>
      <c r="F354" s="29" t="s">
        <v>46</v>
      </c>
      <c r="G354" s="30" t="s">
        <v>46</v>
      </c>
      <c r="H354" s="31"/>
      <c r="I354" s="31" t="s">
        <v>593</v>
      </c>
      <c r="J354" s="32" t="n">
        <v>1.0</v>
      </c>
      <c r="K354" s="33" t="n">
        <f>135900</f>
        <v>135900.0</v>
      </c>
      <c r="L354" s="34" t="s">
        <v>48</v>
      </c>
      <c r="M354" s="33" t="n">
        <f>136500</f>
        <v>136500.0</v>
      </c>
      <c r="N354" s="34" t="s">
        <v>61</v>
      </c>
      <c r="O354" s="33" t="n">
        <f>129600</f>
        <v>129600.0</v>
      </c>
      <c r="P354" s="34" t="s">
        <v>187</v>
      </c>
      <c r="Q354" s="33" t="n">
        <f>132200</f>
        <v>132200.0</v>
      </c>
      <c r="R354" s="34" t="s">
        <v>51</v>
      </c>
      <c r="S354" s="35" t="n">
        <f>133095.45</f>
        <v>133095.45</v>
      </c>
      <c r="T354" s="32" t="n">
        <f>40029</f>
        <v>40029.0</v>
      </c>
      <c r="U354" s="32" t="n">
        <f>8582</f>
        <v>8582.0</v>
      </c>
      <c r="V354" s="32" t="n">
        <f>5318608269</f>
        <v>5.318608269E9</v>
      </c>
      <c r="W354" s="32" t="n">
        <f>1142214469</f>
        <v>1.142214469E9</v>
      </c>
      <c r="X354" s="36" t="n">
        <f>22</f>
        <v>22.0</v>
      </c>
    </row>
    <row r="355">
      <c r="A355" s="27" t="s">
        <v>42</v>
      </c>
      <c r="B355" s="27" t="s">
        <v>1121</v>
      </c>
      <c r="C355" s="27" t="s">
        <v>1122</v>
      </c>
      <c r="D355" s="27" t="s">
        <v>1123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576000</f>
        <v>576000.0</v>
      </c>
      <c r="L355" s="34" t="s">
        <v>48</v>
      </c>
      <c r="M355" s="33" t="n">
        <f>576000</f>
        <v>576000.0</v>
      </c>
      <c r="N355" s="34" t="s">
        <v>48</v>
      </c>
      <c r="O355" s="33" t="n">
        <f>545000</f>
        <v>545000.0</v>
      </c>
      <c r="P355" s="34" t="s">
        <v>187</v>
      </c>
      <c r="Q355" s="33" t="n">
        <f>551000</f>
        <v>551000.0</v>
      </c>
      <c r="R355" s="34" t="s">
        <v>51</v>
      </c>
      <c r="S355" s="35" t="n">
        <f>558500</f>
        <v>558500.0</v>
      </c>
      <c r="T355" s="32" t="n">
        <f>129459</f>
        <v>129459.0</v>
      </c>
      <c r="U355" s="32" t="n">
        <f>25462</f>
        <v>25462.0</v>
      </c>
      <c r="V355" s="32" t="n">
        <f>72293015258</f>
        <v>7.2293015258E10</v>
      </c>
      <c r="W355" s="32" t="n">
        <f>14248720258</f>
        <v>1.4248720258E10</v>
      </c>
      <c r="X355" s="36" t="n">
        <f>22</f>
        <v>22.0</v>
      </c>
    </row>
    <row r="356">
      <c r="A356" s="27" t="s">
        <v>42</v>
      </c>
      <c r="B356" s="27" t="s">
        <v>1124</v>
      </c>
      <c r="C356" s="27" t="s">
        <v>1125</v>
      </c>
      <c r="D356" s="27" t="s">
        <v>1126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565000</f>
        <v>565000.0</v>
      </c>
      <c r="L356" s="34" t="s">
        <v>48</v>
      </c>
      <c r="M356" s="33" t="n">
        <f>567000</f>
        <v>567000.0</v>
      </c>
      <c r="N356" s="34" t="s">
        <v>94</v>
      </c>
      <c r="O356" s="33" t="n">
        <f>526000</f>
        <v>526000.0</v>
      </c>
      <c r="P356" s="34" t="s">
        <v>51</v>
      </c>
      <c r="Q356" s="33" t="n">
        <f>528000</f>
        <v>528000.0</v>
      </c>
      <c r="R356" s="34" t="s">
        <v>51</v>
      </c>
      <c r="S356" s="35" t="n">
        <f>548727.27</f>
        <v>548727.27</v>
      </c>
      <c r="T356" s="32" t="n">
        <f>109109</f>
        <v>109109.0</v>
      </c>
      <c r="U356" s="32" t="n">
        <f>17628</f>
        <v>17628.0</v>
      </c>
      <c r="V356" s="32" t="n">
        <f>59869088791</f>
        <v>5.9869088791E10</v>
      </c>
      <c r="W356" s="32" t="n">
        <f>9685399791</f>
        <v>9.685399791E9</v>
      </c>
      <c r="X356" s="36" t="n">
        <f>22</f>
        <v>22.0</v>
      </c>
    </row>
    <row r="357">
      <c r="A357" s="27" t="s">
        <v>42</v>
      </c>
      <c r="B357" s="27" t="s">
        <v>1127</v>
      </c>
      <c r="C357" s="27" t="s">
        <v>1128</v>
      </c>
      <c r="D357" s="27" t="s">
        <v>1129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102400</f>
        <v>102400.0</v>
      </c>
      <c r="L357" s="34" t="s">
        <v>48</v>
      </c>
      <c r="M357" s="33" t="n">
        <f>103300</f>
        <v>103300.0</v>
      </c>
      <c r="N357" s="34" t="s">
        <v>94</v>
      </c>
      <c r="O357" s="33" t="n">
        <f>94800</f>
        <v>94800.0</v>
      </c>
      <c r="P357" s="34" t="s">
        <v>395</v>
      </c>
      <c r="Q357" s="33" t="n">
        <f>96700</f>
        <v>96700.0</v>
      </c>
      <c r="R357" s="34" t="s">
        <v>51</v>
      </c>
      <c r="S357" s="35" t="n">
        <f>99218.18</f>
        <v>99218.18</v>
      </c>
      <c r="T357" s="32" t="n">
        <f>506102</f>
        <v>506102.0</v>
      </c>
      <c r="U357" s="32" t="n">
        <f>137965</f>
        <v>137965.0</v>
      </c>
      <c r="V357" s="32" t="n">
        <f>50116136180</f>
        <v>5.011613618E10</v>
      </c>
      <c r="W357" s="32" t="n">
        <f>13685280880</f>
        <v>1.368528088E10</v>
      </c>
      <c r="X357" s="36" t="n">
        <f>22</f>
        <v>22.0</v>
      </c>
    </row>
    <row r="358">
      <c r="A358" s="27" t="s">
        <v>42</v>
      </c>
      <c r="B358" s="27" t="s">
        <v>1130</v>
      </c>
      <c r="C358" s="27" t="s">
        <v>1131</v>
      </c>
      <c r="D358" s="27" t="s">
        <v>1132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182400</f>
        <v>182400.0</v>
      </c>
      <c r="L358" s="34" t="s">
        <v>48</v>
      </c>
      <c r="M358" s="33" t="n">
        <f>182800</f>
        <v>182800.0</v>
      </c>
      <c r="N358" s="34" t="s">
        <v>48</v>
      </c>
      <c r="O358" s="33" t="n">
        <f>164800</f>
        <v>164800.0</v>
      </c>
      <c r="P358" s="34" t="s">
        <v>95</v>
      </c>
      <c r="Q358" s="33" t="n">
        <f>168000</f>
        <v>168000.0</v>
      </c>
      <c r="R358" s="34" t="s">
        <v>51</v>
      </c>
      <c r="S358" s="35" t="n">
        <f>172995.45</f>
        <v>172995.45</v>
      </c>
      <c r="T358" s="32" t="n">
        <f>190417</f>
        <v>190417.0</v>
      </c>
      <c r="U358" s="32" t="n">
        <f>42433</f>
        <v>42433.0</v>
      </c>
      <c r="V358" s="32" t="n">
        <f>32829075380</f>
        <v>3.282907538E10</v>
      </c>
      <c r="W358" s="32" t="n">
        <f>7334991380</f>
        <v>7.33499138E9</v>
      </c>
      <c r="X358" s="36" t="n">
        <f>22</f>
        <v>22.0</v>
      </c>
    </row>
    <row r="359">
      <c r="A359" s="27" t="s">
        <v>42</v>
      </c>
      <c r="B359" s="27" t="s">
        <v>1133</v>
      </c>
      <c r="C359" s="27" t="s">
        <v>1134</v>
      </c>
      <c r="D359" s="27" t="s">
        <v>1135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360500</f>
        <v>360500.0</v>
      </c>
      <c r="L359" s="34" t="s">
        <v>48</v>
      </c>
      <c r="M359" s="33" t="n">
        <f>360500</f>
        <v>360500.0</v>
      </c>
      <c r="N359" s="34" t="s">
        <v>48</v>
      </c>
      <c r="O359" s="33" t="n">
        <f>335500</f>
        <v>335500.0</v>
      </c>
      <c r="P359" s="34" t="s">
        <v>62</v>
      </c>
      <c r="Q359" s="33" t="n">
        <f>349000</f>
        <v>349000.0</v>
      </c>
      <c r="R359" s="34" t="s">
        <v>51</v>
      </c>
      <c r="S359" s="35" t="n">
        <f>348022.73</f>
        <v>348022.73</v>
      </c>
      <c r="T359" s="32" t="n">
        <f>52243</f>
        <v>52243.0</v>
      </c>
      <c r="U359" s="32" t="n">
        <f>11940</f>
        <v>11940.0</v>
      </c>
      <c r="V359" s="32" t="n">
        <f>18162588693</f>
        <v>1.8162588693E10</v>
      </c>
      <c r="W359" s="32" t="n">
        <f>4159424693</f>
        <v>4.159424693E9</v>
      </c>
      <c r="X359" s="36" t="n">
        <f>22</f>
        <v>22.0</v>
      </c>
    </row>
    <row r="360">
      <c r="A360" s="27" t="s">
        <v>42</v>
      </c>
      <c r="B360" s="27" t="s">
        <v>1136</v>
      </c>
      <c r="C360" s="27" t="s">
        <v>1137</v>
      </c>
      <c r="D360" s="27" t="s">
        <v>1138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136000</f>
        <v>136000.0</v>
      </c>
      <c r="L360" s="34" t="s">
        <v>48</v>
      </c>
      <c r="M360" s="33" t="n">
        <f>136000</f>
        <v>136000.0</v>
      </c>
      <c r="N360" s="34" t="s">
        <v>48</v>
      </c>
      <c r="O360" s="33" t="n">
        <f>128700</f>
        <v>128700.0</v>
      </c>
      <c r="P360" s="34" t="s">
        <v>62</v>
      </c>
      <c r="Q360" s="33" t="n">
        <f>134900</f>
        <v>134900.0</v>
      </c>
      <c r="R360" s="34" t="s">
        <v>51</v>
      </c>
      <c r="S360" s="35" t="n">
        <f>132177.27</f>
        <v>132177.27</v>
      </c>
      <c r="T360" s="32" t="n">
        <f>88136</f>
        <v>88136.0</v>
      </c>
      <c r="U360" s="32" t="n">
        <f>19964</f>
        <v>19964.0</v>
      </c>
      <c r="V360" s="32" t="n">
        <f>11634025415</f>
        <v>1.1634025415E10</v>
      </c>
      <c r="W360" s="32" t="n">
        <f>2635110315</f>
        <v>2.635110315E9</v>
      </c>
      <c r="X360" s="36" t="n">
        <f>22</f>
        <v>22.0</v>
      </c>
    </row>
    <row r="361">
      <c r="A361" s="27" t="s">
        <v>42</v>
      </c>
      <c r="B361" s="27" t="s">
        <v>1139</v>
      </c>
      <c r="C361" s="27" t="s">
        <v>1140</v>
      </c>
      <c r="D361" s="27" t="s">
        <v>1141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195500</f>
        <v>195500.0</v>
      </c>
      <c r="L361" s="34" t="s">
        <v>48</v>
      </c>
      <c r="M361" s="33" t="n">
        <f>195500</f>
        <v>195500.0</v>
      </c>
      <c r="N361" s="34" t="s">
        <v>48</v>
      </c>
      <c r="O361" s="33" t="n">
        <f>176600</f>
        <v>176600.0</v>
      </c>
      <c r="P361" s="34" t="s">
        <v>187</v>
      </c>
      <c r="Q361" s="33" t="n">
        <f>181000</f>
        <v>181000.0</v>
      </c>
      <c r="R361" s="34" t="s">
        <v>51</v>
      </c>
      <c r="S361" s="35" t="n">
        <f>184977.27</f>
        <v>184977.27</v>
      </c>
      <c r="T361" s="32" t="n">
        <f>59345</f>
        <v>59345.0</v>
      </c>
      <c r="U361" s="32" t="n">
        <f>12179</f>
        <v>12179.0</v>
      </c>
      <c r="V361" s="32" t="n">
        <f>10940183288</f>
        <v>1.0940183288E10</v>
      </c>
      <c r="W361" s="32" t="n">
        <f>2252156488</f>
        <v>2.252156488E9</v>
      </c>
      <c r="X361" s="36" t="n">
        <f>22</f>
        <v>22.0</v>
      </c>
    </row>
    <row r="362">
      <c r="A362" s="27" t="s">
        <v>42</v>
      </c>
      <c r="B362" s="27" t="s">
        <v>1142</v>
      </c>
      <c r="C362" s="27" t="s">
        <v>1143</v>
      </c>
      <c r="D362" s="27" t="s">
        <v>1144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108500</f>
        <v>108500.0</v>
      </c>
      <c r="L362" s="34" t="s">
        <v>48</v>
      </c>
      <c r="M362" s="33" t="n">
        <f>109600</f>
        <v>109600.0</v>
      </c>
      <c r="N362" s="34" t="s">
        <v>78</v>
      </c>
      <c r="O362" s="33" t="n">
        <f>103700</f>
        <v>103700.0</v>
      </c>
      <c r="P362" s="34" t="s">
        <v>395</v>
      </c>
      <c r="Q362" s="33" t="n">
        <f>104500</f>
        <v>104500.0</v>
      </c>
      <c r="R362" s="34" t="s">
        <v>51</v>
      </c>
      <c r="S362" s="35" t="n">
        <f>106886.36</f>
        <v>106886.36</v>
      </c>
      <c r="T362" s="32" t="n">
        <f>116502</f>
        <v>116502.0</v>
      </c>
      <c r="U362" s="32" t="n">
        <f>19596</f>
        <v>19596.0</v>
      </c>
      <c r="V362" s="32" t="n">
        <f>12414372153</f>
        <v>1.2414372153E10</v>
      </c>
      <c r="W362" s="32" t="n">
        <f>2091213653</f>
        <v>2.091213653E9</v>
      </c>
      <c r="X362" s="36" t="n">
        <f>22</f>
        <v>22.0</v>
      </c>
    </row>
    <row r="363">
      <c r="A363" s="27" t="s">
        <v>42</v>
      </c>
      <c r="B363" s="27" t="s">
        <v>1145</v>
      </c>
      <c r="C363" s="27" t="s">
        <v>1146</v>
      </c>
      <c r="D363" s="27" t="s">
        <v>1147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150500</f>
        <v>150500.0</v>
      </c>
      <c r="L363" s="34" t="s">
        <v>48</v>
      </c>
      <c r="M363" s="33" t="n">
        <f>151200</f>
        <v>151200.0</v>
      </c>
      <c r="N363" s="34" t="s">
        <v>48</v>
      </c>
      <c r="O363" s="33" t="n">
        <f>137900</f>
        <v>137900.0</v>
      </c>
      <c r="P363" s="34" t="s">
        <v>62</v>
      </c>
      <c r="Q363" s="33" t="n">
        <f>143000</f>
        <v>143000.0</v>
      </c>
      <c r="R363" s="34" t="s">
        <v>51</v>
      </c>
      <c r="S363" s="35" t="n">
        <f>144309.09</f>
        <v>144309.09</v>
      </c>
      <c r="T363" s="32" t="n">
        <f>209090</f>
        <v>209090.0</v>
      </c>
      <c r="U363" s="32" t="n">
        <f>58118</f>
        <v>58118.0</v>
      </c>
      <c r="V363" s="32" t="n">
        <f>30110349043</f>
        <v>3.0110349043E10</v>
      </c>
      <c r="W363" s="32" t="n">
        <f>8399256843</f>
        <v>8.399256843E9</v>
      </c>
      <c r="X363" s="36" t="n">
        <f>22</f>
        <v>22.0</v>
      </c>
    </row>
    <row r="364">
      <c r="A364" s="27" t="s">
        <v>42</v>
      </c>
      <c r="B364" s="27" t="s">
        <v>1148</v>
      </c>
      <c r="C364" s="27" t="s">
        <v>1149</v>
      </c>
      <c r="D364" s="27" t="s">
        <v>1150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75100</f>
        <v>75100.0</v>
      </c>
      <c r="L364" s="34" t="s">
        <v>48</v>
      </c>
      <c r="M364" s="33" t="n">
        <f>75100</f>
        <v>75100.0</v>
      </c>
      <c r="N364" s="34" t="s">
        <v>48</v>
      </c>
      <c r="O364" s="33" t="n">
        <f>66700</f>
        <v>66700.0</v>
      </c>
      <c r="P364" s="34" t="s">
        <v>168</v>
      </c>
      <c r="Q364" s="33" t="n">
        <f>68500</f>
        <v>68500.0</v>
      </c>
      <c r="R364" s="34" t="s">
        <v>51</v>
      </c>
      <c r="S364" s="35" t="n">
        <f>69690.91</f>
        <v>69690.91</v>
      </c>
      <c r="T364" s="32" t="n">
        <f>216293</f>
        <v>216293.0</v>
      </c>
      <c r="U364" s="32" t="n">
        <f>44890</f>
        <v>44890.0</v>
      </c>
      <c r="V364" s="32" t="n">
        <f>15075211378</f>
        <v>1.5075211378E10</v>
      </c>
      <c r="W364" s="32" t="n">
        <f>3129948978</f>
        <v>3.129948978E9</v>
      </c>
      <c r="X364" s="36" t="n">
        <f>22</f>
        <v>22.0</v>
      </c>
    </row>
    <row r="365">
      <c r="A365" s="27" t="s">
        <v>42</v>
      </c>
      <c r="B365" s="27" t="s">
        <v>1151</v>
      </c>
      <c r="C365" s="27" t="s">
        <v>1152</v>
      </c>
      <c r="D365" s="27" t="s">
        <v>1153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55200</f>
        <v>55200.0</v>
      </c>
      <c r="L365" s="34" t="s">
        <v>48</v>
      </c>
      <c r="M365" s="33" t="n">
        <f>56400</f>
        <v>56400.0</v>
      </c>
      <c r="N365" s="34" t="s">
        <v>66</v>
      </c>
      <c r="O365" s="33" t="n">
        <f>48250</f>
        <v>48250.0</v>
      </c>
      <c r="P365" s="34" t="s">
        <v>95</v>
      </c>
      <c r="Q365" s="33" t="n">
        <f>55700</f>
        <v>55700.0</v>
      </c>
      <c r="R365" s="34" t="s">
        <v>51</v>
      </c>
      <c r="S365" s="35" t="n">
        <f>53368.18</f>
        <v>53368.18</v>
      </c>
      <c r="T365" s="32" t="n">
        <f>995436</f>
        <v>995436.0</v>
      </c>
      <c r="U365" s="32" t="n">
        <f>300860</f>
        <v>300860.0</v>
      </c>
      <c r="V365" s="32" t="n">
        <f>52755264657</f>
        <v>5.2755264657E10</v>
      </c>
      <c r="W365" s="32" t="n">
        <f>15943924857</f>
        <v>1.5943924857E10</v>
      </c>
      <c r="X365" s="36" t="n">
        <f>22</f>
        <v>22.0</v>
      </c>
    </row>
    <row r="366">
      <c r="A366" s="27" t="s">
        <v>42</v>
      </c>
      <c r="B366" s="27" t="s">
        <v>1154</v>
      </c>
      <c r="C366" s="27" t="s">
        <v>1155</v>
      </c>
      <c r="D366" s="27" t="s">
        <v>1156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502000</f>
        <v>502000.0</v>
      </c>
      <c r="L366" s="34" t="s">
        <v>48</v>
      </c>
      <c r="M366" s="33" t="n">
        <f>503000</f>
        <v>503000.0</v>
      </c>
      <c r="N366" s="34" t="s">
        <v>48</v>
      </c>
      <c r="O366" s="33" t="n">
        <f>458000</f>
        <v>458000.0</v>
      </c>
      <c r="P366" s="34" t="s">
        <v>95</v>
      </c>
      <c r="Q366" s="33" t="n">
        <f>475000</f>
        <v>475000.0</v>
      </c>
      <c r="R366" s="34" t="s">
        <v>51</v>
      </c>
      <c r="S366" s="35" t="n">
        <f>479113.64</f>
        <v>479113.64</v>
      </c>
      <c r="T366" s="32" t="n">
        <f>37396</f>
        <v>37396.0</v>
      </c>
      <c r="U366" s="32" t="n">
        <f>6458</f>
        <v>6458.0</v>
      </c>
      <c r="V366" s="32" t="n">
        <f>17837635446</f>
        <v>1.7837635446E10</v>
      </c>
      <c r="W366" s="32" t="n">
        <f>3088157946</f>
        <v>3.088157946E9</v>
      </c>
      <c r="X366" s="36" t="n">
        <f>22</f>
        <v>22.0</v>
      </c>
    </row>
    <row r="367">
      <c r="A367" s="27" t="s">
        <v>42</v>
      </c>
      <c r="B367" s="27" t="s">
        <v>1157</v>
      </c>
      <c r="C367" s="27" t="s">
        <v>1158</v>
      </c>
      <c r="D367" s="27" t="s">
        <v>1159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157100</f>
        <v>157100.0</v>
      </c>
      <c r="L367" s="34" t="s">
        <v>48</v>
      </c>
      <c r="M367" s="33" t="n">
        <f>158300</f>
        <v>158300.0</v>
      </c>
      <c r="N367" s="34" t="s">
        <v>520</v>
      </c>
      <c r="O367" s="33" t="n">
        <f>148500</f>
        <v>148500.0</v>
      </c>
      <c r="P367" s="34" t="s">
        <v>95</v>
      </c>
      <c r="Q367" s="33" t="n">
        <f>152500</f>
        <v>152500.0</v>
      </c>
      <c r="R367" s="34" t="s">
        <v>51</v>
      </c>
      <c r="S367" s="35" t="n">
        <f>153640.91</f>
        <v>153640.91</v>
      </c>
      <c r="T367" s="32" t="n">
        <f>53459</f>
        <v>53459.0</v>
      </c>
      <c r="U367" s="32" t="n">
        <f>11831</f>
        <v>11831.0</v>
      </c>
      <c r="V367" s="32" t="n">
        <f>8189782901</f>
        <v>8.189782901E9</v>
      </c>
      <c r="W367" s="32" t="n">
        <f>1818143301</f>
        <v>1.818143301E9</v>
      </c>
      <c r="X367" s="36" t="n">
        <f>22</f>
        <v>22.0</v>
      </c>
    </row>
    <row r="368">
      <c r="A368" s="27" t="s">
        <v>42</v>
      </c>
      <c r="B368" s="27" t="s">
        <v>1160</v>
      </c>
      <c r="C368" s="27" t="s">
        <v>1161</v>
      </c>
      <c r="D368" s="27" t="s">
        <v>1162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295000</f>
        <v>295000.0</v>
      </c>
      <c r="L368" s="34" t="s">
        <v>48</v>
      </c>
      <c r="M368" s="33" t="n">
        <f>298700</f>
        <v>298700.0</v>
      </c>
      <c r="N368" s="34" t="s">
        <v>520</v>
      </c>
      <c r="O368" s="33" t="n">
        <f>286700</f>
        <v>286700.0</v>
      </c>
      <c r="P368" s="34" t="s">
        <v>62</v>
      </c>
      <c r="Q368" s="33" t="n">
        <f>294500</f>
        <v>294500.0</v>
      </c>
      <c r="R368" s="34" t="s">
        <v>51</v>
      </c>
      <c r="S368" s="35" t="n">
        <f>292290.91</f>
        <v>292290.91</v>
      </c>
      <c r="T368" s="32" t="n">
        <f>65202</f>
        <v>65202.0</v>
      </c>
      <c r="U368" s="32" t="n">
        <f>13244</f>
        <v>13244.0</v>
      </c>
      <c r="V368" s="32" t="n">
        <f>19069142399</f>
        <v>1.9069142399E10</v>
      </c>
      <c r="W368" s="32" t="n">
        <f>3872614199</f>
        <v>3.872614199E9</v>
      </c>
      <c r="X368" s="36" t="n">
        <f>22</f>
        <v>22.0</v>
      </c>
    </row>
    <row r="369">
      <c r="A369" s="27" t="s">
        <v>42</v>
      </c>
      <c r="B369" s="27" t="s">
        <v>1163</v>
      </c>
      <c r="C369" s="27" t="s">
        <v>1164</v>
      </c>
      <c r="D369" s="27" t="s">
        <v>1165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164500</f>
        <v>164500.0</v>
      </c>
      <c r="L369" s="34" t="s">
        <v>48</v>
      </c>
      <c r="M369" s="33" t="n">
        <f>167000</f>
        <v>167000.0</v>
      </c>
      <c r="N369" s="34" t="s">
        <v>49</v>
      </c>
      <c r="O369" s="33" t="n">
        <f>156200</f>
        <v>156200.0</v>
      </c>
      <c r="P369" s="34" t="s">
        <v>62</v>
      </c>
      <c r="Q369" s="33" t="n">
        <f>162000</f>
        <v>162000.0</v>
      </c>
      <c r="R369" s="34" t="s">
        <v>51</v>
      </c>
      <c r="S369" s="35" t="n">
        <f>162500</f>
        <v>162500.0</v>
      </c>
      <c r="T369" s="32" t="n">
        <f>54101</f>
        <v>54101.0</v>
      </c>
      <c r="U369" s="32" t="n">
        <f>22654</f>
        <v>22654.0</v>
      </c>
      <c r="V369" s="32" t="n">
        <f>8819032861</f>
        <v>8.819032861E9</v>
      </c>
      <c r="W369" s="32" t="n">
        <f>3730949561</f>
        <v>3.730949561E9</v>
      </c>
      <c r="X369" s="36" t="n">
        <f>22</f>
        <v>22.0</v>
      </c>
    </row>
    <row r="370">
      <c r="A370" s="27" t="s">
        <v>42</v>
      </c>
      <c r="B370" s="27" t="s">
        <v>1166</v>
      </c>
      <c r="C370" s="27" t="s">
        <v>1167</v>
      </c>
      <c r="D370" s="27" t="s">
        <v>1168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319500</f>
        <v>319500.0</v>
      </c>
      <c r="L370" s="34" t="s">
        <v>48</v>
      </c>
      <c r="M370" s="33" t="n">
        <f>325500</f>
        <v>325500.0</v>
      </c>
      <c r="N370" s="34" t="s">
        <v>78</v>
      </c>
      <c r="O370" s="33" t="n">
        <f>298200</f>
        <v>298200.0</v>
      </c>
      <c r="P370" s="34" t="s">
        <v>187</v>
      </c>
      <c r="Q370" s="33" t="n">
        <f>306500</f>
        <v>306500.0</v>
      </c>
      <c r="R370" s="34" t="s">
        <v>51</v>
      </c>
      <c r="S370" s="35" t="n">
        <f>311886.36</f>
        <v>311886.36</v>
      </c>
      <c r="T370" s="32" t="n">
        <f>85211</f>
        <v>85211.0</v>
      </c>
      <c r="U370" s="32" t="n">
        <f>18619</f>
        <v>18619.0</v>
      </c>
      <c r="V370" s="32" t="n">
        <f>26569464734</f>
        <v>2.6569464734E10</v>
      </c>
      <c r="W370" s="32" t="n">
        <f>5810317434</f>
        <v>5.810317434E9</v>
      </c>
      <c r="X370" s="36" t="n">
        <f>22</f>
        <v>22.0</v>
      </c>
    </row>
    <row r="371">
      <c r="A371" s="27" t="s">
        <v>42</v>
      </c>
      <c r="B371" s="27" t="s">
        <v>1169</v>
      </c>
      <c r="C371" s="27" t="s">
        <v>1170</v>
      </c>
      <c r="D371" s="27" t="s">
        <v>1171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88600</f>
        <v>88600.0</v>
      </c>
      <c r="L371" s="34" t="s">
        <v>48</v>
      </c>
      <c r="M371" s="33" t="n">
        <f>98200</f>
        <v>98200.0</v>
      </c>
      <c r="N371" s="34" t="s">
        <v>51</v>
      </c>
      <c r="O371" s="33" t="n">
        <f>86500</f>
        <v>86500.0</v>
      </c>
      <c r="P371" s="34" t="s">
        <v>168</v>
      </c>
      <c r="Q371" s="33" t="n">
        <f>96800</f>
        <v>96800.0</v>
      </c>
      <c r="R371" s="34" t="s">
        <v>51</v>
      </c>
      <c r="S371" s="35" t="n">
        <f>90159.09</f>
        <v>90159.09</v>
      </c>
      <c r="T371" s="32" t="n">
        <f>244605</f>
        <v>244605.0</v>
      </c>
      <c r="U371" s="32" t="n">
        <f>38772</f>
        <v>38772.0</v>
      </c>
      <c r="V371" s="32" t="n">
        <f>22295671278</f>
        <v>2.2295671278E10</v>
      </c>
      <c r="W371" s="32" t="n">
        <f>3521057978</f>
        <v>3.521057978E9</v>
      </c>
      <c r="X371" s="36" t="n">
        <f>22</f>
        <v>22.0</v>
      </c>
    </row>
    <row r="372">
      <c r="A372" s="27" t="s">
        <v>42</v>
      </c>
      <c r="B372" s="27" t="s">
        <v>1172</v>
      </c>
      <c r="C372" s="27" t="s">
        <v>1173</v>
      </c>
      <c r="D372" s="27" t="s">
        <v>1174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615000</f>
        <v>615000.0</v>
      </c>
      <c r="L372" s="34" t="s">
        <v>48</v>
      </c>
      <c r="M372" s="33" t="n">
        <f>632000</f>
        <v>632000.0</v>
      </c>
      <c r="N372" s="34" t="s">
        <v>520</v>
      </c>
      <c r="O372" s="33" t="n">
        <f>593000</f>
        <v>593000.0</v>
      </c>
      <c r="P372" s="34" t="s">
        <v>187</v>
      </c>
      <c r="Q372" s="33" t="n">
        <f>606000</f>
        <v>606000.0</v>
      </c>
      <c r="R372" s="34" t="s">
        <v>51</v>
      </c>
      <c r="S372" s="35" t="n">
        <f>610045.45</f>
        <v>610045.45</v>
      </c>
      <c r="T372" s="32" t="n">
        <f>29387</f>
        <v>29387.0</v>
      </c>
      <c r="U372" s="32" t="n">
        <f>6103</f>
        <v>6103.0</v>
      </c>
      <c r="V372" s="32" t="n">
        <f>17943636893</f>
        <v>1.7943636893E10</v>
      </c>
      <c r="W372" s="32" t="n">
        <f>3728173893</f>
        <v>3.728173893E9</v>
      </c>
      <c r="X372" s="36" t="n">
        <f>22</f>
        <v>22.0</v>
      </c>
    </row>
    <row r="373">
      <c r="A373" s="27" t="s">
        <v>42</v>
      </c>
      <c r="B373" s="27" t="s">
        <v>1175</v>
      </c>
      <c r="C373" s="27" t="s">
        <v>1176</v>
      </c>
      <c r="D373" s="27" t="s">
        <v>1177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143700</f>
        <v>143700.0</v>
      </c>
      <c r="L373" s="34" t="s">
        <v>48</v>
      </c>
      <c r="M373" s="33" t="n">
        <f>143800</f>
        <v>143800.0</v>
      </c>
      <c r="N373" s="34" t="s">
        <v>48</v>
      </c>
      <c r="O373" s="33" t="n">
        <f>134700</f>
        <v>134700.0</v>
      </c>
      <c r="P373" s="34" t="s">
        <v>95</v>
      </c>
      <c r="Q373" s="33" t="n">
        <f>138700</f>
        <v>138700.0</v>
      </c>
      <c r="R373" s="34" t="s">
        <v>51</v>
      </c>
      <c r="S373" s="35" t="n">
        <f>139600</f>
        <v>139600.0</v>
      </c>
      <c r="T373" s="32" t="n">
        <f>31890</f>
        <v>31890.0</v>
      </c>
      <c r="U373" s="32" t="n">
        <f>5657</f>
        <v>5657.0</v>
      </c>
      <c r="V373" s="32" t="n">
        <f>4443167884</f>
        <v>4.443167884E9</v>
      </c>
      <c r="W373" s="32" t="n">
        <f>790690784</f>
        <v>7.90690784E8</v>
      </c>
      <c r="X373" s="36" t="n">
        <f>22</f>
        <v>22.0</v>
      </c>
    </row>
    <row r="374">
      <c r="A374" s="27" t="s">
        <v>42</v>
      </c>
      <c r="B374" s="27" t="s">
        <v>1178</v>
      </c>
      <c r="C374" s="27" t="s">
        <v>1179</v>
      </c>
      <c r="D374" s="27" t="s">
        <v>1180</v>
      </c>
      <c r="E374" s="28" t="s">
        <v>46</v>
      </c>
      <c r="F374" s="29" t="s">
        <v>46</v>
      </c>
      <c r="G374" s="30" t="s">
        <v>46</v>
      </c>
      <c r="H374" s="31"/>
      <c r="I374" s="31" t="s">
        <v>593</v>
      </c>
      <c r="J374" s="32" t="n">
        <v>1.0</v>
      </c>
      <c r="K374" s="33" t="n">
        <f>237200</f>
        <v>237200.0</v>
      </c>
      <c r="L374" s="34" t="s">
        <v>48</v>
      </c>
      <c r="M374" s="33" t="n">
        <f>239500</f>
        <v>239500.0</v>
      </c>
      <c r="N374" s="34" t="s">
        <v>61</v>
      </c>
      <c r="O374" s="33" t="n">
        <f>220100</f>
        <v>220100.0</v>
      </c>
      <c r="P374" s="34" t="s">
        <v>456</v>
      </c>
      <c r="Q374" s="33" t="n">
        <f>227800</f>
        <v>227800.0</v>
      </c>
      <c r="R374" s="34" t="s">
        <v>51</v>
      </c>
      <c r="S374" s="35" t="n">
        <f>231481.82</f>
        <v>231481.82</v>
      </c>
      <c r="T374" s="32" t="n">
        <f>18592</f>
        <v>18592.0</v>
      </c>
      <c r="U374" s="32" t="n">
        <f>3404</f>
        <v>3404.0</v>
      </c>
      <c r="V374" s="32" t="n">
        <f>4282077229</f>
        <v>4.282077229E9</v>
      </c>
      <c r="W374" s="32" t="n">
        <f>786953329</f>
        <v>7.86953329E8</v>
      </c>
      <c r="X374" s="36" t="n">
        <f>22</f>
        <v>22.0</v>
      </c>
    </row>
    <row r="375">
      <c r="A375" s="27" t="s">
        <v>42</v>
      </c>
      <c r="B375" s="27" t="s">
        <v>1181</v>
      </c>
      <c r="C375" s="27" t="s">
        <v>1182</v>
      </c>
      <c r="D375" s="27" t="s">
        <v>1183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281100</f>
        <v>281100.0</v>
      </c>
      <c r="L375" s="34" t="s">
        <v>48</v>
      </c>
      <c r="M375" s="33" t="n">
        <f>281700</f>
        <v>281700.0</v>
      </c>
      <c r="N375" s="34" t="s">
        <v>48</v>
      </c>
      <c r="O375" s="33" t="n">
        <f>263500</f>
        <v>263500.0</v>
      </c>
      <c r="P375" s="34" t="s">
        <v>456</v>
      </c>
      <c r="Q375" s="33" t="n">
        <f>271500</f>
        <v>271500.0</v>
      </c>
      <c r="R375" s="34" t="s">
        <v>51</v>
      </c>
      <c r="S375" s="35" t="n">
        <f>273172.73</f>
        <v>273172.73</v>
      </c>
      <c r="T375" s="32" t="n">
        <f>122728</f>
        <v>122728.0</v>
      </c>
      <c r="U375" s="32" t="n">
        <f>23811</f>
        <v>23811.0</v>
      </c>
      <c r="V375" s="32" t="n">
        <f>33478601875</f>
        <v>3.3478601875E10</v>
      </c>
      <c r="W375" s="32" t="n">
        <f>6497267275</f>
        <v>6.497267275E9</v>
      </c>
      <c r="X375" s="36" t="n">
        <f>22</f>
        <v>22.0</v>
      </c>
    </row>
    <row r="376">
      <c r="A376" s="27" t="s">
        <v>42</v>
      </c>
      <c r="B376" s="27" t="s">
        <v>1184</v>
      </c>
      <c r="C376" s="27" t="s">
        <v>1185</v>
      </c>
      <c r="D376" s="27" t="s">
        <v>1186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76800</f>
        <v>76800.0</v>
      </c>
      <c r="L376" s="34" t="s">
        <v>48</v>
      </c>
      <c r="M376" s="33" t="n">
        <f>79500</f>
        <v>79500.0</v>
      </c>
      <c r="N376" s="34" t="s">
        <v>66</v>
      </c>
      <c r="O376" s="33" t="n">
        <f>66600</f>
        <v>66600.0</v>
      </c>
      <c r="P376" s="34" t="s">
        <v>456</v>
      </c>
      <c r="Q376" s="33" t="n">
        <f>75100</f>
        <v>75100.0</v>
      </c>
      <c r="R376" s="34" t="s">
        <v>51</v>
      </c>
      <c r="S376" s="35" t="n">
        <f>73631.82</f>
        <v>73631.82</v>
      </c>
      <c r="T376" s="32" t="n">
        <f>740233</f>
        <v>740233.0</v>
      </c>
      <c r="U376" s="32" t="n">
        <f>196210</f>
        <v>196210.0</v>
      </c>
      <c r="V376" s="32" t="n">
        <f>54126704564</f>
        <v>5.4126704564E10</v>
      </c>
      <c r="W376" s="32" t="n">
        <f>14314942864</f>
        <v>1.4314942864E10</v>
      </c>
      <c r="X376" s="36" t="n">
        <f>22</f>
        <v>22.0</v>
      </c>
    </row>
    <row r="377">
      <c r="A377" s="27" t="s">
        <v>42</v>
      </c>
      <c r="B377" s="27" t="s">
        <v>1187</v>
      </c>
      <c r="C377" s="27" t="s">
        <v>1188</v>
      </c>
      <c r="D377" s="27" t="s">
        <v>1189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113000</f>
        <v>113000.0</v>
      </c>
      <c r="L377" s="34" t="s">
        <v>48</v>
      </c>
      <c r="M377" s="33" t="n">
        <f>113700</f>
        <v>113700.0</v>
      </c>
      <c r="N377" s="34" t="s">
        <v>520</v>
      </c>
      <c r="O377" s="33" t="n">
        <f>106000</f>
        <v>106000.0</v>
      </c>
      <c r="P377" s="34" t="s">
        <v>62</v>
      </c>
      <c r="Q377" s="33" t="n">
        <f>108900</f>
        <v>108900.0</v>
      </c>
      <c r="R377" s="34" t="s">
        <v>51</v>
      </c>
      <c r="S377" s="35" t="n">
        <f>110263.64</f>
        <v>110263.64</v>
      </c>
      <c r="T377" s="32" t="n">
        <f>119090</f>
        <v>119090.0</v>
      </c>
      <c r="U377" s="32" t="n">
        <f>29219</f>
        <v>29219.0</v>
      </c>
      <c r="V377" s="32" t="n">
        <f>13103476834</f>
        <v>1.3103476834E10</v>
      </c>
      <c r="W377" s="32" t="n">
        <f>3233350334</f>
        <v>3.233350334E9</v>
      </c>
      <c r="X377" s="36" t="n">
        <f>22</f>
        <v>22.0</v>
      </c>
    </row>
    <row r="378">
      <c r="A378" s="27" t="s">
        <v>42</v>
      </c>
      <c r="B378" s="27" t="s">
        <v>1190</v>
      </c>
      <c r="C378" s="27" t="s">
        <v>1191</v>
      </c>
      <c r="D378" s="27" t="s">
        <v>1192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121500</f>
        <v>121500.0</v>
      </c>
      <c r="L378" s="34" t="s">
        <v>48</v>
      </c>
      <c r="M378" s="33" t="n">
        <f>122600</f>
        <v>122600.0</v>
      </c>
      <c r="N378" s="34" t="s">
        <v>94</v>
      </c>
      <c r="O378" s="33" t="n">
        <f>116900</f>
        <v>116900.0</v>
      </c>
      <c r="P378" s="34" t="s">
        <v>50</v>
      </c>
      <c r="Q378" s="33" t="n">
        <f>119900</f>
        <v>119900.0</v>
      </c>
      <c r="R378" s="34" t="s">
        <v>51</v>
      </c>
      <c r="S378" s="35" t="n">
        <f>119640.91</f>
        <v>119640.91</v>
      </c>
      <c r="T378" s="32" t="n">
        <f>86429</f>
        <v>86429.0</v>
      </c>
      <c r="U378" s="32" t="n">
        <f>19484</f>
        <v>19484.0</v>
      </c>
      <c r="V378" s="32" t="n">
        <f>10326952945</f>
        <v>1.0326952945E10</v>
      </c>
      <c r="W378" s="32" t="n">
        <f>2329995845</f>
        <v>2.329995845E9</v>
      </c>
      <c r="X378" s="36" t="n">
        <f>22</f>
        <v>22.0</v>
      </c>
    </row>
    <row r="379">
      <c r="A379" s="27" t="s">
        <v>42</v>
      </c>
      <c r="B379" s="27" t="s">
        <v>1193</v>
      </c>
      <c r="C379" s="27" t="s">
        <v>1194</v>
      </c>
      <c r="D379" s="27" t="s">
        <v>1195</v>
      </c>
      <c r="E379" s="28" t="s">
        <v>46</v>
      </c>
      <c r="F379" s="29" t="s">
        <v>46</v>
      </c>
      <c r="G379" s="30" t="s">
        <v>46</v>
      </c>
      <c r="H379" s="31"/>
      <c r="I379" s="31" t="s">
        <v>593</v>
      </c>
      <c r="J379" s="32" t="n">
        <v>1.0</v>
      </c>
      <c r="K379" s="33" t="n">
        <f>71800</f>
        <v>71800.0</v>
      </c>
      <c r="L379" s="34" t="s">
        <v>48</v>
      </c>
      <c r="M379" s="33" t="n">
        <f>75000</f>
        <v>75000.0</v>
      </c>
      <c r="N379" s="34" t="s">
        <v>51</v>
      </c>
      <c r="O379" s="33" t="n">
        <f>70100</f>
        <v>70100.0</v>
      </c>
      <c r="P379" s="34" t="s">
        <v>95</v>
      </c>
      <c r="Q379" s="33" t="n">
        <f>74000</f>
        <v>74000.0</v>
      </c>
      <c r="R379" s="34" t="s">
        <v>51</v>
      </c>
      <c r="S379" s="35" t="n">
        <f>72245.45</f>
        <v>72245.45</v>
      </c>
      <c r="T379" s="32" t="n">
        <f>3680</f>
        <v>3680.0</v>
      </c>
      <c r="U379" s="32" t="n">
        <f>32</f>
        <v>32.0</v>
      </c>
      <c r="V379" s="32" t="n">
        <f>265551600</f>
        <v>2.655516E8</v>
      </c>
      <c r="W379" s="32" t="n">
        <f>2310300</f>
        <v>2310300.0</v>
      </c>
      <c r="X379" s="36" t="n">
        <f>22</f>
        <v>22.0</v>
      </c>
    </row>
    <row r="380">
      <c r="A380" s="27" t="s">
        <v>42</v>
      </c>
      <c r="B380" s="27" t="s">
        <v>1196</v>
      </c>
      <c r="C380" s="27" t="s">
        <v>1197</v>
      </c>
      <c r="D380" s="27" t="s">
        <v>1198</v>
      </c>
      <c r="E380" s="28" t="s">
        <v>46</v>
      </c>
      <c r="F380" s="29" t="s">
        <v>46</v>
      </c>
      <c r="G380" s="30" t="s">
        <v>46</v>
      </c>
      <c r="H380" s="31"/>
      <c r="I380" s="31" t="s">
        <v>593</v>
      </c>
      <c r="J380" s="32" t="n">
        <v>1.0</v>
      </c>
      <c r="K380" s="33" t="n">
        <f>121700</f>
        <v>121700.0</v>
      </c>
      <c r="L380" s="34" t="s">
        <v>48</v>
      </c>
      <c r="M380" s="33" t="n">
        <f>122600</f>
        <v>122600.0</v>
      </c>
      <c r="N380" s="34" t="s">
        <v>94</v>
      </c>
      <c r="O380" s="33" t="n">
        <f>119200</f>
        <v>119200.0</v>
      </c>
      <c r="P380" s="34" t="s">
        <v>456</v>
      </c>
      <c r="Q380" s="33" t="n">
        <f>122500</f>
        <v>122500.0</v>
      </c>
      <c r="R380" s="34" t="s">
        <v>51</v>
      </c>
      <c r="S380" s="35" t="n">
        <f>121204.55</f>
        <v>121204.55</v>
      </c>
      <c r="T380" s="32" t="n">
        <f>10901</f>
        <v>10901.0</v>
      </c>
      <c r="U380" s="32" t="n">
        <f>222</f>
        <v>222.0</v>
      </c>
      <c r="V380" s="32" t="n">
        <f>1315394563</f>
        <v>1.315394563E9</v>
      </c>
      <c r="W380" s="32" t="n">
        <f>27152163</f>
        <v>2.7152163E7</v>
      </c>
      <c r="X380" s="36" t="n">
        <f>22</f>
        <v>22.0</v>
      </c>
    </row>
    <row r="381">
      <c r="A381" s="27" t="s">
        <v>42</v>
      </c>
      <c r="B381" s="27" t="s">
        <v>1199</v>
      </c>
      <c r="C381" s="27" t="s">
        <v>1200</v>
      </c>
      <c r="D381" s="27" t="s">
        <v>1201</v>
      </c>
      <c r="E381" s="28" t="s">
        <v>46</v>
      </c>
      <c r="F381" s="29" t="s">
        <v>46</v>
      </c>
      <c r="G381" s="30" t="s">
        <v>46</v>
      </c>
      <c r="H381" s="31"/>
      <c r="I381" s="31" t="s">
        <v>593</v>
      </c>
      <c r="J381" s="32" t="n">
        <v>1.0</v>
      </c>
      <c r="K381" s="33" t="n">
        <f>91500</f>
        <v>91500.0</v>
      </c>
      <c r="L381" s="34" t="s">
        <v>48</v>
      </c>
      <c r="M381" s="33" t="n">
        <f>92900</f>
        <v>92900.0</v>
      </c>
      <c r="N381" s="34" t="s">
        <v>51</v>
      </c>
      <c r="O381" s="33" t="n">
        <f>90700</f>
        <v>90700.0</v>
      </c>
      <c r="P381" s="34" t="s">
        <v>50</v>
      </c>
      <c r="Q381" s="33" t="n">
        <f>92900</f>
        <v>92900.0</v>
      </c>
      <c r="R381" s="34" t="s">
        <v>51</v>
      </c>
      <c r="S381" s="35" t="n">
        <f>91586.36</f>
        <v>91586.36</v>
      </c>
      <c r="T381" s="32" t="n">
        <f>5659</f>
        <v>5659.0</v>
      </c>
      <c r="U381" s="32" t="n">
        <f>28</f>
        <v>28.0</v>
      </c>
      <c r="V381" s="32" t="n">
        <f>517454000</f>
        <v>5.17454E8</v>
      </c>
      <c r="W381" s="32" t="n">
        <f>2553900</f>
        <v>2553900.0</v>
      </c>
      <c r="X381" s="36" t="n">
        <f>22</f>
        <v>22.0</v>
      </c>
    </row>
    <row r="382">
      <c r="A382" s="27" t="s">
        <v>42</v>
      </c>
      <c r="B382" s="27" t="s">
        <v>1202</v>
      </c>
      <c r="C382" s="27" t="s">
        <v>1203</v>
      </c>
      <c r="D382" s="27" t="s">
        <v>1204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90800</f>
        <v>90800.0</v>
      </c>
      <c r="L382" s="34" t="s">
        <v>48</v>
      </c>
      <c r="M382" s="33" t="n">
        <f>92500</f>
        <v>92500.0</v>
      </c>
      <c r="N382" s="34" t="s">
        <v>51</v>
      </c>
      <c r="O382" s="33" t="n">
        <f>90000</f>
        <v>90000.0</v>
      </c>
      <c r="P382" s="34" t="s">
        <v>303</v>
      </c>
      <c r="Q382" s="33" t="n">
        <f>92500</f>
        <v>92500.0</v>
      </c>
      <c r="R382" s="34" t="s">
        <v>51</v>
      </c>
      <c r="S382" s="35" t="n">
        <f>90877.27</f>
        <v>90877.27</v>
      </c>
      <c r="T382" s="32" t="n">
        <f>15610</f>
        <v>15610.0</v>
      </c>
      <c r="U382" s="32" t="n">
        <f>11</f>
        <v>11.0</v>
      </c>
      <c r="V382" s="32" t="n">
        <f>1416996500</f>
        <v>1.4169965E9</v>
      </c>
      <c r="W382" s="32" t="n">
        <f>993600</f>
        <v>993600.0</v>
      </c>
      <c r="X382" s="36" t="n">
        <f>22</f>
        <v>22.0</v>
      </c>
    </row>
    <row r="383">
      <c r="A383" s="27" t="s">
        <v>42</v>
      </c>
      <c r="B383" s="27" t="s">
        <v>1205</v>
      </c>
      <c r="C383" s="27" t="s">
        <v>1206</v>
      </c>
      <c r="D383" s="27" t="s">
        <v>1207</v>
      </c>
      <c r="E383" s="28" t="s">
        <v>46</v>
      </c>
      <c r="F383" s="29" t="s">
        <v>46</v>
      </c>
      <c r="G383" s="30" t="s">
        <v>46</v>
      </c>
      <c r="H383" s="31"/>
      <c r="I383" s="31" t="s">
        <v>593</v>
      </c>
      <c r="J383" s="32" t="n">
        <v>1.0</v>
      </c>
      <c r="K383" s="33" t="n">
        <f>90600</f>
        <v>90600.0</v>
      </c>
      <c r="L383" s="34" t="s">
        <v>48</v>
      </c>
      <c r="M383" s="33" t="n">
        <f>91000</f>
        <v>91000.0</v>
      </c>
      <c r="N383" s="34" t="s">
        <v>51</v>
      </c>
      <c r="O383" s="33" t="n">
        <f>89800</f>
        <v>89800.0</v>
      </c>
      <c r="P383" s="34" t="s">
        <v>50</v>
      </c>
      <c r="Q383" s="33" t="n">
        <f>90700</f>
        <v>90700.0</v>
      </c>
      <c r="R383" s="34" t="s">
        <v>51</v>
      </c>
      <c r="S383" s="35" t="n">
        <f>90300</f>
        <v>90300.0</v>
      </c>
      <c r="T383" s="32" t="n">
        <f>25169</f>
        <v>25169.0</v>
      </c>
      <c r="U383" s="32" t="n">
        <f>3513</f>
        <v>3513.0</v>
      </c>
      <c r="V383" s="32" t="n">
        <f>2273332700</f>
        <v>2.2733327E9</v>
      </c>
      <c r="W383" s="32" t="n">
        <f>319675900</f>
        <v>3.196759E8</v>
      </c>
      <c r="X383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