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<sst xmlns="http://schemas.openxmlformats.org/spreadsheetml/2006/main" count="4660" uniqueCount="1220">
  <si>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</si>
  <si>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</si>
  <si>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</si>
  <si>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</si>
  <si>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</si>
  <si>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</si>
  <si>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</si>
  <si>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</si>
  <si>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</si>
  <si>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</si>
  <si>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</si>
  <si>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</si>
  <si>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</si>
  <si>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</si>
  <si>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</si>
  <si>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</si>
  <si>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</si>
  <si>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</si>
  <si>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</si>
  <si>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</si>
  <si>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</si>
  <si>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</si>
  <si>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</si>
  <si>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</si>
  <si>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</si>
  <si>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</si>
  <si>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</si>
  <si>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</si>
  <si>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</si>
  <si>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</si>
  <si>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</si>
  <si>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</si>
  <si>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</si>
  <si>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</si>
  <si>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</si>
  <si>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</si>
  <si>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</si>
  <si>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</si>
  <si>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</si>
  <si>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</si>
  <si>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</si>
  <si>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</si>
  <si>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2023/05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</si>
  <si>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</si>
  <si>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</si>
  <si>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</si>
  <si>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</si>
  <si>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</si>
  <si>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</si>
  <si>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23</t>
  </si>
  <si>
    <t>31</t>
  </si>
  <si>
    <t>1306</t>
  </si>
  <si>
    <t>ＮＥＸＴ　ＦＵＮＤＳ　ＴＯＰＩＸ連動型上場投信　受益証券</t>
  </si>
  <si>
    <t>NEXT FUNDS TOPIX Exchange Traded Fund</t>
  </si>
  <si>
    <t>8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</si>
  <si>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</si>
  <si>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</si>
  <si>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</si>
  <si>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</si>
  <si>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</si>
  <si>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</si>
  <si>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9</t>
  </si>
  <si>
    <t>30</t>
  </si>
  <si>
    <t>1311</t>
  </si>
  <si>
    <t>ＮＥＸＴ　ＦＵＮＤＳ　ＴＯＰＩＸ　Ｃｏｒｅ　３０連動型上場投信　受益証券</t>
  </si>
  <si>
    <t>NEXT FUNDS TOPIX Core 30 Exchange Traded Fund</t>
  </si>
  <si>
    <t>11</t>
  </si>
  <si>
    <t>1319</t>
  </si>
  <si>
    <t>ＮＥＸＴ　ＦＵＮＤＳ　日経３００株価指数連動型上場投信　受益証券</t>
  </si>
  <si>
    <t>NEXT FUNDS Nikkei 300 Index Exchange Traded Fund</t>
  </si>
  <si>
    <t>29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</si>
  <si>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</si>
  <si>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</si>
  <si>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</si>
  <si>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</si>
  <si>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</si>
  <si>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</si>
  <si>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</si>
  <si>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</si>
  <si>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</si>
  <si>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</si>
  <si>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</si>
  <si>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</si>
  <si>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</si>
  <si>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</si>
  <si>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</si>
  <si>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</si>
  <si>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</si>
  <si>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</si>
  <si>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</si>
  <si>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10</t>
  </si>
  <si>
    <t>12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</si>
  <si>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</si>
  <si>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</si>
  <si>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</si>
  <si>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</si>
  <si>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</si>
  <si>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</si>
  <si>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</si>
  <si>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</si>
  <si>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</si>
  <si>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</si>
  <si>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</si>
  <si>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</si>
  <si>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25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</si>
  <si>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</si>
  <si>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</si>
  <si>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</si>
  <si>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</si>
  <si>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</si>
  <si>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</si>
  <si>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</si>
  <si>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</si>
  <si>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</si>
  <si>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</si>
  <si>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</si>
  <si>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</si>
  <si>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</si>
  <si>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</si>
  <si>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</si>
  <si>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</si>
  <si>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</si>
  <si>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</si>
  <si>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</si>
  <si>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</si>
  <si>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</si>
  <si>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</si>
  <si>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</si>
  <si>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</si>
  <si>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</si>
  <si>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</si>
  <si>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</si>
  <si>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</si>
  <si>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</si>
  <si>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</si>
  <si>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</si>
  <si>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</si>
  <si>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</si>
  <si>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</si>
  <si>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</si>
  <si>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</si>
  <si>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</si>
  <si>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</si>
  <si>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</si>
  <si>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</si>
  <si>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</si>
  <si>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</si>
  <si>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</si>
  <si>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</si>
  <si>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</si>
  <si>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確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</si>
  <si>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</si>
  <si>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</si>
  <si>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</si>
  <si>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</si>
  <si>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</si>
  <si>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</si>
  <si>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22</t>
  </si>
  <si>
    <t>1388</t>
  </si>
  <si>
    <t>ＵＢＳ　ＥＴＦ　ユーロ圏小型株（ＭＳＣＩ　ＥＭＵ小型株）　受益証券</t>
  </si>
  <si>
    <t>UBS ETF MSCI EMU Small Cap UCITS ETF-JDR</t>
  </si>
  <si>
    <t>24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</si>
  <si>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</si>
  <si>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</si>
  <si>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</si>
  <si>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</si>
  <si>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</si>
  <si>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</si>
  <si>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26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</si>
  <si>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</si>
  <si>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</si>
  <si>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</si>
  <si>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</si>
  <si>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</si>
  <si>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</si>
  <si>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</si>
  <si>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</si>
  <si>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</si>
  <si>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19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</si>
  <si>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</si>
  <si>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</si>
  <si>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</si>
  <si>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</si>
  <si>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</si>
  <si>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</si>
  <si>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</si>
  <si>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</si>
  <si>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</si>
  <si>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</si>
  <si>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</si>
  <si>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</si>
  <si>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</si>
  <si>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</si>
  <si>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</si>
  <si>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</si>
  <si>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</si>
  <si>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</si>
  <si>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</si>
  <si>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</si>
  <si>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</si>
  <si>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</si>
  <si>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</si>
  <si>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</si>
  <si>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</si>
  <si>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ｉＦｒｅｅＥＴＦ　ＪＰＸ日経４００レバレッジ・インデックス　受益証券</t>
  </si>
  <si>
    <t>iFreeETF JPX-Nikkei400 Leveraged (2x) Index</t>
  </si>
  <si>
    <t>1465</t>
  </si>
  <si>
    <t>ｉＦｒｅｅＥＴＦ　ＪＰＸ日経４００インバース・インデックス　受益証券</t>
  </si>
  <si>
    <t>iFreeETF JPX-Nikkei400 Inverse (-1x)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</si>
  <si>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</si>
  <si>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</si>
  <si>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</si>
  <si>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1467</t>
  </si>
  <si>
    <t>ＪＰＸ日経４００ブル２倍上場投信（レバレッジ）　受益証券</t>
  </si>
  <si>
    <t>JPX-Nikkei 400 Bull 2x Leveraged ETF</t>
  </si>
  <si>
    <t>整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</si>
  <si>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</si>
  <si>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</si>
  <si>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</si>
  <si>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</si>
  <si>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</si>
  <si>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</si>
  <si>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</si>
  <si>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</si>
  <si>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</si>
  <si>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</si>
  <si>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</si>
  <si>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</si>
  <si>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</si>
  <si>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</si>
  <si>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</si>
  <si>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</si>
  <si>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</si>
  <si>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</si>
  <si>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</si>
  <si>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</si>
  <si>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</si>
  <si>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</si>
  <si>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</si>
  <si>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</si>
  <si>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</si>
  <si>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</si>
  <si>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</si>
  <si>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</si>
  <si>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</si>
  <si>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</si>
  <si>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</si>
  <si>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</si>
  <si>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</si>
  <si>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</si>
  <si>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</si>
  <si>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</si>
  <si>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</si>
  <si>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</si>
  <si>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</si>
  <si>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</si>
  <si>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</si>
  <si>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</si>
  <si>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16</t>
  </si>
  <si>
    <t>1484</t>
  </si>
  <si>
    <t>Ｏｎｅ　ＥＴＦ　ＪＰＸ／Ｓ＆Ｐ　設備・人材投資指数　受益証券</t>
  </si>
  <si>
    <t>One ETF JPX/S&amp;P CAPEX &amp; Human Capital Index</t>
  </si>
  <si>
    <t>18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</si>
  <si>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</si>
  <si>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</si>
  <si>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</si>
  <si>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</si>
  <si>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</si>
  <si>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</si>
  <si>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</si>
  <si>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</si>
  <si>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</si>
  <si>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</si>
  <si>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</si>
  <si>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</si>
  <si>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</si>
  <si>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</si>
  <si>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</si>
  <si>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</si>
  <si>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</si>
  <si>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</si>
  <si>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</si>
  <si>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</si>
  <si>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</si>
  <si>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</si>
  <si>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</si>
  <si>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</si>
  <si>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</si>
  <si>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</si>
  <si>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</si>
  <si>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</si>
  <si>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</si>
  <si>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</si>
  <si>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</si>
  <si>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</si>
  <si>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</si>
  <si>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</si>
  <si>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</si>
  <si>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</si>
  <si>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</si>
  <si>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</si>
  <si>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</si>
  <si>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</si>
  <si>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</si>
  <si>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</si>
  <si>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</si>
  <si>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</si>
  <si>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</si>
  <si>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</si>
  <si>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</si>
  <si>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</si>
  <si>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</si>
  <si>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</si>
  <si>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</si>
  <si>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</si>
  <si>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</si>
  <si>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</si>
  <si>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</si>
  <si>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</si>
  <si>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</si>
  <si>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</si>
  <si>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</si>
  <si>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</si>
  <si>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</si>
  <si>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</si>
  <si>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</si>
  <si>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</si>
  <si>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</si>
  <si>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</si>
  <si>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</si>
  <si>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</si>
  <si>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</si>
  <si>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</si>
  <si>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</si>
  <si>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</si>
  <si>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</si>
  <si>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</si>
  <si>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</si>
  <si>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</si>
  <si>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</si>
  <si>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</si>
  <si>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</si>
  <si>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</si>
  <si>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</si>
  <si>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</si>
  <si>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</si>
  <si>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</si>
  <si>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</si>
  <si>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</si>
  <si>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</si>
  <si>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</si>
  <si>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</si>
  <si>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</si>
  <si>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</si>
  <si>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</si>
  <si>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</si>
  <si>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</si>
  <si>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</si>
  <si>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</si>
  <si>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</si>
  <si>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</si>
  <si>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</si>
  <si>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</si>
  <si>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</si>
  <si>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</si>
  <si>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</si>
  <si>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</si>
  <si>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</si>
  <si>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</si>
  <si>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</si>
  <si>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</si>
  <si>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</si>
  <si>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</si>
  <si>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</si>
  <si>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</si>
  <si>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</si>
  <si>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</si>
  <si>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</si>
  <si>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</si>
  <si>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</si>
  <si>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</si>
  <si>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</si>
  <si>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</si>
  <si>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</si>
  <si>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</si>
  <si>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</si>
  <si>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</si>
  <si>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</si>
  <si>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</si>
  <si>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</si>
  <si>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</si>
  <si>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</si>
  <si>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</si>
  <si>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</si>
  <si>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</si>
  <si>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</si>
  <si>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</si>
  <si>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</si>
  <si>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</si>
  <si>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</si>
  <si>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</si>
  <si>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</si>
  <si>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</si>
  <si>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</si>
  <si>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</si>
  <si>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</si>
  <si>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</si>
  <si>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</si>
  <si>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</si>
  <si>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</si>
  <si>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</si>
  <si>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17</t>
  </si>
  <si>
    <t>1599</t>
  </si>
  <si>
    <t>ｉＦｒｅｅＥＴＦ　ＪＰＸ日経４００　受益証券</t>
  </si>
  <si>
    <t>iFreeETF JPX-Nikkei400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</si>
  <si>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</si>
  <si>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</si>
  <si>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</si>
  <si>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</si>
  <si>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</si>
  <si>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</si>
  <si>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</si>
  <si>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</si>
  <si>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</si>
  <si>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</si>
  <si>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</si>
  <si>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</si>
  <si>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</si>
  <si>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</si>
  <si>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</si>
  <si>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</si>
  <si>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</si>
  <si>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</si>
  <si>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</si>
  <si>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</si>
  <si>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</si>
  <si>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</si>
  <si>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</si>
  <si>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</si>
  <si>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</si>
  <si>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</si>
  <si>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</si>
  <si>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</si>
  <si>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</si>
  <si>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</si>
  <si>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</si>
  <si>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</si>
  <si>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</si>
  <si>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</si>
  <si>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</si>
  <si>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</si>
  <si>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</si>
  <si>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</si>
  <si>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</si>
  <si>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</si>
  <si>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</si>
  <si>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</si>
  <si>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</si>
  <si>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</si>
  <si>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</si>
  <si>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</si>
  <si>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</si>
  <si>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</si>
  <si>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</si>
  <si>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</si>
  <si>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</si>
  <si>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</si>
  <si>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</si>
  <si>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</si>
  <si>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</si>
  <si>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</si>
  <si>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</si>
  <si>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</si>
  <si>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</si>
  <si>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</si>
  <si>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</si>
  <si>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</si>
  <si>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</si>
  <si>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</si>
  <si>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</si>
  <si>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</si>
  <si>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</si>
  <si>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</si>
  <si>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</si>
  <si>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</si>
  <si>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</si>
  <si>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</si>
  <si>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</si>
  <si>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</si>
  <si>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</si>
  <si>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</si>
  <si>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</si>
  <si>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</si>
  <si>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</si>
  <si>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</si>
  <si>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</si>
  <si>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</si>
  <si>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</si>
  <si>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</si>
  <si>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</si>
  <si>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</si>
  <si>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</si>
  <si>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</si>
  <si>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</si>
  <si>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</si>
  <si>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</si>
  <si>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</si>
  <si>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</si>
  <si>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</si>
  <si>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</si>
  <si>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</si>
  <si>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</si>
  <si>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</si>
  <si>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</si>
  <si>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</si>
  <si>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</si>
  <si>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</si>
  <si>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</si>
  <si>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</si>
  <si>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</si>
  <si>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</si>
  <si>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</si>
  <si>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</si>
  <si>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</si>
  <si>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</si>
  <si>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</si>
  <si>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</si>
  <si>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</si>
  <si>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</si>
  <si>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</si>
  <si>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</si>
  <si>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</si>
  <si>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</si>
  <si>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</si>
  <si>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</si>
  <si>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</si>
  <si>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</si>
  <si>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</si>
  <si>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</si>
  <si>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</si>
  <si>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</si>
  <si>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</si>
  <si>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</si>
  <si>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</si>
  <si>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</si>
  <si>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</si>
  <si>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</si>
  <si>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</si>
  <si>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</si>
  <si>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</si>
  <si>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</si>
  <si>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</si>
  <si>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</si>
  <si>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</si>
  <si>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</si>
  <si>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</si>
  <si>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</si>
  <si>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</si>
  <si>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</si>
  <si>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</si>
  <si>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</si>
  <si>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</si>
  <si>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</si>
  <si>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</si>
  <si>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</si>
  <si>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</si>
  <si>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</si>
  <si>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</si>
  <si>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</si>
  <si>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</si>
  <si>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</si>
  <si>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</si>
  <si>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</si>
  <si>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</si>
  <si>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</si>
  <si>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</si>
  <si>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</si>
  <si>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</si>
  <si>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</si>
  <si>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</si>
  <si>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</si>
  <si>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</si>
  <si>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</si>
  <si>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</si>
  <si>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</si>
  <si>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</si>
  <si>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</si>
  <si>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</si>
  <si>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</si>
  <si>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</si>
  <si>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</si>
  <si>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</si>
  <si>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</si>
  <si>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</si>
  <si>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</si>
  <si>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</si>
  <si>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</si>
  <si>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</si>
  <si>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</si>
  <si>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</si>
  <si>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</si>
  <si>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</si>
  <si>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</si>
  <si>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</si>
  <si>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</si>
  <si>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</si>
  <si>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</si>
  <si>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</si>
  <si>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</si>
  <si>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</si>
  <si>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</si>
  <si>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</si>
  <si>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</si>
  <si>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</si>
  <si>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</si>
  <si>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</si>
  <si>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</si>
  <si>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</si>
  <si>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</si>
  <si>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</si>
  <si>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</si>
  <si>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</si>
  <si>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</si>
  <si>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</si>
  <si>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</si>
  <si>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</si>
  <si>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</si>
  <si>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</si>
  <si>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</si>
  <si>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</si>
  <si>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</si>
  <si>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</si>
  <si>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</si>
  <si>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</si>
  <si>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</si>
  <si>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</si>
  <si>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</si>
  <si>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</si>
  <si>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</si>
  <si>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</si>
  <si>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</si>
  <si>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</si>
  <si>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</si>
  <si>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</si>
  <si>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</si>
  <si>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</si>
  <si>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</si>
  <si>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</si>
  <si>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</si>
  <si>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</si>
  <si>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</si>
  <si>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</si>
  <si>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</si>
  <si>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</si>
  <si>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</si>
  <si>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</si>
  <si>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</si>
  <si>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</si>
  <si>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</si>
  <si>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</si>
  <si>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</si>
  <si>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</si>
  <si>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</si>
  <si>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</si>
  <si>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</si>
  <si>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</si>
  <si>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</si>
  <si>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</si>
  <si>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</si>
  <si>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</si>
  <si>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</si>
  <si>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</si>
  <si>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</si>
  <si>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</si>
  <si>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</si>
  <si>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</si>
  <si>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</si>
  <si>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</si>
  <si>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</si>
  <si>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</si>
  <si>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</si>
  <si>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</si>
  <si>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</si>
  <si>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</si>
  <si>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</si>
  <si>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</si>
  <si>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</si>
  <si>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</si>
  <si>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</si>
  <si>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</si>
  <si>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</si>
  <si>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</si>
  <si>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</si>
  <si>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</si>
  <si>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</si>
  <si>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</si>
  <si>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</si>
  <si>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</si>
  <si>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</si>
  <si>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</si>
  <si>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</si>
  <si>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</si>
  <si>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</si>
  <si>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</si>
  <si>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 xml:space="preserve">新規上場  </t>
  </si>
  <si>
    <t xml:space="preserve">New Listing  </t>
  </si>
  <si>
    <t xml:space="preserve">2023/05/12  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</si>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</sst>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89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2211.5</f>
        <v>2211.5</v>
      </c>
      <c r="L7" s="34" t="s">
        <v>48</v>
      </c>
      <c r="M7" s="33" t="n">
        <f>2340</f>
        <v>2340.0</v>
      </c>
      <c r="N7" s="34" t="s">
        <v>49</v>
      </c>
      <c r="O7" s="33" t="n">
        <f>2209</f>
        <v>2209.0</v>
      </c>
      <c r="P7" s="34" t="s">
        <v>48</v>
      </c>
      <c r="Q7" s="33" t="n">
        <f>2275.5</f>
        <v>2275.5</v>
      </c>
      <c r="R7" s="34" t="s">
        <v>50</v>
      </c>
      <c r="S7" s="35" t="n">
        <f>2271.53</f>
        <v>2271.53</v>
      </c>
      <c r="T7" s="32" t="n">
        <f>22227930</f>
        <v>2.222793E7</v>
      </c>
      <c r="U7" s="32" t="n">
        <f>16945140</f>
        <v>1.694514E7</v>
      </c>
      <c r="V7" s="32" t="n">
        <f>50977128412</f>
        <v>5.0977128412E10</v>
      </c>
      <c r="W7" s="32" t="n">
        <f>38883427267</f>
        <v>3.8883427267E10</v>
      </c>
      <c r="X7" s="36" t="n">
        <f>20</f>
        <v>20.0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2187.5</f>
        <v>2187.5</v>
      </c>
      <c r="L8" s="34" t="s">
        <v>48</v>
      </c>
      <c r="M8" s="33" t="n">
        <f>2314</f>
        <v>2314.0</v>
      </c>
      <c r="N8" s="34" t="s">
        <v>49</v>
      </c>
      <c r="O8" s="33" t="n">
        <f>2184.5</f>
        <v>2184.5</v>
      </c>
      <c r="P8" s="34" t="s">
        <v>54</v>
      </c>
      <c r="Q8" s="33" t="n">
        <f>2250.5</f>
        <v>2250.5</v>
      </c>
      <c r="R8" s="34" t="s">
        <v>50</v>
      </c>
      <c r="S8" s="35" t="n">
        <f>2246.75</f>
        <v>2246.75</v>
      </c>
      <c r="T8" s="32" t="n">
        <f>37697470</f>
        <v>3.769747E7</v>
      </c>
      <c r="U8" s="32" t="n">
        <f>2499500</f>
        <v>2499500.0</v>
      </c>
      <c r="V8" s="32" t="n">
        <f>84830622438</f>
        <v>8.4830622438E10</v>
      </c>
      <c r="W8" s="32" t="n">
        <f>5630099268</f>
        <v>5.630099268E9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2161.5</f>
        <v>2161.5</v>
      </c>
      <c r="L9" s="34" t="s">
        <v>48</v>
      </c>
      <c r="M9" s="33" t="n">
        <f>2286.5</f>
        <v>2286.5</v>
      </c>
      <c r="N9" s="34" t="s">
        <v>49</v>
      </c>
      <c r="O9" s="33" t="n">
        <f>2160</f>
        <v>2160.0</v>
      </c>
      <c r="P9" s="34" t="s">
        <v>48</v>
      </c>
      <c r="Q9" s="33" t="n">
        <f>2223.5</f>
        <v>2223.5</v>
      </c>
      <c r="R9" s="34" t="s">
        <v>50</v>
      </c>
      <c r="S9" s="35" t="n">
        <f>2220.28</f>
        <v>2220.28</v>
      </c>
      <c r="T9" s="32" t="n">
        <f>7291900</f>
        <v>7291900.0</v>
      </c>
      <c r="U9" s="32" t="n">
        <f>451800</f>
        <v>451800.0</v>
      </c>
      <c r="V9" s="32" t="n">
        <f>16283272340</f>
        <v>1.628327234E10</v>
      </c>
      <c r="W9" s="32" t="n">
        <f>1021340140</f>
        <v>1.02134014E9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40300</f>
        <v>40300.0</v>
      </c>
      <c r="L10" s="34" t="s">
        <v>48</v>
      </c>
      <c r="M10" s="33" t="n">
        <f>40900</f>
        <v>40900.0</v>
      </c>
      <c r="N10" s="34" t="s">
        <v>61</v>
      </c>
      <c r="O10" s="33" t="n">
        <f>38100</f>
        <v>38100.0</v>
      </c>
      <c r="P10" s="34" t="s">
        <v>62</v>
      </c>
      <c r="Q10" s="33" t="n">
        <f>38500</f>
        <v>38500.0</v>
      </c>
      <c r="R10" s="34" t="s">
        <v>50</v>
      </c>
      <c r="S10" s="35" t="n">
        <f>39526.5</f>
        <v>39526.5</v>
      </c>
      <c r="T10" s="32" t="n">
        <f>4336</f>
        <v>4336.0</v>
      </c>
      <c r="U10" s="32" t="str">
        <f>"－"</f>
        <v>－</v>
      </c>
      <c r="V10" s="32" t="n">
        <f>171347620</f>
        <v>1.7134762E8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1013.5</f>
        <v>1013.5</v>
      </c>
      <c r="L11" s="34" t="s">
        <v>48</v>
      </c>
      <c r="M11" s="33" t="n">
        <f>1095</f>
        <v>1095.0</v>
      </c>
      <c r="N11" s="34" t="s">
        <v>49</v>
      </c>
      <c r="O11" s="33" t="n">
        <f>1003</f>
        <v>1003.0</v>
      </c>
      <c r="P11" s="34" t="s">
        <v>66</v>
      </c>
      <c r="Q11" s="33" t="n">
        <f>1078.5</f>
        <v>1078.5</v>
      </c>
      <c r="R11" s="34" t="s">
        <v>50</v>
      </c>
      <c r="S11" s="35" t="n">
        <f>1059.25</f>
        <v>1059.25</v>
      </c>
      <c r="T11" s="32" t="n">
        <f>204640</f>
        <v>204640.0</v>
      </c>
      <c r="U11" s="32" t="n">
        <f>20</f>
        <v>20.0</v>
      </c>
      <c r="V11" s="32" t="n">
        <f>218167165</f>
        <v>2.18167165E8</v>
      </c>
      <c r="W11" s="32" t="n">
        <f>21660</f>
        <v>21660.0</v>
      </c>
      <c r="X11" s="36" t="n">
        <f>20</f>
        <v>20.0</v>
      </c>
    </row>
    <row r="12">
      <c r="A12" s="27" t="s">
        <v>42</v>
      </c>
      <c r="B12" s="27" t="s">
        <v>67</v>
      </c>
      <c r="C12" s="27" t="s">
        <v>68</v>
      </c>
      <c r="D12" s="27" t="s">
        <v>69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356.5</f>
        <v>356.5</v>
      </c>
      <c r="L12" s="34" t="s">
        <v>48</v>
      </c>
      <c r="M12" s="33" t="n">
        <f>376</f>
        <v>376.0</v>
      </c>
      <c r="N12" s="34" t="s">
        <v>70</v>
      </c>
      <c r="O12" s="33" t="n">
        <f>350</f>
        <v>350.0</v>
      </c>
      <c r="P12" s="34" t="s">
        <v>61</v>
      </c>
      <c r="Q12" s="33" t="n">
        <f>372</f>
        <v>372.0</v>
      </c>
      <c r="R12" s="34" t="s">
        <v>50</v>
      </c>
      <c r="S12" s="35" t="n">
        <f>364.61</f>
        <v>364.61</v>
      </c>
      <c r="T12" s="32" t="n">
        <f>55000</f>
        <v>55000.0</v>
      </c>
      <c r="U12" s="32" t="str">
        <f>"－"</f>
        <v>－</v>
      </c>
      <c r="V12" s="32" t="n">
        <f>20088800</f>
        <v>2.00888E7</v>
      </c>
      <c r="W12" s="32" t="str">
        <f>"－"</f>
        <v>－</v>
      </c>
      <c r="X12" s="36" t="n">
        <f>16</f>
        <v>16.0</v>
      </c>
    </row>
    <row r="13">
      <c r="A13" s="27" t="s">
        <v>42</v>
      </c>
      <c r="B13" s="27" t="s">
        <v>71</v>
      </c>
      <c r="C13" s="27" t="s">
        <v>72</v>
      </c>
      <c r="D13" s="27" t="s">
        <v>73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30250</f>
        <v>30250.0</v>
      </c>
      <c r="L13" s="34" t="s">
        <v>48</v>
      </c>
      <c r="M13" s="33" t="n">
        <f>32940</f>
        <v>32940.0</v>
      </c>
      <c r="N13" s="34" t="s">
        <v>70</v>
      </c>
      <c r="O13" s="33" t="n">
        <f>30130</f>
        <v>30130.0</v>
      </c>
      <c r="P13" s="34" t="s">
        <v>54</v>
      </c>
      <c r="Q13" s="33" t="n">
        <f>32170</f>
        <v>32170.0</v>
      </c>
      <c r="R13" s="34" t="s">
        <v>50</v>
      </c>
      <c r="S13" s="35" t="n">
        <f>31411.5</f>
        <v>31411.5</v>
      </c>
      <c r="T13" s="32" t="n">
        <f>2945415</f>
        <v>2945415.0</v>
      </c>
      <c r="U13" s="32" t="n">
        <f>2005233</f>
        <v>2005233.0</v>
      </c>
      <c r="V13" s="32" t="n">
        <f>93032679871</f>
        <v>9.3032679871E10</v>
      </c>
      <c r="W13" s="32" t="n">
        <f>63271882971</f>
        <v>6.3271882971E10</v>
      </c>
      <c r="X13" s="36" t="n">
        <f>20</f>
        <v>20.0</v>
      </c>
    </row>
    <row r="14">
      <c r="A14" s="27" t="s">
        <v>42</v>
      </c>
      <c r="B14" s="27" t="s">
        <v>74</v>
      </c>
      <c r="C14" s="27" t="s">
        <v>75</v>
      </c>
      <c r="D14" s="27" t="s">
        <v>76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30340</f>
        <v>30340.0</v>
      </c>
      <c r="L14" s="34" t="s">
        <v>48</v>
      </c>
      <c r="M14" s="33" t="n">
        <f>33030</f>
        <v>33030.0</v>
      </c>
      <c r="N14" s="34" t="s">
        <v>70</v>
      </c>
      <c r="O14" s="33" t="n">
        <f>30220</f>
        <v>30220.0</v>
      </c>
      <c r="P14" s="34" t="s">
        <v>54</v>
      </c>
      <c r="Q14" s="33" t="n">
        <f>32260</f>
        <v>32260.0</v>
      </c>
      <c r="R14" s="34" t="s">
        <v>50</v>
      </c>
      <c r="S14" s="35" t="n">
        <f>31506</f>
        <v>31506.0</v>
      </c>
      <c r="T14" s="32" t="n">
        <f>7231975</f>
        <v>7231975.0</v>
      </c>
      <c r="U14" s="32" t="n">
        <f>598523</f>
        <v>598523.0</v>
      </c>
      <c r="V14" s="32" t="n">
        <f>229424063573</f>
        <v>2.29424063573E11</v>
      </c>
      <c r="W14" s="32" t="n">
        <f>18931781663</f>
        <v>1.8931781663E10</v>
      </c>
      <c r="X14" s="36" t="n">
        <f>20</f>
        <v>20.0</v>
      </c>
    </row>
    <row r="15">
      <c r="A15" s="27" t="s">
        <v>42</v>
      </c>
      <c r="B15" s="27" t="s">
        <v>77</v>
      </c>
      <c r="C15" s="27" t="s">
        <v>78</v>
      </c>
      <c r="D15" s="27" t="s">
        <v>79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7855</f>
        <v>7855.0</v>
      </c>
      <c r="L15" s="34" t="s">
        <v>48</v>
      </c>
      <c r="M15" s="33" t="n">
        <f>7930</f>
        <v>7930.0</v>
      </c>
      <c r="N15" s="34" t="s">
        <v>80</v>
      </c>
      <c r="O15" s="33" t="n">
        <f>7500</f>
        <v>7500.0</v>
      </c>
      <c r="P15" s="34" t="s">
        <v>50</v>
      </c>
      <c r="Q15" s="33" t="n">
        <f>7500</f>
        <v>7500.0</v>
      </c>
      <c r="R15" s="34" t="s">
        <v>50</v>
      </c>
      <c r="S15" s="35" t="n">
        <f>7710.26</f>
        <v>7710.26</v>
      </c>
      <c r="T15" s="32" t="n">
        <f>7550</f>
        <v>7550.0</v>
      </c>
      <c r="U15" s="32" t="str">
        <f>"－"</f>
        <v>－</v>
      </c>
      <c r="V15" s="32" t="n">
        <f>58321060</f>
        <v>5.832106E7</v>
      </c>
      <c r="W15" s="32" t="str">
        <f>"－"</f>
        <v>－</v>
      </c>
      <c r="X15" s="36" t="n">
        <f>19</f>
        <v>19.0</v>
      </c>
    </row>
    <row r="16">
      <c r="A16" s="27" t="s">
        <v>42</v>
      </c>
      <c r="B16" s="27" t="s">
        <v>81</v>
      </c>
      <c r="C16" s="27" t="s">
        <v>82</v>
      </c>
      <c r="D16" s="27" t="s">
        <v>83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str">
        <f>"－"</f>
        <v>－</v>
      </c>
      <c r="L16" s="34"/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5" t="str">
        <f>"－"</f>
        <v>－</v>
      </c>
      <c r="T16" s="32" t="str">
        <f>"－"</f>
        <v>－</v>
      </c>
      <c r="U16" s="32" t="str">
        <f>"－"</f>
        <v>－</v>
      </c>
      <c r="V16" s="32" t="str">
        <f>"－"</f>
        <v>－</v>
      </c>
      <c r="W16" s="32" t="str">
        <f>"－"</f>
        <v>－</v>
      </c>
      <c r="X16" s="36" t="str">
        <f>"－"</f>
        <v>－</v>
      </c>
    </row>
    <row r="17">
      <c r="A17" s="27" t="s">
        <v>42</v>
      </c>
      <c r="B17" s="27" t="s">
        <v>84</v>
      </c>
      <c r="C17" s="27" t="s">
        <v>85</v>
      </c>
      <c r="D17" s="27" t="s">
        <v>86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100.0</v>
      </c>
      <c r="K17" s="33" t="n">
        <f>200</f>
        <v>200.0</v>
      </c>
      <c r="L17" s="34" t="s">
        <v>48</v>
      </c>
      <c r="M17" s="33" t="n">
        <f>211</f>
        <v>211.0</v>
      </c>
      <c r="N17" s="34" t="s">
        <v>48</v>
      </c>
      <c r="O17" s="33" t="n">
        <f>196</f>
        <v>196.0</v>
      </c>
      <c r="P17" s="34" t="s">
        <v>48</v>
      </c>
      <c r="Q17" s="33" t="n">
        <f>204.2</f>
        <v>204.2</v>
      </c>
      <c r="R17" s="34" t="s">
        <v>50</v>
      </c>
      <c r="S17" s="35" t="n">
        <f>204.82</f>
        <v>204.82</v>
      </c>
      <c r="T17" s="32" t="n">
        <f>496600</f>
        <v>496600.0</v>
      </c>
      <c r="U17" s="32" t="str">
        <f>"－"</f>
        <v>－</v>
      </c>
      <c r="V17" s="32" t="n">
        <f>101957590</f>
        <v>1.0195759E8</v>
      </c>
      <c r="W17" s="32" t="str">
        <f>"－"</f>
        <v>－</v>
      </c>
      <c r="X17" s="36" t="n">
        <f>20</f>
        <v>20.0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25175</f>
        <v>25175.0</v>
      </c>
      <c r="L18" s="34" t="s">
        <v>48</v>
      </c>
      <c r="M18" s="33" t="n">
        <f>25610</f>
        <v>25610.0</v>
      </c>
      <c r="N18" s="34" t="s">
        <v>90</v>
      </c>
      <c r="O18" s="33" t="n">
        <f>25130</f>
        <v>25130.0</v>
      </c>
      <c r="P18" s="34" t="s">
        <v>91</v>
      </c>
      <c r="Q18" s="33" t="n">
        <f>25450</f>
        <v>25450.0</v>
      </c>
      <c r="R18" s="34" t="s">
        <v>50</v>
      </c>
      <c r="S18" s="35" t="n">
        <f>25341.75</f>
        <v>25341.75</v>
      </c>
      <c r="T18" s="32" t="n">
        <f>132676</f>
        <v>132676.0</v>
      </c>
      <c r="U18" s="32" t="n">
        <f>101</f>
        <v>101.0</v>
      </c>
      <c r="V18" s="32" t="n">
        <f>3360236115</f>
        <v>3.360236115E9</v>
      </c>
      <c r="W18" s="32" t="n">
        <f>2441000</f>
        <v>2441000.0</v>
      </c>
      <c r="X18" s="36" t="n">
        <f>20</f>
        <v>20.0</v>
      </c>
    </row>
    <row r="19">
      <c r="A19" s="27" t="s">
        <v>42</v>
      </c>
      <c r="B19" s="27" t="s">
        <v>92</v>
      </c>
      <c r="C19" s="27" t="s">
        <v>93</v>
      </c>
      <c r="D19" s="27" t="s">
        <v>94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10.0</v>
      </c>
      <c r="K19" s="33" t="n">
        <f>6719</f>
        <v>6719.0</v>
      </c>
      <c r="L19" s="34" t="s">
        <v>48</v>
      </c>
      <c r="M19" s="33" t="n">
        <f>6851</f>
        <v>6851.0</v>
      </c>
      <c r="N19" s="34" t="s">
        <v>90</v>
      </c>
      <c r="O19" s="33" t="n">
        <f>6713</f>
        <v>6713.0</v>
      </c>
      <c r="P19" s="34" t="s">
        <v>48</v>
      </c>
      <c r="Q19" s="33" t="n">
        <f>6793</f>
        <v>6793.0</v>
      </c>
      <c r="R19" s="34" t="s">
        <v>50</v>
      </c>
      <c r="S19" s="35" t="n">
        <f>6772.45</f>
        <v>6772.45</v>
      </c>
      <c r="T19" s="32" t="n">
        <f>251620</f>
        <v>251620.0</v>
      </c>
      <c r="U19" s="32" t="n">
        <f>8220</f>
        <v>8220.0</v>
      </c>
      <c r="V19" s="32" t="n">
        <f>1702422710</f>
        <v>1.70242271E9</v>
      </c>
      <c r="W19" s="32" t="n">
        <f>55587290</f>
        <v>5.558729E7</v>
      </c>
      <c r="X19" s="36" t="n">
        <f>20</f>
        <v>20.0</v>
      </c>
    </row>
    <row r="20">
      <c r="A20" s="27" t="s">
        <v>42</v>
      </c>
      <c r="B20" s="27" t="s">
        <v>95</v>
      </c>
      <c r="C20" s="27" t="s">
        <v>96</v>
      </c>
      <c r="D20" s="27" t="s">
        <v>97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30230</f>
        <v>30230.0</v>
      </c>
      <c r="L20" s="34" t="s">
        <v>48</v>
      </c>
      <c r="M20" s="33" t="n">
        <f>32920</f>
        <v>32920.0</v>
      </c>
      <c r="N20" s="34" t="s">
        <v>70</v>
      </c>
      <c r="O20" s="33" t="n">
        <f>30120</f>
        <v>30120.0</v>
      </c>
      <c r="P20" s="34" t="s">
        <v>54</v>
      </c>
      <c r="Q20" s="33" t="n">
        <f>32160</f>
        <v>32160.0</v>
      </c>
      <c r="R20" s="34" t="s">
        <v>50</v>
      </c>
      <c r="S20" s="35" t="n">
        <f>31396.5</f>
        <v>31396.5</v>
      </c>
      <c r="T20" s="32" t="n">
        <f>1004983</f>
        <v>1004983.0</v>
      </c>
      <c r="U20" s="32" t="n">
        <f>407850</f>
        <v>407850.0</v>
      </c>
      <c r="V20" s="32" t="n">
        <f>31873660589</f>
        <v>3.1873660589E10</v>
      </c>
      <c r="W20" s="32" t="n">
        <f>13022507569</f>
        <v>1.3022507569E10</v>
      </c>
      <c r="X20" s="36" t="n">
        <f>20</f>
        <v>20.0</v>
      </c>
    </row>
    <row r="21">
      <c r="A21" s="27" t="s">
        <v>42</v>
      </c>
      <c r="B21" s="27" t="s">
        <v>98</v>
      </c>
      <c r="C21" s="27" t="s">
        <v>99</v>
      </c>
      <c r="D21" s="27" t="s">
        <v>100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10.0</v>
      </c>
      <c r="K21" s="33" t="n">
        <f>30350</f>
        <v>30350.0</v>
      </c>
      <c r="L21" s="34" t="s">
        <v>48</v>
      </c>
      <c r="M21" s="33" t="n">
        <f>33050</f>
        <v>33050.0</v>
      </c>
      <c r="N21" s="34" t="s">
        <v>70</v>
      </c>
      <c r="O21" s="33" t="n">
        <f>30250</f>
        <v>30250.0</v>
      </c>
      <c r="P21" s="34" t="s">
        <v>54</v>
      </c>
      <c r="Q21" s="33" t="n">
        <f>32300</f>
        <v>32300.0</v>
      </c>
      <c r="R21" s="34" t="s">
        <v>50</v>
      </c>
      <c r="S21" s="35" t="n">
        <f>31527</f>
        <v>31527.0</v>
      </c>
      <c r="T21" s="32" t="n">
        <f>1680980</f>
        <v>1680980.0</v>
      </c>
      <c r="U21" s="32" t="n">
        <f>931600</f>
        <v>931600.0</v>
      </c>
      <c r="V21" s="32" t="n">
        <f>53164319758</f>
        <v>5.3164319758E10</v>
      </c>
      <c r="W21" s="32" t="n">
        <f>29464601358</f>
        <v>2.9464601358E10</v>
      </c>
      <c r="X21" s="36" t="n">
        <f>20</f>
        <v>20.0</v>
      </c>
    </row>
    <row r="22">
      <c r="A22" s="27" t="s">
        <v>42</v>
      </c>
      <c r="B22" s="27" t="s">
        <v>101</v>
      </c>
      <c r="C22" s="27" t="s">
        <v>102</v>
      </c>
      <c r="D22" s="27" t="s">
        <v>103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2030</f>
        <v>2030.0</v>
      </c>
      <c r="L22" s="34" t="s">
        <v>48</v>
      </c>
      <c r="M22" s="33" t="n">
        <f>2040.5</f>
        <v>2040.5</v>
      </c>
      <c r="N22" s="34" t="s">
        <v>54</v>
      </c>
      <c r="O22" s="33" t="n">
        <f>1966.5</f>
        <v>1966.5</v>
      </c>
      <c r="P22" s="34" t="s">
        <v>104</v>
      </c>
      <c r="Q22" s="33" t="n">
        <f>2002</f>
        <v>2002.0</v>
      </c>
      <c r="R22" s="34" t="s">
        <v>50</v>
      </c>
      <c r="S22" s="35" t="n">
        <f>2002.63</f>
        <v>2002.63</v>
      </c>
      <c r="T22" s="32" t="n">
        <f>9892280</f>
        <v>9892280.0</v>
      </c>
      <c r="U22" s="32" t="n">
        <f>2578230</f>
        <v>2578230.0</v>
      </c>
      <c r="V22" s="32" t="n">
        <f>19858277207</f>
        <v>1.9858277207E10</v>
      </c>
      <c r="W22" s="32" t="n">
        <f>5208885047</f>
        <v>5.208885047E9</v>
      </c>
      <c r="X22" s="36" t="n">
        <f>20</f>
        <v>20.0</v>
      </c>
    </row>
    <row r="23">
      <c r="A23" s="27" t="s">
        <v>42</v>
      </c>
      <c r="B23" s="27" t="s">
        <v>105</v>
      </c>
      <c r="C23" s="27" t="s">
        <v>106</v>
      </c>
      <c r="D23" s="27" t="s">
        <v>107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1899.5</f>
        <v>1899.5</v>
      </c>
      <c r="L23" s="34" t="s">
        <v>48</v>
      </c>
      <c r="M23" s="33" t="n">
        <f>1911</f>
        <v>1911.0</v>
      </c>
      <c r="N23" s="34" t="s">
        <v>61</v>
      </c>
      <c r="O23" s="33" t="n">
        <f>1856</f>
        <v>1856.0</v>
      </c>
      <c r="P23" s="34" t="s">
        <v>104</v>
      </c>
      <c r="Q23" s="33" t="n">
        <f>1893</f>
        <v>1893.0</v>
      </c>
      <c r="R23" s="34" t="s">
        <v>50</v>
      </c>
      <c r="S23" s="35" t="n">
        <f>1886.45</f>
        <v>1886.45</v>
      </c>
      <c r="T23" s="32" t="n">
        <f>1710000</f>
        <v>1710000.0</v>
      </c>
      <c r="U23" s="32" t="n">
        <f>710000</f>
        <v>710000.0</v>
      </c>
      <c r="V23" s="32" t="n">
        <f>3225797313</f>
        <v>3.225797313E9</v>
      </c>
      <c r="W23" s="32" t="n">
        <f>1336415613</f>
        <v>1.336415613E9</v>
      </c>
      <c r="X23" s="36" t="n">
        <f>20</f>
        <v>20.0</v>
      </c>
    </row>
    <row r="24">
      <c r="A24" s="27" t="s">
        <v>42</v>
      </c>
      <c r="B24" s="27" t="s">
        <v>108</v>
      </c>
      <c r="C24" s="27" t="s">
        <v>109</v>
      </c>
      <c r="D24" s="27" t="s">
        <v>110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30170</f>
        <v>30170.0</v>
      </c>
      <c r="L24" s="34" t="s">
        <v>48</v>
      </c>
      <c r="M24" s="33" t="n">
        <f>32850</f>
        <v>32850.0</v>
      </c>
      <c r="N24" s="34" t="s">
        <v>70</v>
      </c>
      <c r="O24" s="33" t="n">
        <f>30060</f>
        <v>30060.0</v>
      </c>
      <c r="P24" s="34" t="s">
        <v>54</v>
      </c>
      <c r="Q24" s="33" t="n">
        <f>32100</f>
        <v>32100.0</v>
      </c>
      <c r="R24" s="34" t="s">
        <v>50</v>
      </c>
      <c r="S24" s="35" t="n">
        <f>31334</f>
        <v>31334.0</v>
      </c>
      <c r="T24" s="32" t="n">
        <f>1418805</f>
        <v>1418805.0</v>
      </c>
      <c r="U24" s="32" t="n">
        <f>884943</f>
        <v>884943.0</v>
      </c>
      <c r="V24" s="32" t="n">
        <f>44884546176</f>
        <v>4.4884546176E10</v>
      </c>
      <c r="W24" s="32" t="n">
        <f>28172295736</f>
        <v>2.8172295736E10</v>
      </c>
      <c r="X24" s="36" t="n">
        <f>20</f>
        <v>20.0</v>
      </c>
    </row>
    <row r="25">
      <c r="A25" s="27" t="s">
        <v>42</v>
      </c>
      <c r="B25" s="27" t="s">
        <v>111</v>
      </c>
      <c r="C25" s="27" t="s">
        <v>112</v>
      </c>
      <c r="D25" s="27" t="s">
        <v>113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2162.5</f>
        <v>2162.5</v>
      </c>
      <c r="L25" s="34" t="s">
        <v>48</v>
      </c>
      <c r="M25" s="33" t="n">
        <f>2287.5</f>
        <v>2287.5</v>
      </c>
      <c r="N25" s="34" t="s">
        <v>49</v>
      </c>
      <c r="O25" s="33" t="n">
        <f>2160.5</f>
        <v>2160.5</v>
      </c>
      <c r="P25" s="34" t="s">
        <v>48</v>
      </c>
      <c r="Q25" s="33" t="n">
        <f>2225.5</f>
        <v>2225.5</v>
      </c>
      <c r="R25" s="34" t="s">
        <v>50</v>
      </c>
      <c r="S25" s="35" t="n">
        <f>2221.43</f>
        <v>2221.43</v>
      </c>
      <c r="T25" s="32" t="n">
        <f>4236370</f>
        <v>4236370.0</v>
      </c>
      <c r="U25" s="32" t="n">
        <f>1044700</f>
        <v>1044700.0</v>
      </c>
      <c r="V25" s="32" t="n">
        <f>9431587985</f>
        <v>9.431587985E9</v>
      </c>
      <c r="W25" s="32" t="n">
        <f>2294623320</f>
        <v>2.29462332E9</v>
      </c>
      <c r="X25" s="36" t="n">
        <f>20</f>
        <v>20.0</v>
      </c>
    </row>
    <row r="26">
      <c r="A26" s="27" t="s">
        <v>42</v>
      </c>
      <c r="B26" s="27" t="s">
        <v>114</v>
      </c>
      <c r="C26" s="27" t="s">
        <v>115</v>
      </c>
      <c r="D26" s="27" t="s">
        <v>116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14825</f>
        <v>14825.0</v>
      </c>
      <c r="L26" s="34" t="s">
        <v>48</v>
      </c>
      <c r="M26" s="33" t="n">
        <f>15195</f>
        <v>15195.0</v>
      </c>
      <c r="N26" s="34" t="s">
        <v>70</v>
      </c>
      <c r="O26" s="33" t="n">
        <f>14825</f>
        <v>14825.0</v>
      </c>
      <c r="P26" s="34" t="s">
        <v>48</v>
      </c>
      <c r="Q26" s="33" t="n">
        <f>15010</f>
        <v>15010.0</v>
      </c>
      <c r="R26" s="34" t="s">
        <v>50</v>
      </c>
      <c r="S26" s="35" t="n">
        <f>15000</f>
        <v>15000.0</v>
      </c>
      <c r="T26" s="32" t="n">
        <f>566</f>
        <v>566.0</v>
      </c>
      <c r="U26" s="32" t="str">
        <f>"－"</f>
        <v>－</v>
      </c>
      <c r="V26" s="32" t="n">
        <f>8487345</f>
        <v>8487345.0</v>
      </c>
      <c r="W26" s="32" t="str">
        <f>"－"</f>
        <v>－</v>
      </c>
      <c r="X26" s="36" t="n">
        <f>16</f>
        <v>16.0</v>
      </c>
    </row>
    <row r="27">
      <c r="A27" s="27" t="s">
        <v>42</v>
      </c>
      <c r="B27" s="27" t="s">
        <v>117</v>
      </c>
      <c r="C27" s="27" t="s">
        <v>118</v>
      </c>
      <c r="D27" s="27" t="s">
        <v>119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763.3</f>
        <v>763.3</v>
      </c>
      <c r="L27" s="34" t="s">
        <v>48</v>
      </c>
      <c r="M27" s="33" t="n">
        <f>764.8</f>
        <v>764.8</v>
      </c>
      <c r="N27" s="34" t="s">
        <v>48</v>
      </c>
      <c r="O27" s="33" t="n">
        <f>680.8</f>
        <v>680.8</v>
      </c>
      <c r="P27" s="34" t="s">
        <v>49</v>
      </c>
      <c r="Q27" s="33" t="n">
        <f>719.9</f>
        <v>719.9</v>
      </c>
      <c r="R27" s="34" t="s">
        <v>50</v>
      </c>
      <c r="S27" s="35" t="n">
        <f>723.22</f>
        <v>723.22</v>
      </c>
      <c r="T27" s="32" t="n">
        <f>14118460</f>
        <v>1.411846E7</v>
      </c>
      <c r="U27" s="32" t="n">
        <f>260</f>
        <v>260.0</v>
      </c>
      <c r="V27" s="32" t="n">
        <f>10093202798</f>
        <v>1.0093202798E10</v>
      </c>
      <c r="W27" s="32" t="n">
        <f>195412</f>
        <v>195412.0</v>
      </c>
      <c r="X27" s="36" t="n">
        <f>20</f>
        <v>20.0</v>
      </c>
    </row>
    <row r="28">
      <c r="A28" s="27" t="s">
        <v>42</v>
      </c>
      <c r="B28" s="27" t="s">
        <v>120</v>
      </c>
      <c r="C28" s="27" t="s">
        <v>121</v>
      </c>
      <c r="D28" s="27" t="s">
        <v>122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303</f>
        <v>303.0</v>
      </c>
      <c r="L28" s="34" t="s">
        <v>48</v>
      </c>
      <c r="M28" s="33" t="n">
        <f>305</f>
        <v>305.0</v>
      </c>
      <c r="N28" s="34" t="s">
        <v>54</v>
      </c>
      <c r="O28" s="33" t="n">
        <f>253</f>
        <v>253.0</v>
      </c>
      <c r="P28" s="34" t="s">
        <v>70</v>
      </c>
      <c r="Q28" s="33" t="n">
        <f>266</f>
        <v>266.0</v>
      </c>
      <c r="R28" s="34" t="s">
        <v>50</v>
      </c>
      <c r="S28" s="35" t="n">
        <f>280.35</f>
        <v>280.35</v>
      </c>
      <c r="T28" s="32" t="n">
        <f>1370842996</f>
        <v>1.370842996E9</v>
      </c>
      <c r="U28" s="32" t="n">
        <f>6668951</f>
        <v>6668951.0</v>
      </c>
      <c r="V28" s="32" t="n">
        <f>379706589267</f>
        <v>3.79706589267E11</v>
      </c>
      <c r="W28" s="32" t="n">
        <f>1847897956</f>
        <v>1.847897956E9</v>
      </c>
      <c r="X28" s="36" t="n">
        <f>20</f>
        <v>20.0</v>
      </c>
    </row>
    <row r="29">
      <c r="A29" s="27" t="s">
        <v>42</v>
      </c>
      <c r="B29" s="27" t="s">
        <v>123</v>
      </c>
      <c r="C29" s="27" t="s">
        <v>124</v>
      </c>
      <c r="D29" s="27" t="s">
        <v>125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29730</f>
        <v>29730.0</v>
      </c>
      <c r="L29" s="34" t="s">
        <v>48</v>
      </c>
      <c r="M29" s="33" t="n">
        <f>35010</f>
        <v>35010.0</v>
      </c>
      <c r="N29" s="34" t="s">
        <v>70</v>
      </c>
      <c r="O29" s="33" t="n">
        <f>29465</f>
        <v>29465.0</v>
      </c>
      <c r="P29" s="34" t="s">
        <v>54</v>
      </c>
      <c r="Q29" s="33" t="n">
        <f>33510</f>
        <v>33510.0</v>
      </c>
      <c r="R29" s="34" t="s">
        <v>50</v>
      </c>
      <c r="S29" s="35" t="n">
        <f>31991.5</f>
        <v>31991.5</v>
      </c>
      <c r="T29" s="32" t="n">
        <f>313160</f>
        <v>313160.0</v>
      </c>
      <c r="U29" s="32" t="n">
        <f>4</f>
        <v>4.0</v>
      </c>
      <c r="V29" s="32" t="n">
        <f>10132188290</f>
        <v>1.013218829E10</v>
      </c>
      <c r="W29" s="32" t="n">
        <f>120280</f>
        <v>120280.0</v>
      </c>
      <c r="X29" s="36" t="n">
        <f>20</f>
        <v>20.0</v>
      </c>
    </row>
    <row r="30">
      <c r="A30" s="27" t="s">
        <v>42</v>
      </c>
      <c r="B30" s="27" t="s">
        <v>126</v>
      </c>
      <c r="C30" s="27" t="s">
        <v>127</v>
      </c>
      <c r="D30" s="27" t="s">
        <v>128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738.2</f>
        <v>738.2</v>
      </c>
      <c r="L30" s="34" t="s">
        <v>48</v>
      </c>
      <c r="M30" s="33" t="n">
        <f>743.4</f>
        <v>743.4</v>
      </c>
      <c r="N30" s="34" t="s">
        <v>54</v>
      </c>
      <c r="O30" s="33" t="n">
        <f>621</f>
        <v>621.0</v>
      </c>
      <c r="P30" s="34" t="s">
        <v>70</v>
      </c>
      <c r="Q30" s="33" t="n">
        <f>649.3</f>
        <v>649.3</v>
      </c>
      <c r="R30" s="34" t="s">
        <v>50</v>
      </c>
      <c r="S30" s="35" t="n">
        <f>684.9</f>
        <v>684.9</v>
      </c>
      <c r="T30" s="32" t="n">
        <f>350425830</f>
        <v>3.5042583E8</v>
      </c>
      <c r="U30" s="32" t="n">
        <f>287150</f>
        <v>287150.0</v>
      </c>
      <c r="V30" s="32" t="n">
        <f>235727783049</f>
        <v>2.35727783049E11</v>
      </c>
      <c r="W30" s="32" t="n">
        <f>201635930</f>
        <v>2.0163593E8</v>
      </c>
      <c r="X30" s="36" t="n">
        <f>20</f>
        <v>20.0</v>
      </c>
    </row>
    <row r="31">
      <c r="A31" s="27" t="s">
        <v>42</v>
      </c>
      <c r="B31" s="27" t="s">
        <v>129</v>
      </c>
      <c r="C31" s="27" t="s">
        <v>130</v>
      </c>
      <c r="D31" s="27" t="s">
        <v>131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19140</f>
        <v>19140.0</v>
      </c>
      <c r="L31" s="34" t="s">
        <v>48</v>
      </c>
      <c r="M31" s="33" t="n">
        <f>20415</f>
        <v>20415.0</v>
      </c>
      <c r="N31" s="34" t="s">
        <v>49</v>
      </c>
      <c r="O31" s="33" t="n">
        <f>19020</f>
        <v>19020.0</v>
      </c>
      <c r="P31" s="34" t="s">
        <v>91</v>
      </c>
      <c r="Q31" s="33" t="n">
        <f>19850</f>
        <v>19850.0</v>
      </c>
      <c r="R31" s="34" t="s">
        <v>50</v>
      </c>
      <c r="S31" s="35" t="n">
        <f>19758.75</f>
        <v>19758.75</v>
      </c>
      <c r="T31" s="32" t="n">
        <f>10799</f>
        <v>10799.0</v>
      </c>
      <c r="U31" s="32" t="n">
        <f>6</f>
        <v>6.0</v>
      </c>
      <c r="V31" s="32" t="n">
        <f>215279000</f>
        <v>2.15279E8</v>
      </c>
      <c r="W31" s="32" t="n">
        <f>117150</f>
        <v>117150.0</v>
      </c>
      <c r="X31" s="36" t="n">
        <f>20</f>
        <v>20.0</v>
      </c>
    </row>
    <row r="32">
      <c r="A32" s="27" t="s">
        <v>42</v>
      </c>
      <c r="B32" s="27" t="s">
        <v>132</v>
      </c>
      <c r="C32" s="27" t="s">
        <v>133</v>
      </c>
      <c r="D32" s="27" t="s">
        <v>134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24685</f>
        <v>24685.0</v>
      </c>
      <c r="L32" s="34" t="s">
        <v>48</v>
      </c>
      <c r="M32" s="33" t="n">
        <f>29100</f>
        <v>29100.0</v>
      </c>
      <c r="N32" s="34" t="s">
        <v>70</v>
      </c>
      <c r="O32" s="33" t="n">
        <f>24485</f>
        <v>24485.0</v>
      </c>
      <c r="P32" s="34" t="s">
        <v>54</v>
      </c>
      <c r="Q32" s="33" t="n">
        <f>27865</f>
        <v>27865.0</v>
      </c>
      <c r="R32" s="34" t="s">
        <v>50</v>
      </c>
      <c r="S32" s="35" t="n">
        <f>26593.25</f>
        <v>26593.25</v>
      </c>
      <c r="T32" s="32" t="n">
        <f>663326</f>
        <v>663326.0</v>
      </c>
      <c r="U32" s="32" t="n">
        <f>7</f>
        <v>7.0</v>
      </c>
      <c r="V32" s="32" t="n">
        <f>17951960455</f>
        <v>1.7951960455E10</v>
      </c>
      <c r="W32" s="32" t="n">
        <f>174930</f>
        <v>174930.0</v>
      </c>
      <c r="X32" s="36" t="n">
        <f>20</f>
        <v>20.0</v>
      </c>
    </row>
    <row r="33">
      <c r="A33" s="27" t="s">
        <v>42</v>
      </c>
      <c r="B33" s="27" t="s">
        <v>135</v>
      </c>
      <c r="C33" s="27" t="s">
        <v>136</v>
      </c>
      <c r="D33" s="27" t="s">
        <v>137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785</f>
        <v>785.0</v>
      </c>
      <c r="L33" s="34" t="s">
        <v>48</v>
      </c>
      <c r="M33" s="33" t="n">
        <f>792</f>
        <v>792.0</v>
      </c>
      <c r="N33" s="34" t="s">
        <v>54</v>
      </c>
      <c r="O33" s="33" t="n">
        <f>661</f>
        <v>661.0</v>
      </c>
      <c r="P33" s="34" t="s">
        <v>70</v>
      </c>
      <c r="Q33" s="33" t="n">
        <f>692</f>
        <v>692.0</v>
      </c>
      <c r="R33" s="34" t="s">
        <v>50</v>
      </c>
      <c r="S33" s="35" t="n">
        <f>729.55</f>
        <v>729.55</v>
      </c>
      <c r="T33" s="32" t="n">
        <f>23968884</f>
        <v>2.3968884E7</v>
      </c>
      <c r="U33" s="32" t="n">
        <f>2839002</f>
        <v>2839002.0</v>
      </c>
      <c r="V33" s="32" t="n">
        <f>17235013343</f>
        <v>1.7235013343E10</v>
      </c>
      <c r="W33" s="32" t="n">
        <f>1976962964</f>
        <v>1.976962964E9</v>
      </c>
      <c r="X33" s="36" t="n">
        <f>20</f>
        <v>20.0</v>
      </c>
    </row>
    <row r="34">
      <c r="A34" s="27" t="s">
        <v>42</v>
      </c>
      <c r="B34" s="27" t="s">
        <v>138</v>
      </c>
      <c r="C34" s="27" t="s">
        <v>139</v>
      </c>
      <c r="D34" s="27" t="s">
        <v>140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21660</f>
        <v>21660.0</v>
      </c>
      <c r="L34" s="34" t="s">
        <v>48</v>
      </c>
      <c r="M34" s="33" t="n">
        <f>24165</f>
        <v>24165.0</v>
      </c>
      <c r="N34" s="34" t="s">
        <v>49</v>
      </c>
      <c r="O34" s="33" t="n">
        <f>21600</f>
        <v>21600.0</v>
      </c>
      <c r="P34" s="34" t="s">
        <v>48</v>
      </c>
      <c r="Q34" s="33" t="n">
        <f>22835</f>
        <v>22835.0</v>
      </c>
      <c r="R34" s="34" t="s">
        <v>50</v>
      </c>
      <c r="S34" s="35" t="n">
        <f>22802.25</f>
        <v>22802.25</v>
      </c>
      <c r="T34" s="32" t="n">
        <f>300867</f>
        <v>300867.0</v>
      </c>
      <c r="U34" s="32" t="str">
        <f>"－"</f>
        <v>－</v>
      </c>
      <c r="V34" s="32" t="n">
        <f>6898282775</f>
        <v>6.898282775E9</v>
      </c>
      <c r="W34" s="32" t="str">
        <f>"－"</f>
        <v>－</v>
      </c>
      <c r="X34" s="36" t="n">
        <f>20</f>
        <v>20.0</v>
      </c>
    </row>
    <row r="35">
      <c r="A35" s="27" t="s">
        <v>42</v>
      </c>
      <c r="B35" s="27" t="s">
        <v>141</v>
      </c>
      <c r="C35" s="27" t="s">
        <v>142</v>
      </c>
      <c r="D35" s="27" t="s">
        <v>143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1105</f>
        <v>1105.0</v>
      </c>
      <c r="L35" s="34" t="s">
        <v>48</v>
      </c>
      <c r="M35" s="33" t="n">
        <f>1109</f>
        <v>1109.0</v>
      </c>
      <c r="N35" s="34" t="s">
        <v>48</v>
      </c>
      <c r="O35" s="33" t="n">
        <f>987</f>
        <v>987.0</v>
      </c>
      <c r="P35" s="34" t="s">
        <v>49</v>
      </c>
      <c r="Q35" s="33" t="n">
        <f>1042</f>
        <v>1042.0</v>
      </c>
      <c r="R35" s="34" t="s">
        <v>50</v>
      </c>
      <c r="S35" s="35" t="n">
        <f>1049.35</f>
        <v>1049.35</v>
      </c>
      <c r="T35" s="32" t="n">
        <f>1395015</f>
        <v>1395015.0</v>
      </c>
      <c r="U35" s="32" t="str">
        <f>"－"</f>
        <v>－</v>
      </c>
      <c r="V35" s="32" t="n">
        <f>1444897428</f>
        <v>1.444897428E9</v>
      </c>
      <c r="W35" s="32" t="str">
        <f>"－"</f>
        <v>－</v>
      </c>
      <c r="X35" s="36" t="n">
        <f>20</f>
        <v>20.0</v>
      </c>
    </row>
    <row r="36">
      <c r="A36" s="27" t="s">
        <v>42</v>
      </c>
      <c r="B36" s="27" t="s">
        <v>144</v>
      </c>
      <c r="C36" s="27" t="s">
        <v>145</v>
      </c>
      <c r="D36" s="27" t="s">
        <v>146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29310</f>
        <v>29310.0</v>
      </c>
      <c r="L36" s="34" t="s">
        <v>48</v>
      </c>
      <c r="M36" s="33" t="n">
        <f>31910</f>
        <v>31910.0</v>
      </c>
      <c r="N36" s="34" t="s">
        <v>70</v>
      </c>
      <c r="O36" s="33" t="n">
        <f>29215</f>
        <v>29215.0</v>
      </c>
      <c r="P36" s="34" t="s">
        <v>54</v>
      </c>
      <c r="Q36" s="33" t="n">
        <f>31170</f>
        <v>31170.0</v>
      </c>
      <c r="R36" s="34" t="s">
        <v>50</v>
      </c>
      <c r="S36" s="35" t="n">
        <f>30440.25</f>
        <v>30440.25</v>
      </c>
      <c r="T36" s="32" t="n">
        <f>303342</f>
        <v>303342.0</v>
      </c>
      <c r="U36" s="32" t="n">
        <f>162734</f>
        <v>162734.0</v>
      </c>
      <c r="V36" s="32" t="n">
        <f>9177211839</f>
        <v>9.177211839E9</v>
      </c>
      <c r="W36" s="32" t="n">
        <f>4862750959</f>
        <v>4.862750959E9</v>
      </c>
      <c r="X36" s="36" t="n">
        <f>20</f>
        <v>20.0</v>
      </c>
    </row>
    <row r="37">
      <c r="A37" s="27" t="s">
        <v>42</v>
      </c>
      <c r="B37" s="27" t="s">
        <v>147</v>
      </c>
      <c r="C37" s="27" t="s">
        <v>148</v>
      </c>
      <c r="D37" s="27" t="s">
        <v>149</v>
      </c>
      <c r="E37" s="28" t="s">
        <v>46</v>
      </c>
      <c r="F37" s="29" t="s">
        <v>46</v>
      </c>
      <c r="G37" s="30" t="s">
        <v>46</v>
      </c>
      <c r="H37" s="31" t="s">
        <v>150</v>
      </c>
      <c r="I37" s="31" t="s">
        <v>47</v>
      </c>
      <c r="J37" s="32" t="n">
        <v>1.0</v>
      </c>
      <c r="K37" s="33" t="n">
        <f>6600</f>
        <v>6600.0</v>
      </c>
      <c r="L37" s="34" t="s">
        <v>48</v>
      </c>
      <c r="M37" s="33" t="n">
        <f>6800</f>
        <v>6800.0</v>
      </c>
      <c r="N37" s="34" t="s">
        <v>80</v>
      </c>
      <c r="O37" s="33" t="n">
        <f>6220</f>
        <v>6220.0</v>
      </c>
      <c r="P37" s="34" t="s">
        <v>104</v>
      </c>
      <c r="Q37" s="33" t="n">
        <f>6250</f>
        <v>6250.0</v>
      </c>
      <c r="R37" s="34" t="s">
        <v>50</v>
      </c>
      <c r="S37" s="35" t="n">
        <f>6495</f>
        <v>6495.0</v>
      </c>
      <c r="T37" s="32" t="n">
        <f>25646</f>
        <v>25646.0</v>
      </c>
      <c r="U37" s="32" t="str">
        <f>"－"</f>
        <v>－</v>
      </c>
      <c r="V37" s="32" t="n">
        <f>167844930</f>
        <v>1.6784493E8</v>
      </c>
      <c r="W37" s="32" t="str">
        <f>"－"</f>
        <v>－</v>
      </c>
      <c r="X37" s="36" t="n">
        <f>20</f>
        <v>20.0</v>
      </c>
    </row>
    <row r="38">
      <c r="A38" s="27" t="s">
        <v>42</v>
      </c>
      <c r="B38" s="27" t="s">
        <v>151</v>
      </c>
      <c r="C38" s="27" t="s">
        <v>152</v>
      </c>
      <c r="D38" s="27" t="s">
        <v>153</v>
      </c>
      <c r="E38" s="28" t="s">
        <v>46</v>
      </c>
      <c r="F38" s="29" t="s">
        <v>46</v>
      </c>
      <c r="G38" s="30" t="s">
        <v>46</v>
      </c>
      <c r="H38" s="31" t="s">
        <v>150</v>
      </c>
      <c r="I38" s="31" t="s">
        <v>47</v>
      </c>
      <c r="J38" s="32" t="n">
        <v>1.0</v>
      </c>
      <c r="K38" s="33" t="n">
        <f>11500</f>
        <v>11500.0</v>
      </c>
      <c r="L38" s="34" t="s">
        <v>48</v>
      </c>
      <c r="M38" s="33" t="n">
        <f>11760</f>
        <v>11760.0</v>
      </c>
      <c r="N38" s="34" t="s">
        <v>80</v>
      </c>
      <c r="O38" s="33" t="n">
        <f>10835</f>
        <v>10835.0</v>
      </c>
      <c r="P38" s="34" t="s">
        <v>50</v>
      </c>
      <c r="Q38" s="33" t="n">
        <f>10880</f>
        <v>10880.0</v>
      </c>
      <c r="R38" s="34" t="s">
        <v>50</v>
      </c>
      <c r="S38" s="35" t="n">
        <f>11314.5</f>
        <v>11314.5</v>
      </c>
      <c r="T38" s="32" t="n">
        <f>12780</f>
        <v>12780.0</v>
      </c>
      <c r="U38" s="32" t="str">
        <f>"－"</f>
        <v>－</v>
      </c>
      <c r="V38" s="32" t="n">
        <f>145114005</f>
        <v>1.45114005E8</v>
      </c>
      <c r="W38" s="32" t="str">
        <f>"－"</f>
        <v>－</v>
      </c>
      <c r="X38" s="36" t="n">
        <f>20</f>
        <v>20.0</v>
      </c>
    </row>
    <row r="39">
      <c r="A39" s="27" t="s">
        <v>42</v>
      </c>
      <c r="B39" s="27" t="s">
        <v>154</v>
      </c>
      <c r="C39" s="27" t="s">
        <v>155</v>
      </c>
      <c r="D39" s="27" t="s">
        <v>156</v>
      </c>
      <c r="E39" s="28" t="s">
        <v>46</v>
      </c>
      <c r="F39" s="29" t="s">
        <v>46</v>
      </c>
      <c r="G39" s="30" t="s">
        <v>46</v>
      </c>
      <c r="H39" s="31" t="s">
        <v>150</v>
      </c>
      <c r="I39" s="31" t="s">
        <v>47</v>
      </c>
      <c r="J39" s="32" t="n">
        <v>1.0</v>
      </c>
      <c r="K39" s="33" t="n">
        <f>22000</f>
        <v>22000.0</v>
      </c>
      <c r="L39" s="34" t="s">
        <v>48</v>
      </c>
      <c r="M39" s="33" t="n">
        <f>22165</f>
        <v>22165.0</v>
      </c>
      <c r="N39" s="34" t="s">
        <v>157</v>
      </c>
      <c r="O39" s="33" t="n">
        <f>20645</f>
        <v>20645.0</v>
      </c>
      <c r="P39" s="34" t="s">
        <v>104</v>
      </c>
      <c r="Q39" s="33" t="n">
        <f>20760</f>
        <v>20760.0</v>
      </c>
      <c r="R39" s="34" t="s">
        <v>50</v>
      </c>
      <c r="S39" s="35" t="n">
        <f>21450</f>
        <v>21450.0</v>
      </c>
      <c r="T39" s="32" t="n">
        <f>1053</f>
        <v>1053.0</v>
      </c>
      <c r="U39" s="32" t="str">
        <f>"－"</f>
        <v>－</v>
      </c>
      <c r="V39" s="32" t="n">
        <f>23082645</f>
        <v>2.3082645E7</v>
      </c>
      <c r="W39" s="32" t="str">
        <f>"－"</f>
        <v>－</v>
      </c>
      <c r="X39" s="36" t="n">
        <f>12</f>
        <v>12.0</v>
      </c>
    </row>
    <row r="40">
      <c r="A40" s="27" t="s">
        <v>42</v>
      </c>
      <c r="B40" s="27" t="s">
        <v>158</v>
      </c>
      <c r="C40" s="27" t="s">
        <v>159</v>
      </c>
      <c r="D40" s="27" t="s">
        <v>160</v>
      </c>
      <c r="E40" s="28" t="s">
        <v>46</v>
      </c>
      <c r="F40" s="29" t="s">
        <v>46</v>
      </c>
      <c r="G40" s="30" t="s">
        <v>46</v>
      </c>
      <c r="H40" s="31" t="s">
        <v>150</v>
      </c>
      <c r="I40" s="31" t="s">
        <v>47</v>
      </c>
      <c r="J40" s="32" t="n">
        <v>1.0</v>
      </c>
      <c r="K40" s="33" t="n">
        <f>17300</f>
        <v>17300.0</v>
      </c>
      <c r="L40" s="34" t="s">
        <v>48</v>
      </c>
      <c r="M40" s="33" t="n">
        <f>17415</f>
        <v>17415.0</v>
      </c>
      <c r="N40" s="34" t="s">
        <v>80</v>
      </c>
      <c r="O40" s="33" t="n">
        <f>16305</f>
        <v>16305.0</v>
      </c>
      <c r="P40" s="34" t="s">
        <v>161</v>
      </c>
      <c r="Q40" s="33" t="n">
        <f>16305</f>
        <v>16305.0</v>
      </c>
      <c r="R40" s="34" t="s">
        <v>50</v>
      </c>
      <c r="S40" s="35" t="n">
        <f>16829</f>
        <v>16829.0</v>
      </c>
      <c r="T40" s="32" t="n">
        <f>224</f>
        <v>224.0</v>
      </c>
      <c r="U40" s="32" t="str">
        <f>"－"</f>
        <v>－</v>
      </c>
      <c r="V40" s="32" t="n">
        <f>3768010</f>
        <v>3768010.0</v>
      </c>
      <c r="W40" s="32" t="str">
        <f>"－"</f>
        <v>－</v>
      </c>
      <c r="X40" s="36" t="n">
        <f>10</f>
        <v>10.0</v>
      </c>
    </row>
    <row r="41">
      <c r="A41" s="27" t="s">
        <v>42</v>
      </c>
      <c r="B41" s="27" t="s">
        <v>162</v>
      </c>
      <c r="C41" s="27" t="s">
        <v>163</v>
      </c>
      <c r="D41" s="27" t="s">
        <v>164</v>
      </c>
      <c r="E41" s="28" t="s">
        <v>46</v>
      </c>
      <c r="F41" s="29" t="s">
        <v>46</v>
      </c>
      <c r="G41" s="30" t="s">
        <v>46</v>
      </c>
      <c r="H41" s="31" t="s">
        <v>150</v>
      </c>
      <c r="I41" s="31" t="s">
        <v>47</v>
      </c>
      <c r="J41" s="32" t="n">
        <v>1.0</v>
      </c>
      <c r="K41" s="33" t="n">
        <f>12360</f>
        <v>12360.0</v>
      </c>
      <c r="L41" s="34" t="s">
        <v>48</v>
      </c>
      <c r="M41" s="33" t="n">
        <f>12590</f>
        <v>12590.0</v>
      </c>
      <c r="N41" s="34" t="s">
        <v>80</v>
      </c>
      <c r="O41" s="33" t="n">
        <f>11600</f>
        <v>11600.0</v>
      </c>
      <c r="P41" s="34" t="s">
        <v>104</v>
      </c>
      <c r="Q41" s="33" t="n">
        <f>11700</f>
        <v>11700.0</v>
      </c>
      <c r="R41" s="34" t="s">
        <v>50</v>
      </c>
      <c r="S41" s="35" t="n">
        <f>12081.75</f>
        <v>12081.75</v>
      </c>
      <c r="T41" s="32" t="n">
        <f>8097</f>
        <v>8097.0</v>
      </c>
      <c r="U41" s="32" t="str">
        <f>"－"</f>
        <v>－</v>
      </c>
      <c r="V41" s="32" t="n">
        <f>98665105</f>
        <v>9.8665105E7</v>
      </c>
      <c r="W41" s="32" t="str">
        <f>"－"</f>
        <v>－</v>
      </c>
      <c r="X41" s="36" t="n">
        <f>20</f>
        <v>20.0</v>
      </c>
    </row>
    <row r="42">
      <c r="A42" s="27" t="s">
        <v>42</v>
      </c>
      <c r="B42" s="27" t="s">
        <v>165</v>
      </c>
      <c r="C42" s="27" t="s">
        <v>166</v>
      </c>
      <c r="D42" s="27" t="s">
        <v>167</v>
      </c>
      <c r="E42" s="28" t="s">
        <v>46</v>
      </c>
      <c r="F42" s="29" t="s">
        <v>46</v>
      </c>
      <c r="G42" s="30" t="s">
        <v>46</v>
      </c>
      <c r="H42" s="31" t="s">
        <v>150</v>
      </c>
      <c r="I42" s="31" t="s">
        <v>47</v>
      </c>
      <c r="J42" s="32" t="n">
        <v>1.0</v>
      </c>
      <c r="K42" s="33" t="n">
        <f>5760</f>
        <v>5760.0</v>
      </c>
      <c r="L42" s="34" t="s">
        <v>48</v>
      </c>
      <c r="M42" s="33" t="n">
        <f>5900</f>
        <v>5900.0</v>
      </c>
      <c r="N42" s="34" t="s">
        <v>61</v>
      </c>
      <c r="O42" s="33" t="n">
        <f>5400</f>
        <v>5400.0</v>
      </c>
      <c r="P42" s="34" t="s">
        <v>168</v>
      </c>
      <c r="Q42" s="33" t="n">
        <f>5420</f>
        <v>5420.0</v>
      </c>
      <c r="R42" s="34" t="s">
        <v>50</v>
      </c>
      <c r="S42" s="35" t="n">
        <f>5678.5</f>
        <v>5678.5</v>
      </c>
      <c r="T42" s="32" t="n">
        <f>11484</f>
        <v>11484.0</v>
      </c>
      <c r="U42" s="32" t="str">
        <f>"－"</f>
        <v>－</v>
      </c>
      <c r="V42" s="32" t="n">
        <f>65187180</f>
        <v>6.518718E7</v>
      </c>
      <c r="W42" s="32" t="str">
        <f>"－"</f>
        <v>－</v>
      </c>
      <c r="X42" s="36" t="n">
        <f>20</f>
        <v>20.0</v>
      </c>
    </row>
    <row r="43">
      <c r="A43" s="27" t="s">
        <v>42</v>
      </c>
      <c r="B43" s="27" t="s">
        <v>169</v>
      </c>
      <c r="C43" s="27" t="s">
        <v>170</v>
      </c>
      <c r="D43" s="27" t="s">
        <v>171</v>
      </c>
      <c r="E43" s="28" t="s">
        <v>46</v>
      </c>
      <c r="F43" s="29" t="s">
        <v>46</v>
      </c>
      <c r="G43" s="30" t="s">
        <v>46</v>
      </c>
      <c r="H43" s="31" t="s">
        <v>150</v>
      </c>
      <c r="I43" s="31" t="s">
        <v>47</v>
      </c>
      <c r="J43" s="32" t="n">
        <v>1.0</v>
      </c>
      <c r="K43" s="33" t="n">
        <f>3310</f>
        <v>3310.0</v>
      </c>
      <c r="L43" s="34" t="s">
        <v>48</v>
      </c>
      <c r="M43" s="33" t="n">
        <f>3390</f>
        <v>3390.0</v>
      </c>
      <c r="N43" s="34" t="s">
        <v>66</v>
      </c>
      <c r="O43" s="33" t="n">
        <f>3160</f>
        <v>3160.0</v>
      </c>
      <c r="P43" s="34" t="s">
        <v>50</v>
      </c>
      <c r="Q43" s="33" t="n">
        <f>3160</f>
        <v>3160.0</v>
      </c>
      <c r="R43" s="34" t="s">
        <v>50</v>
      </c>
      <c r="S43" s="35" t="n">
        <f>3292.5</f>
        <v>3292.5</v>
      </c>
      <c r="T43" s="32" t="n">
        <f>33969</f>
        <v>33969.0</v>
      </c>
      <c r="U43" s="32" t="str">
        <f>"－"</f>
        <v>－</v>
      </c>
      <c r="V43" s="32" t="n">
        <f>112835830</f>
        <v>1.1283583E8</v>
      </c>
      <c r="W43" s="32" t="str">
        <f>"－"</f>
        <v>－</v>
      </c>
      <c r="X43" s="36" t="n">
        <f>20</f>
        <v>20.0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 t="s">
        <v>150</v>
      </c>
      <c r="I44" s="31" t="s">
        <v>47</v>
      </c>
      <c r="J44" s="32" t="n">
        <v>1.0</v>
      </c>
      <c r="K44" s="33" t="n">
        <f>3375</f>
        <v>3375.0</v>
      </c>
      <c r="L44" s="34" t="s">
        <v>48</v>
      </c>
      <c r="M44" s="33" t="n">
        <f>3400</f>
        <v>3400.0</v>
      </c>
      <c r="N44" s="34" t="s">
        <v>48</v>
      </c>
      <c r="O44" s="33" t="n">
        <f>3175</f>
        <v>3175.0</v>
      </c>
      <c r="P44" s="34" t="s">
        <v>104</v>
      </c>
      <c r="Q44" s="33" t="n">
        <f>3180</f>
        <v>3180.0</v>
      </c>
      <c r="R44" s="34" t="s">
        <v>50</v>
      </c>
      <c r="S44" s="35" t="n">
        <f>3309.47</f>
        <v>3309.47</v>
      </c>
      <c r="T44" s="32" t="n">
        <f>11853</f>
        <v>11853.0</v>
      </c>
      <c r="U44" s="32" t="str">
        <f>"－"</f>
        <v>－</v>
      </c>
      <c r="V44" s="32" t="n">
        <f>39396270</f>
        <v>3.939627E7</v>
      </c>
      <c r="W44" s="32" t="str">
        <f>"－"</f>
        <v>－</v>
      </c>
      <c r="X44" s="36" t="n">
        <f>19</f>
        <v>19.0</v>
      </c>
    </row>
    <row r="45">
      <c r="A45" s="27" t="s">
        <v>42</v>
      </c>
      <c r="B45" s="27" t="s">
        <v>175</v>
      </c>
      <c r="C45" s="27" t="s">
        <v>176</v>
      </c>
      <c r="D45" s="27" t="s">
        <v>177</v>
      </c>
      <c r="E45" s="28" t="s">
        <v>46</v>
      </c>
      <c r="F45" s="29" t="s">
        <v>46</v>
      </c>
      <c r="G45" s="30" t="s">
        <v>46</v>
      </c>
      <c r="H45" s="31" t="s">
        <v>150</v>
      </c>
      <c r="I45" s="31" t="s">
        <v>47</v>
      </c>
      <c r="J45" s="32" t="n">
        <v>1.0</v>
      </c>
      <c r="K45" s="33" t="n">
        <f>54200</f>
        <v>54200.0</v>
      </c>
      <c r="L45" s="34" t="s">
        <v>48</v>
      </c>
      <c r="M45" s="33" t="n">
        <f>55690</f>
        <v>55690.0</v>
      </c>
      <c r="N45" s="34" t="s">
        <v>178</v>
      </c>
      <c r="O45" s="33" t="n">
        <f>52850</f>
        <v>52850.0</v>
      </c>
      <c r="P45" s="34" t="s">
        <v>104</v>
      </c>
      <c r="Q45" s="33" t="n">
        <f>53760</f>
        <v>53760.0</v>
      </c>
      <c r="R45" s="34" t="s">
        <v>50</v>
      </c>
      <c r="S45" s="35" t="n">
        <f>53907.89</f>
        <v>53907.89</v>
      </c>
      <c r="T45" s="32" t="n">
        <f>3793</f>
        <v>3793.0</v>
      </c>
      <c r="U45" s="32" t="str">
        <f>"－"</f>
        <v>－</v>
      </c>
      <c r="V45" s="32" t="n">
        <f>206752500</f>
        <v>2.067525E8</v>
      </c>
      <c r="W45" s="32" t="str">
        <f>"－"</f>
        <v>－</v>
      </c>
      <c r="X45" s="36" t="n">
        <f>19</f>
        <v>19.0</v>
      </c>
    </row>
    <row r="46">
      <c r="A46" s="27" t="s">
        <v>42</v>
      </c>
      <c r="B46" s="27" t="s">
        <v>179</v>
      </c>
      <c r="C46" s="27" t="s">
        <v>180</v>
      </c>
      <c r="D46" s="27" t="s">
        <v>181</v>
      </c>
      <c r="E46" s="28" t="s">
        <v>46</v>
      </c>
      <c r="F46" s="29" t="s">
        <v>46</v>
      </c>
      <c r="G46" s="30" t="s">
        <v>46</v>
      </c>
      <c r="H46" s="31" t="s">
        <v>150</v>
      </c>
      <c r="I46" s="31" t="s">
        <v>47</v>
      </c>
      <c r="J46" s="32" t="n">
        <v>1.0</v>
      </c>
      <c r="K46" s="33" t="n">
        <f>38790</f>
        <v>38790.0</v>
      </c>
      <c r="L46" s="34" t="s">
        <v>80</v>
      </c>
      <c r="M46" s="33" t="n">
        <f>39810</f>
        <v>39810.0</v>
      </c>
      <c r="N46" s="34" t="s">
        <v>178</v>
      </c>
      <c r="O46" s="33" t="n">
        <f>37630</f>
        <v>37630.0</v>
      </c>
      <c r="P46" s="34" t="s">
        <v>168</v>
      </c>
      <c r="Q46" s="33" t="n">
        <f>38280</f>
        <v>38280.0</v>
      </c>
      <c r="R46" s="34" t="s">
        <v>70</v>
      </c>
      <c r="S46" s="35" t="n">
        <f>38892.73</f>
        <v>38892.73</v>
      </c>
      <c r="T46" s="32" t="n">
        <f>471</f>
        <v>471.0</v>
      </c>
      <c r="U46" s="32" t="str">
        <f>"－"</f>
        <v>－</v>
      </c>
      <c r="V46" s="32" t="n">
        <f>18369220</f>
        <v>1.836922E7</v>
      </c>
      <c r="W46" s="32" t="str">
        <f>"－"</f>
        <v>－</v>
      </c>
      <c r="X46" s="36" t="n">
        <f>11</f>
        <v>11.0</v>
      </c>
    </row>
    <row r="47">
      <c r="A47" s="27" t="s">
        <v>42</v>
      </c>
      <c r="B47" s="27" t="s">
        <v>182</v>
      </c>
      <c r="C47" s="27" t="s">
        <v>183</v>
      </c>
      <c r="D47" s="27" t="s">
        <v>184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29325</f>
        <v>29325.0</v>
      </c>
      <c r="L47" s="34" t="s">
        <v>48</v>
      </c>
      <c r="M47" s="33" t="n">
        <f>31910</f>
        <v>31910.0</v>
      </c>
      <c r="N47" s="34" t="s">
        <v>70</v>
      </c>
      <c r="O47" s="33" t="n">
        <f>29200</f>
        <v>29200.0</v>
      </c>
      <c r="P47" s="34" t="s">
        <v>54</v>
      </c>
      <c r="Q47" s="33" t="n">
        <f>31620</f>
        <v>31620.0</v>
      </c>
      <c r="R47" s="34" t="s">
        <v>62</v>
      </c>
      <c r="S47" s="35" t="n">
        <f>30428.06</f>
        <v>30428.06</v>
      </c>
      <c r="T47" s="32" t="n">
        <f>52405</f>
        <v>52405.0</v>
      </c>
      <c r="U47" s="32" t="n">
        <f>20955</f>
        <v>20955.0</v>
      </c>
      <c r="V47" s="32" t="n">
        <f>1595279260</f>
        <v>1.59527926E9</v>
      </c>
      <c r="W47" s="32" t="n">
        <f>643987225</f>
        <v>6.43987225E8</v>
      </c>
      <c r="X47" s="36" t="n">
        <f>18</f>
        <v>18.0</v>
      </c>
    </row>
    <row r="48">
      <c r="A48" s="27" t="s">
        <v>42</v>
      </c>
      <c r="B48" s="27" t="s">
        <v>185</v>
      </c>
      <c r="C48" s="27" t="s">
        <v>186</v>
      </c>
      <c r="D48" s="27" t="s">
        <v>187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1920</f>
        <v>1920.0</v>
      </c>
      <c r="L48" s="34" t="s">
        <v>48</v>
      </c>
      <c r="M48" s="33" t="n">
        <f>1937</f>
        <v>1937.0</v>
      </c>
      <c r="N48" s="34" t="s">
        <v>61</v>
      </c>
      <c r="O48" s="33" t="n">
        <f>1880.5</f>
        <v>1880.5</v>
      </c>
      <c r="P48" s="34" t="s">
        <v>104</v>
      </c>
      <c r="Q48" s="33" t="n">
        <f>1917.5</f>
        <v>1917.5</v>
      </c>
      <c r="R48" s="34" t="s">
        <v>50</v>
      </c>
      <c r="S48" s="35" t="n">
        <f>1911.78</f>
        <v>1911.78</v>
      </c>
      <c r="T48" s="32" t="n">
        <f>4677800</f>
        <v>4677800.0</v>
      </c>
      <c r="U48" s="32" t="n">
        <f>1603900</f>
        <v>1603900.0</v>
      </c>
      <c r="V48" s="32" t="n">
        <f>8940944483</f>
        <v>8.940944483E9</v>
      </c>
      <c r="W48" s="32" t="n">
        <f>3070895978</f>
        <v>3.070895978E9</v>
      </c>
      <c r="X48" s="36" t="n">
        <f>20</f>
        <v>20.0</v>
      </c>
    </row>
    <row r="49">
      <c r="A49" s="27" t="s">
        <v>42</v>
      </c>
      <c r="B49" s="27" t="s">
        <v>188</v>
      </c>
      <c r="C49" s="27" t="s">
        <v>189</v>
      </c>
      <c r="D49" s="27" t="s">
        <v>190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1738</f>
        <v>1738.0</v>
      </c>
      <c r="L49" s="34" t="s">
        <v>48</v>
      </c>
      <c r="M49" s="33" t="n">
        <f>1800</f>
        <v>1800.0</v>
      </c>
      <c r="N49" s="34" t="s">
        <v>49</v>
      </c>
      <c r="O49" s="33" t="n">
        <f>1733</f>
        <v>1733.0</v>
      </c>
      <c r="P49" s="34" t="s">
        <v>54</v>
      </c>
      <c r="Q49" s="33" t="n">
        <f>1748.5</f>
        <v>1748.5</v>
      </c>
      <c r="R49" s="34" t="s">
        <v>50</v>
      </c>
      <c r="S49" s="35" t="n">
        <f>1762.05</f>
        <v>1762.05</v>
      </c>
      <c r="T49" s="32" t="n">
        <f>8500</f>
        <v>8500.0</v>
      </c>
      <c r="U49" s="32" t="str">
        <f>"－"</f>
        <v>－</v>
      </c>
      <c r="V49" s="32" t="n">
        <f>15095115</f>
        <v>1.5095115E7</v>
      </c>
      <c r="W49" s="32" t="str">
        <f>"－"</f>
        <v>－</v>
      </c>
      <c r="X49" s="36" t="n">
        <f>19</f>
        <v>19.0</v>
      </c>
    </row>
    <row r="50">
      <c r="A50" s="27" t="s">
        <v>42</v>
      </c>
      <c r="B50" s="27" t="s">
        <v>191</v>
      </c>
      <c r="C50" s="27" t="s">
        <v>192</v>
      </c>
      <c r="D50" s="27" t="s">
        <v>193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3805</f>
        <v>3805.0</v>
      </c>
      <c r="L50" s="34" t="s">
        <v>48</v>
      </c>
      <c r="M50" s="33" t="n">
        <f>3820</f>
        <v>3820.0</v>
      </c>
      <c r="N50" s="34" t="s">
        <v>54</v>
      </c>
      <c r="O50" s="33" t="n">
        <f>3485</f>
        <v>3485.0</v>
      </c>
      <c r="P50" s="34" t="s">
        <v>70</v>
      </c>
      <c r="Q50" s="33" t="n">
        <f>3575</f>
        <v>3575.0</v>
      </c>
      <c r="R50" s="34" t="s">
        <v>50</v>
      </c>
      <c r="S50" s="35" t="n">
        <f>3665.75</f>
        <v>3665.75</v>
      </c>
      <c r="T50" s="32" t="n">
        <f>2274895</f>
        <v>2274895.0</v>
      </c>
      <c r="U50" s="32" t="n">
        <f>1070600</f>
        <v>1070600.0</v>
      </c>
      <c r="V50" s="32" t="n">
        <f>8319016866</f>
        <v>8.319016866E9</v>
      </c>
      <c r="W50" s="32" t="n">
        <f>3964404746</f>
        <v>3.964404746E9</v>
      </c>
      <c r="X50" s="36" t="n">
        <f>20</f>
        <v>20.0</v>
      </c>
    </row>
    <row r="51">
      <c r="A51" s="27" t="s">
        <v>42</v>
      </c>
      <c r="B51" s="27" t="s">
        <v>194</v>
      </c>
      <c r="C51" s="27" t="s">
        <v>195</v>
      </c>
      <c r="D51" s="27" t="s">
        <v>196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4425</f>
        <v>4425.0</v>
      </c>
      <c r="L51" s="34" t="s">
        <v>48</v>
      </c>
      <c r="M51" s="33" t="n">
        <f>4430</f>
        <v>4430.0</v>
      </c>
      <c r="N51" s="34" t="s">
        <v>48</v>
      </c>
      <c r="O51" s="33" t="n">
        <f>4180</f>
        <v>4180.0</v>
      </c>
      <c r="P51" s="34" t="s">
        <v>49</v>
      </c>
      <c r="Q51" s="33" t="n">
        <f>4300</f>
        <v>4300.0</v>
      </c>
      <c r="R51" s="34" t="s">
        <v>50</v>
      </c>
      <c r="S51" s="35" t="n">
        <f>4309.5</f>
        <v>4309.5</v>
      </c>
      <c r="T51" s="32" t="n">
        <f>1603501</f>
        <v>1603501.0</v>
      </c>
      <c r="U51" s="32" t="n">
        <f>1481900</f>
        <v>1481900.0</v>
      </c>
      <c r="V51" s="32" t="n">
        <f>6884743285</f>
        <v>6.884743285E9</v>
      </c>
      <c r="W51" s="32" t="n">
        <f>6357475970</f>
        <v>6.35747597E9</v>
      </c>
      <c r="X51" s="36" t="n">
        <f>20</f>
        <v>20.0</v>
      </c>
    </row>
    <row r="52">
      <c r="A52" s="27" t="s">
        <v>42</v>
      </c>
      <c r="B52" s="27" t="s">
        <v>197</v>
      </c>
      <c r="C52" s="27" t="s">
        <v>198</v>
      </c>
      <c r="D52" s="27" t="s">
        <v>199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18815</f>
        <v>18815.0</v>
      </c>
      <c r="L52" s="34" t="s">
        <v>48</v>
      </c>
      <c r="M52" s="33" t="n">
        <f>22220</f>
        <v>22220.0</v>
      </c>
      <c r="N52" s="34" t="s">
        <v>70</v>
      </c>
      <c r="O52" s="33" t="n">
        <f>18640</f>
        <v>18640.0</v>
      </c>
      <c r="P52" s="34" t="s">
        <v>54</v>
      </c>
      <c r="Q52" s="33" t="n">
        <f>21225</f>
        <v>21225.0</v>
      </c>
      <c r="R52" s="34" t="s">
        <v>50</v>
      </c>
      <c r="S52" s="35" t="n">
        <f>20249.25</f>
        <v>20249.25</v>
      </c>
      <c r="T52" s="32" t="n">
        <f>9507284</f>
        <v>9507284.0</v>
      </c>
      <c r="U52" s="32" t="n">
        <f>8</f>
        <v>8.0</v>
      </c>
      <c r="V52" s="32" t="n">
        <f>194626041365</f>
        <v>1.94626041365E11</v>
      </c>
      <c r="W52" s="32" t="n">
        <f>151800</f>
        <v>151800.0</v>
      </c>
      <c r="X52" s="36" t="n">
        <f>20</f>
        <v>20.0</v>
      </c>
    </row>
    <row r="53">
      <c r="A53" s="27" t="s">
        <v>42</v>
      </c>
      <c r="B53" s="27" t="s">
        <v>200</v>
      </c>
      <c r="C53" s="27" t="s">
        <v>201</v>
      </c>
      <c r="D53" s="27" t="s">
        <v>202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1214</f>
        <v>1214.0</v>
      </c>
      <c r="L53" s="34" t="s">
        <v>48</v>
      </c>
      <c r="M53" s="33" t="n">
        <f>1224</f>
        <v>1224.0</v>
      </c>
      <c r="N53" s="34" t="s">
        <v>54</v>
      </c>
      <c r="O53" s="33" t="n">
        <f>1019</f>
        <v>1019.0</v>
      </c>
      <c r="P53" s="34" t="s">
        <v>70</v>
      </c>
      <c r="Q53" s="33" t="n">
        <f>1068</f>
        <v>1068.0</v>
      </c>
      <c r="R53" s="34" t="s">
        <v>50</v>
      </c>
      <c r="S53" s="35" t="n">
        <f>1127.05</f>
        <v>1127.05</v>
      </c>
      <c r="T53" s="32" t="n">
        <f>224878493</f>
        <v>2.24878493E8</v>
      </c>
      <c r="U53" s="32" t="n">
        <f>1293021</f>
        <v>1293021.0</v>
      </c>
      <c r="V53" s="32" t="n">
        <f>248375482412</f>
        <v>2.48375482412E11</v>
      </c>
      <c r="W53" s="32" t="n">
        <f>1369617971</f>
        <v>1.369617971E9</v>
      </c>
      <c r="X53" s="36" t="n">
        <f>20</f>
        <v>20.0</v>
      </c>
    </row>
    <row r="54">
      <c r="A54" s="27" t="s">
        <v>42</v>
      </c>
      <c r="B54" s="27" t="s">
        <v>203</v>
      </c>
      <c r="C54" s="27" t="s">
        <v>204</v>
      </c>
      <c r="D54" s="27" t="s">
        <v>205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17155</f>
        <v>17155.0</v>
      </c>
      <c r="L54" s="34" t="s">
        <v>48</v>
      </c>
      <c r="M54" s="33" t="n">
        <f>19385</f>
        <v>19385.0</v>
      </c>
      <c r="N54" s="34" t="s">
        <v>49</v>
      </c>
      <c r="O54" s="33" t="n">
        <f>17130</f>
        <v>17130.0</v>
      </c>
      <c r="P54" s="34" t="s">
        <v>54</v>
      </c>
      <c r="Q54" s="33" t="n">
        <f>18435</f>
        <v>18435.0</v>
      </c>
      <c r="R54" s="34" t="s">
        <v>50</v>
      </c>
      <c r="S54" s="35" t="n">
        <f>18255.26</f>
        <v>18255.26</v>
      </c>
      <c r="T54" s="32" t="n">
        <f>1644</f>
        <v>1644.0</v>
      </c>
      <c r="U54" s="32" t="str">
        <f>"－"</f>
        <v>－</v>
      </c>
      <c r="V54" s="32" t="n">
        <f>29905855</f>
        <v>2.9905855E7</v>
      </c>
      <c r="W54" s="32" t="str">
        <f>"－"</f>
        <v>－</v>
      </c>
      <c r="X54" s="36" t="n">
        <f>19</f>
        <v>19.0</v>
      </c>
    </row>
    <row r="55">
      <c r="A55" s="27" t="s">
        <v>42</v>
      </c>
      <c r="B55" s="27" t="s">
        <v>206</v>
      </c>
      <c r="C55" s="27" t="s">
        <v>207</v>
      </c>
      <c r="D55" s="27" t="s">
        <v>208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4295</f>
        <v>4295.0</v>
      </c>
      <c r="L55" s="34" t="s">
        <v>48</v>
      </c>
      <c r="M55" s="33" t="n">
        <f>4300</f>
        <v>4300.0</v>
      </c>
      <c r="N55" s="34" t="s">
        <v>48</v>
      </c>
      <c r="O55" s="33" t="n">
        <f>4030</f>
        <v>4030.0</v>
      </c>
      <c r="P55" s="34" t="s">
        <v>70</v>
      </c>
      <c r="Q55" s="33" t="n">
        <f>4125</f>
        <v>4125.0</v>
      </c>
      <c r="R55" s="34" t="s">
        <v>50</v>
      </c>
      <c r="S55" s="35" t="n">
        <f>4167.69</f>
        <v>4167.69</v>
      </c>
      <c r="T55" s="32" t="n">
        <f>504</f>
        <v>504.0</v>
      </c>
      <c r="U55" s="32" t="str">
        <f>"－"</f>
        <v>－</v>
      </c>
      <c r="V55" s="32" t="n">
        <f>2084830</f>
        <v>2084830.0</v>
      </c>
      <c r="W55" s="32" t="str">
        <f>"－"</f>
        <v>－</v>
      </c>
      <c r="X55" s="36" t="n">
        <f>13</f>
        <v>13.0</v>
      </c>
    </row>
    <row r="56">
      <c r="A56" s="27" t="s">
        <v>42</v>
      </c>
      <c r="B56" s="27" t="s">
        <v>209</v>
      </c>
      <c r="C56" s="27" t="s">
        <v>210</v>
      </c>
      <c r="D56" s="27" t="s">
        <v>211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1434</f>
        <v>1434.0</v>
      </c>
      <c r="L56" s="34" t="s">
        <v>48</v>
      </c>
      <c r="M56" s="33" t="n">
        <f>1459</f>
        <v>1459.0</v>
      </c>
      <c r="N56" s="34" t="s">
        <v>48</v>
      </c>
      <c r="O56" s="33" t="n">
        <f>1251</f>
        <v>1251.0</v>
      </c>
      <c r="P56" s="34" t="s">
        <v>49</v>
      </c>
      <c r="Q56" s="33" t="n">
        <f>1315</f>
        <v>1315.0</v>
      </c>
      <c r="R56" s="34" t="s">
        <v>50</v>
      </c>
      <c r="S56" s="35" t="n">
        <f>1345.95</f>
        <v>1345.95</v>
      </c>
      <c r="T56" s="32" t="n">
        <f>35289</f>
        <v>35289.0</v>
      </c>
      <c r="U56" s="32" t="str">
        <f>"－"</f>
        <v>－</v>
      </c>
      <c r="V56" s="32" t="n">
        <f>47363553</f>
        <v>4.7363553E7</v>
      </c>
      <c r="W56" s="32" t="str">
        <f>"－"</f>
        <v>－</v>
      </c>
      <c r="X56" s="36" t="n">
        <f>20</f>
        <v>20.0</v>
      </c>
    </row>
    <row r="57">
      <c r="A57" s="27" t="s">
        <v>42</v>
      </c>
      <c r="B57" s="27" t="s">
        <v>212</v>
      </c>
      <c r="C57" s="27" t="s">
        <v>213</v>
      </c>
      <c r="D57" s="27" t="s">
        <v>214</v>
      </c>
      <c r="E57" s="28" t="s">
        <v>46</v>
      </c>
      <c r="F57" s="29" t="s">
        <v>46</v>
      </c>
      <c r="G57" s="30" t="s">
        <v>46</v>
      </c>
      <c r="H57" s="31" t="s">
        <v>215</v>
      </c>
      <c r="I57" s="31"/>
      <c r="J57" s="32" t="n">
        <v>10.0</v>
      </c>
      <c r="K57" s="33" t="n">
        <f>15100</f>
        <v>15100.0</v>
      </c>
      <c r="L57" s="34" t="s">
        <v>48</v>
      </c>
      <c r="M57" s="33" t="n">
        <f>17780</f>
        <v>17780.0</v>
      </c>
      <c r="N57" s="34" t="s">
        <v>70</v>
      </c>
      <c r="O57" s="33" t="n">
        <f>15100</f>
        <v>15100.0</v>
      </c>
      <c r="P57" s="34" t="s">
        <v>48</v>
      </c>
      <c r="Q57" s="33" t="n">
        <f>17075</f>
        <v>17075.0</v>
      </c>
      <c r="R57" s="34" t="s">
        <v>50</v>
      </c>
      <c r="S57" s="35" t="n">
        <f>16435</f>
        <v>16435.0</v>
      </c>
      <c r="T57" s="32" t="n">
        <f>3850</f>
        <v>3850.0</v>
      </c>
      <c r="U57" s="32" t="n">
        <f>10</f>
        <v>10.0</v>
      </c>
      <c r="V57" s="32" t="n">
        <f>63635950</f>
        <v>6.363595E7</v>
      </c>
      <c r="W57" s="32" t="n">
        <f>153000</f>
        <v>153000.0</v>
      </c>
      <c r="X57" s="36" t="n">
        <f>20</f>
        <v>20.0</v>
      </c>
    </row>
    <row r="58">
      <c r="A58" s="27" t="s">
        <v>42</v>
      </c>
      <c r="B58" s="27" t="s">
        <v>216</v>
      </c>
      <c r="C58" s="27" t="s">
        <v>217</v>
      </c>
      <c r="D58" s="27" t="s">
        <v>218</v>
      </c>
      <c r="E58" s="28" t="s">
        <v>46</v>
      </c>
      <c r="F58" s="29" t="s">
        <v>46</v>
      </c>
      <c r="G58" s="30" t="s">
        <v>46</v>
      </c>
      <c r="H58" s="31" t="s">
        <v>215</v>
      </c>
      <c r="I58" s="31"/>
      <c r="J58" s="32" t="n">
        <v>10.0</v>
      </c>
      <c r="K58" s="33" t="n">
        <f>3652</f>
        <v>3652.0</v>
      </c>
      <c r="L58" s="34" t="s">
        <v>48</v>
      </c>
      <c r="M58" s="33" t="n">
        <f>3652</f>
        <v>3652.0</v>
      </c>
      <c r="N58" s="34" t="s">
        <v>48</v>
      </c>
      <c r="O58" s="33" t="n">
        <f>3280</f>
        <v>3280.0</v>
      </c>
      <c r="P58" s="34" t="s">
        <v>70</v>
      </c>
      <c r="Q58" s="33" t="n">
        <f>3350</f>
        <v>3350.0</v>
      </c>
      <c r="R58" s="34" t="s">
        <v>50</v>
      </c>
      <c r="S58" s="35" t="n">
        <f>3463.69</f>
        <v>3463.69</v>
      </c>
      <c r="T58" s="32" t="n">
        <f>2040</f>
        <v>2040.0</v>
      </c>
      <c r="U58" s="32" t="n">
        <f>20</f>
        <v>20.0</v>
      </c>
      <c r="V58" s="32" t="n">
        <f>7077470</f>
        <v>7077470.0</v>
      </c>
      <c r="W58" s="32" t="n">
        <f>71000</f>
        <v>71000.0</v>
      </c>
      <c r="X58" s="36" t="n">
        <f>13</f>
        <v>13.0</v>
      </c>
    </row>
    <row r="59">
      <c r="A59" s="27" t="s">
        <v>42</v>
      </c>
      <c r="B59" s="27" t="s">
        <v>219</v>
      </c>
      <c r="C59" s="27" t="s">
        <v>220</v>
      </c>
      <c r="D59" s="27" t="s">
        <v>221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1419.5</f>
        <v>1419.5</v>
      </c>
      <c r="L59" s="34" t="s">
        <v>48</v>
      </c>
      <c r="M59" s="33" t="n">
        <f>1419.5</f>
        <v>1419.5</v>
      </c>
      <c r="N59" s="34" t="s">
        <v>48</v>
      </c>
      <c r="O59" s="33" t="n">
        <f>1235</f>
        <v>1235.0</v>
      </c>
      <c r="P59" s="34" t="s">
        <v>70</v>
      </c>
      <c r="Q59" s="33" t="n">
        <f>1301</f>
        <v>1301.0</v>
      </c>
      <c r="R59" s="34" t="s">
        <v>50</v>
      </c>
      <c r="S59" s="35" t="n">
        <f>1324.73</f>
        <v>1324.73</v>
      </c>
      <c r="T59" s="32" t="n">
        <f>91000</f>
        <v>91000.0</v>
      </c>
      <c r="U59" s="32" t="str">
        <f>"－"</f>
        <v>－</v>
      </c>
      <c r="V59" s="32" t="n">
        <f>119459250</f>
        <v>1.1945925E8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222</v>
      </c>
      <c r="C60" s="27" t="s">
        <v>223</v>
      </c>
      <c r="D60" s="27" t="s">
        <v>224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580</f>
        <v>580.0</v>
      </c>
      <c r="L60" s="34" t="s">
        <v>48</v>
      </c>
      <c r="M60" s="33" t="n">
        <f>586</f>
        <v>586.0</v>
      </c>
      <c r="N60" s="34" t="s">
        <v>61</v>
      </c>
      <c r="O60" s="33" t="n">
        <f>505</f>
        <v>505.0</v>
      </c>
      <c r="P60" s="34" t="s">
        <v>49</v>
      </c>
      <c r="Q60" s="33" t="n">
        <f>527</f>
        <v>527.0</v>
      </c>
      <c r="R60" s="34" t="s">
        <v>50</v>
      </c>
      <c r="S60" s="35" t="n">
        <f>538.6</f>
        <v>538.6</v>
      </c>
      <c r="T60" s="32" t="n">
        <f>52934</f>
        <v>52934.0</v>
      </c>
      <c r="U60" s="32" t="str">
        <f>"－"</f>
        <v>－</v>
      </c>
      <c r="V60" s="32" t="n">
        <f>28439072</f>
        <v>2.8439072E7</v>
      </c>
      <c r="W60" s="32" t="str">
        <f>"－"</f>
        <v>－</v>
      </c>
      <c r="X60" s="36" t="n">
        <f>20</f>
        <v>20.0</v>
      </c>
    </row>
    <row r="61">
      <c r="A61" s="27" t="s">
        <v>42</v>
      </c>
      <c r="B61" s="27" t="s">
        <v>225</v>
      </c>
      <c r="C61" s="27" t="s">
        <v>226</v>
      </c>
      <c r="D61" s="27" t="s">
        <v>227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2120.5</f>
        <v>2120.5</v>
      </c>
      <c r="L61" s="34" t="s">
        <v>48</v>
      </c>
      <c r="M61" s="33" t="n">
        <f>2240</f>
        <v>2240.0</v>
      </c>
      <c r="N61" s="34" t="s">
        <v>49</v>
      </c>
      <c r="O61" s="33" t="n">
        <f>2118.5</f>
        <v>2118.5</v>
      </c>
      <c r="P61" s="34" t="s">
        <v>48</v>
      </c>
      <c r="Q61" s="33" t="n">
        <f>2178.5</f>
        <v>2178.5</v>
      </c>
      <c r="R61" s="34" t="s">
        <v>50</v>
      </c>
      <c r="S61" s="35" t="n">
        <f>2177.88</f>
        <v>2177.88</v>
      </c>
      <c r="T61" s="32" t="n">
        <f>501880</f>
        <v>501880.0</v>
      </c>
      <c r="U61" s="32" t="n">
        <f>95670</f>
        <v>95670.0</v>
      </c>
      <c r="V61" s="32" t="n">
        <f>1097518483</f>
        <v>1.097518483E9</v>
      </c>
      <c r="W61" s="32" t="n">
        <f>203965698</f>
        <v>2.03965698E8</v>
      </c>
      <c r="X61" s="36" t="n">
        <f>20</f>
        <v>20.0</v>
      </c>
    </row>
    <row r="62">
      <c r="A62" s="27" t="s">
        <v>42</v>
      </c>
      <c r="B62" s="27" t="s">
        <v>228</v>
      </c>
      <c r="C62" s="27" t="s">
        <v>229</v>
      </c>
      <c r="D62" s="27" t="s">
        <v>230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18990</f>
        <v>18990.0</v>
      </c>
      <c r="L62" s="34" t="s">
        <v>48</v>
      </c>
      <c r="M62" s="33" t="n">
        <f>20145</f>
        <v>20145.0</v>
      </c>
      <c r="N62" s="34" t="s">
        <v>49</v>
      </c>
      <c r="O62" s="33" t="n">
        <f>18990</f>
        <v>18990.0</v>
      </c>
      <c r="P62" s="34" t="s">
        <v>48</v>
      </c>
      <c r="Q62" s="33" t="n">
        <f>19685</f>
        <v>19685.0</v>
      </c>
      <c r="R62" s="34" t="s">
        <v>50</v>
      </c>
      <c r="S62" s="35" t="n">
        <f>19569.25</f>
        <v>19569.25</v>
      </c>
      <c r="T62" s="32" t="n">
        <f>17496</f>
        <v>17496.0</v>
      </c>
      <c r="U62" s="32" t="n">
        <f>15000</f>
        <v>15000.0</v>
      </c>
      <c r="V62" s="32" t="n">
        <f>337276715</f>
        <v>3.37276715E8</v>
      </c>
      <c r="W62" s="32" t="n">
        <f>288465000</f>
        <v>2.88465E8</v>
      </c>
      <c r="X62" s="36" t="n">
        <f>20</f>
        <v>20.0</v>
      </c>
    </row>
    <row r="63">
      <c r="A63" s="27" t="s">
        <v>42</v>
      </c>
      <c r="B63" s="27" t="s">
        <v>231</v>
      </c>
      <c r="C63" s="27" t="s">
        <v>232</v>
      </c>
      <c r="D63" s="27" t="s">
        <v>233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2137</f>
        <v>2137.0</v>
      </c>
      <c r="L63" s="34" t="s">
        <v>48</v>
      </c>
      <c r="M63" s="33" t="n">
        <f>2260</f>
        <v>2260.0</v>
      </c>
      <c r="N63" s="34" t="s">
        <v>49</v>
      </c>
      <c r="O63" s="33" t="n">
        <f>2135</f>
        <v>2135.0</v>
      </c>
      <c r="P63" s="34" t="s">
        <v>48</v>
      </c>
      <c r="Q63" s="33" t="n">
        <f>2200</f>
        <v>2200.0</v>
      </c>
      <c r="R63" s="34" t="s">
        <v>50</v>
      </c>
      <c r="S63" s="35" t="n">
        <f>2195.45</f>
        <v>2195.45</v>
      </c>
      <c r="T63" s="32" t="n">
        <f>6569250</f>
        <v>6569250.0</v>
      </c>
      <c r="U63" s="32" t="n">
        <f>841577</f>
        <v>841577.0</v>
      </c>
      <c r="V63" s="32" t="n">
        <f>14528077301</f>
        <v>1.4528077301E10</v>
      </c>
      <c r="W63" s="32" t="n">
        <f>1863359810</f>
        <v>1.86335981E9</v>
      </c>
      <c r="X63" s="36" t="n">
        <f>20</f>
        <v>20.0</v>
      </c>
    </row>
    <row r="64">
      <c r="A64" s="27" t="s">
        <v>42</v>
      </c>
      <c r="B64" s="27" t="s">
        <v>234</v>
      </c>
      <c r="C64" s="27" t="s">
        <v>235</v>
      </c>
      <c r="D64" s="27" t="s">
        <v>236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1945</f>
        <v>1945.0</v>
      </c>
      <c r="L64" s="34" t="s">
        <v>48</v>
      </c>
      <c r="M64" s="33" t="n">
        <f>1945</f>
        <v>1945.0</v>
      </c>
      <c r="N64" s="34" t="s">
        <v>48</v>
      </c>
      <c r="O64" s="33" t="n">
        <f>1885</f>
        <v>1885.0</v>
      </c>
      <c r="P64" s="34" t="s">
        <v>104</v>
      </c>
      <c r="Q64" s="33" t="n">
        <f>1921</f>
        <v>1921.0</v>
      </c>
      <c r="R64" s="34" t="s">
        <v>50</v>
      </c>
      <c r="S64" s="35" t="n">
        <f>1917.9</f>
        <v>1917.9</v>
      </c>
      <c r="T64" s="32" t="n">
        <f>3179645</f>
        <v>3179645.0</v>
      </c>
      <c r="U64" s="32" t="n">
        <f>1116107</f>
        <v>1116107.0</v>
      </c>
      <c r="V64" s="32" t="n">
        <f>6110107824</f>
        <v>6.110107824E9</v>
      </c>
      <c r="W64" s="32" t="n">
        <f>2139315410</f>
        <v>2.13931541E9</v>
      </c>
      <c r="X64" s="36" t="n">
        <f>20</f>
        <v>20.0</v>
      </c>
    </row>
    <row r="65">
      <c r="A65" s="27" t="s">
        <v>42</v>
      </c>
      <c r="B65" s="27" t="s">
        <v>237</v>
      </c>
      <c r="C65" s="27" t="s">
        <v>238</v>
      </c>
      <c r="D65" s="27" t="s">
        <v>239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2039</f>
        <v>2039.0</v>
      </c>
      <c r="L65" s="34" t="s">
        <v>48</v>
      </c>
      <c r="M65" s="33" t="n">
        <f>2139</f>
        <v>2139.0</v>
      </c>
      <c r="N65" s="34" t="s">
        <v>49</v>
      </c>
      <c r="O65" s="33" t="n">
        <f>2038</f>
        <v>2038.0</v>
      </c>
      <c r="P65" s="34" t="s">
        <v>48</v>
      </c>
      <c r="Q65" s="33" t="n">
        <f>2083</f>
        <v>2083.0</v>
      </c>
      <c r="R65" s="34" t="s">
        <v>50</v>
      </c>
      <c r="S65" s="35" t="n">
        <f>2087</f>
        <v>2087.0</v>
      </c>
      <c r="T65" s="32" t="n">
        <f>220404</f>
        <v>220404.0</v>
      </c>
      <c r="U65" s="32" t="n">
        <f>188915</f>
        <v>188915.0</v>
      </c>
      <c r="V65" s="32" t="n">
        <f>461510887</f>
        <v>4.61510887E8</v>
      </c>
      <c r="W65" s="32" t="n">
        <f>396716339</f>
        <v>3.96716339E8</v>
      </c>
      <c r="X65" s="36" t="n">
        <f>20</f>
        <v>20.0</v>
      </c>
    </row>
    <row r="66">
      <c r="A66" s="27" t="s">
        <v>42</v>
      </c>
      <c r="B66" s="27" t="s">
        <v>240</v>
      </c>
      <c r="C66" s="27" t="s">
        <v>241</v>
      </c>
      <c r="D66" s="27" t="s">
        <v>242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2606</f>
        <v>2606.0</v>
      </c>
      <c r="L66" s="34" t="s">
        <v>48</v>
      </c>
      <c r="M66" s="33" t="n">
        <f>2745</f>
        <v>2745.0</v>
      </c>
      <c r="N66" s="34" t="s">
        <v>49</v>
      </c>
      <c r="O66" s="33" t="n">
        <f>2589</f>
        <v>2589.0</v>
      </c>
      <c r="P66" s="34" t="s">
        <v>80</v>
      </c>
      <c r="Q66" s="33" t="n">
        <f>2701</f>
        <v>2701.0</v>
      </c>
      <c r="R66" s="34" t="s">
        <v>50</v>
      </c>
      <c r="S66" s="35" t="n">
        <f>2667.25</f>
        <v>2667.25</v>
      </c>
      <c r="T66" s="32" t="n">
        <f>433523</f>
        <v>433523.0</v>
      </c>
      <c r="U66" s="32" t="n">
        <f>68700</f>
        <v>68700.0</v>
      </c>
      <c r="V66" s="32" t="n">
        <f>1156620569</f>
        <v>1.156620569E9</v>
      </c>
      <c r="W66" s="32" t="n">
        <f>185527450</f>
        <v>1.8552745E8</v>
      </c>
      <c r="X66" s="36" t="n">
        <f>20</f>
        <v>20.0</v>
      </c>
    </row>
    <row r="67">
      <c r="A67" s="27" t="s">
        <v>42</v>
      </c>
      <c r="B67" s="27" t="s">
        <v>243</v>
      </c>
      <c r="C67" s="27" t="s">
        <v>244</v>
      </c>
      <c r="D67" s="27" t="s">
        <v>245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25840</f>
        <v>25840.0</v>
      </c>
      <c r="L67" s="34" t="s">
        <v>80</v>
      </c>
      <c r="M67" s="33" t="n">
        <f>27415</f>
        <v>27415.0</v>
      </c>
      <c r="N67" s="34" t="s">
        <v>49</v>
      </c>
      <c r="O67" s="33" t="n">
        <f>25600</f>
        <v>25600.0</v>
      </c>
      <c r="P67" s="34" t="s">
        <v>61</v>
      </c>
      <c r="Q67" s="33" t="n">
        <f>27090</f>
        <v>27090.0</v>
      </c>
      <c r="R67" s="34" t="s">
        <v>70</v>
      </c>
      <c r="S67" s="35" t="n">
        <f>26425.77</f>
        <v>26425.77</v>
      </c>
      <c r="T67" s="32" t="n">
        <f>229</f>
        <v>229.0</v>
      </c>
      <c r="U67" s="32" t="str">
        <f>"－"</f>
        <v>－</v>
      </c>
      <c r="V67" s="32" t="n">
        <f>6129710</f>
        <v>6129710.0</v>
      </c>
      <c r="W67" s="32" t="str">
        <f>"－"</f>
        <v>－</v>
      </c>
      <c r="X67" s="36" t="n">
        <f>13</f>
        <v>13.0</v>
      </c>
    </row>
    <row r="68">
      <c r="A68" s="27" t="s">
        <v>42</v>
      </c>
      <c r="B68" s="27" t="s">
        <v>246</v>
      </c>
      <c r="C68" s="27" t="s">
        <v>247</v>
      </c>
      <c r="D68" s="27" t="s">
        <v>248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20700</f>
        <v>20700.0</v>
      </c>
      <c r="L68" s="34" t="s">
        <v>48</v>
      </c>
      <c r="M68" s="33" t="n">
        <f>21750</f>
        <v>21750.0</v>
      </c>
      <c r="N68" s="34" t="s">
        <v>178</v>
      </c>
      <c r="O68" s="33" t="n">
        <f>20700</f>
        <v>20700.0</v>
      </c>
      <c r="P68" s="34" t="s">
        <v>48</v>
      </c>
      <c r="Q68" s="33" t="n">
        <f>21750</f>
        <v>21750.0</v>
      </c>
      <c r="R68" s="34" t="s">
        <v>178</v>
      </c>
      <c r="S68" s="35" t="n">
        <f>21120</f>
        <v>21120.0</v>
      </c>
      <c r="T68" s="32" t="n">
        <f>36</f>
        <v>36.0</v>
      </c>
      <c r="U68" s="32" t="str">
        <f>"－"</f>
        <v>－</v>
      </c>
      <c r="V68" s="32" t="n">
        <f>768015</f>
        <v>768015.0</v>
      </c>
      <c r="W68" s="32" t="str">
        <f>"－"</f>
        <v>－</v>
      </c>
      <c r="X68" s="36" t="n">
        <f>8</f>
        <v>8.0</v>
      </c>
    </row>
    <row r="69">
      <c r="A69" s="27" t="s">
        <v>42</v>
      </c>
      <c r="B69" s="27" t="s">
        <v>249</v>
      </c>
      <c r="C69" s="27" t="s">
        <v>250</v>
      </c>
      <c r="D69" s="27" t="s">
        <v>251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2182</f>
        <v>2182.0</v>
      </c>
      <c r="L69" s="34" t="s">
        <v>48</v>
      </c>
      <c r="M69" s="33" t="n">
        <f>2310</f>
        <v>2310.0</v>
      </c>
      <c r="N69" s="34" t="s">
        <v>157</v>
      </c>
      <c r="O69" s="33" t="n">
        <f>2176</f>
        <v>2176.0</v>
      </c>
      <c r="P69" s="34" t="s">
        <v>91</v>
      </c>
      <c r="Q69" s="33" t="n">
        <f>2230</f>
        <v>2230.0</v>
      </c>
      <c r="R69" s="34" t="s">
        <v>50</v>
      </c>
      <c r="S69" s="35" t="n">
        <f>2237.55</f>
        <v>2237.55</v>
      </c>
      <c r="T69" s="32" t="n">
        <f>5511</f>
        <v>5511.0</v>
      </c>
      <c r="U69" s="32" t="str">
        <f>"－"</f>
        <v>－</v>
      </c>
      <c r="V69" s="32" t="n">
        <f>12179719</f>
        <v>1.2179719E7</v>
      </c>
      <c r="W69" s="32" t="str">
        <f>"－"</f>
        <v>－</v>
      </c>
      <c r="X69" s="36" t="n">
        <f>20</f>
        <v>20.0</v>
      </c>
    </row>
    <row r="70">
      <c r="A70" s="27" t="s">
        <v>42</v>
      </c>
      <c r="B70" s="27" t="s">
        <v>252</v>
      </c>
      <c r="C70" s="27" t="s">
        <v>253</v>
      </c>
      <c r="D70" s="27" t="s">
        <v>254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1940</f>
        <v>1940.0</v>
      </c>
      <c r="L70" s="34" t="s">
        <v>48</v>
      </c>
      <c r="M70" s="33" t="n">
        <f>1943</f>
        <v>1943.0</v>
      </c>
      <c r="N70" s="34" t="s">
        <v>91</v>
      </c>
      <c r="O70" s="33" t="n">
        <f>1867</f>
        <v>1867.0</v>
      </c>
      <c r="P70" s="34" t="s">
        <v>70</v>
      </c>
      <c r="Q70" s="33" t="n">
        <f>1892</f>
        <v>1892.0</v>
      </c>
      <c r="R70" s="34" t="s">
        <v>50</v>
      </c>
      <c r="S70" s="35" t="n">
        <f>1906.75</f>
        <v>1906.75</v>
      </c>
      <c r="T70" s="32" t="n">
        <f>6079619</f>
        <v>6079619.0</v>
      </c>
      <c r="U70" s="32" t="n">
        <f>4079014</f>
        <v>4079014.0</v>
      </c>
      <c r="V70" s="32" t="n">
        <f>11554583830</f>
        <v>1.155458383E10</v>
      </c>
      <c r="W70" s="32" t="n">
        <f>7752515232</f>
        <v>7.752515232E9</v>
      </c>
      <c r="X70" s="36" t="n">
        <f>20</f>
        <v>20.0</v>
      </c>
    </row>
    <row r="71">
      <c r="A71" s="27" t="s">
        <v>42</v>
      </c>
      <c r="B71" s="27" t="s">
        <v>255</v>
      </c>
      <c r="C71" s="27" t="s">
        <v>256</v>
      </c>
      <c r="D71" s="27" t="s">
        <v>257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2159</f>
        <v>2159.0</v>
      </c>
      <c r="L71" s="34" t="s">
        <v>48</v>
      </c>
      <c r="M71" s="33" t="n">
        <f>2296</f>
        <v>2296.0</v>
      </c>
      <c r="N71" s="34" t="s">
        <v>49</v>
      </c>
      <c r="O71" s="33" t="n">
        <f>2131</f>
        <v>2131.0</v>
      </c>
      <c r="P71" s="34" t="s">
        <v>258</v>
      </c>
      <c r="Q71" s="33" t="n">
        <f>2215</f>
        <v>2215.0</v>
      </c>
      <c r="R71" s="34" t="s">
        <v>50</v>
      </c>
      <c r="S71" s="35" t="n">
        <f>2210.6</f>
        <v>2210.6</v>
      </c>
      <c r="T71" s="32" t="n">
        <f>2401</f>
        <v>2401.0</v>
      </c>
      <c r="U71" s="32" t="str">
        <f>"－"</f>
        <v>－</v>
      </c>
      <c r="V71" s="32" t="n">
        <f>5301560</f>
        <v>5301560.0</v>
      </c>
      <c r="W71" s="32" t="str">
        <f>"－"</f>
        <v>－</v>
      </c>
      <c r="X71" s="36" t="n">
        <f>20</f>
        <v>20.0</v>
      </c>
    </row>
    <row r="72">
      <c r="A72" s="27" t="s">
        <v>42</v>
      </c>
      <c r="B72" s="27" t="s">
        <v>259</v>
      </c>
      <c r="C72" s="27" t="s">
        <v>260</v>
      </c>
      <c r="D72" s="27" t="s">
        <v>261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10.0</v>
      </c>
      <c r="K72" s="33" t="n">
        <f>2163</f>
        <v>2163.0</v>
      </c>
      <c r="L72" s="34" t="s">
        <v>48</v>
      </c>
      <c r="M72" s="33" t="n">
        <f>2292</f>
        <v>2292.0</v>
      </c>
      <c r="N72" s="34" t="s">
        <v>262</v>
      </c>
      <c r="O72" s="33" t="n">
        <f>2104.5</f>
        <v>2104.5</v>
      </c>
      <c r="P72" s="34" t="s">
        <v>61</v>
      </c>
      <c r="Q72" s="33" t="n">
        <f>2197</f>
        <v>2197.0</v>
      </c>
      <c r="R72" s="34" t="s">
        <v>50</v>
      </c>
      <c r="S72" s="35" t="n">
        <f>2206.53</f>
        <v>2206.53</v>
      </c>
      <c r="T72" s="32" t="n">
        <f>194510</f>
        <v>194510.0</v>
      </c>
      <c r="U72" s="32" t="str">
        <f>"－"</f>
        <v>－</v>
      </c>
      <c r="V72" s="32" t="n">
        <f>435405175</f>
        <v>4.35405175E8</v>
      </c>
      <c r="W72" s="32" t="str">
        <f>"－"</f>
        <v>－</v>
      </c>
      <c r="X72" s="36" t="n">
        <f>20</f>
        <v>20.0</v>
      </c>
    </row>
    <row r="73">
      <c r="A73" s="27" t="s">
        <v>42</v>
      </c>
      <c r="B73" s="27" t="s">
        <v>263</v>
      </c>
      <c r="C73" s="27" t="s">
        <v>264</v>
      </c>
      <c r="D73" s="27" t="s">
        <v>265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32470</f>
        <v>32470.0</v>
      </c>
      <c r="L73" s="34" t="s">
        <v>54</v>
      </c>
      <c r="M73" s="33" t="n">
        <f>34620</f>
        <v>34620.0</v>
      </c>
      <c r="N73" s="34" t="s">
        <v>50</v>
      </c>
      <c r="O73" s="33" t="n">
        <f>31770</f>
        <v>31770.0</v>
      </c>
      <c r="P73" s="34" t="s">
        <v>54</v>
      </c>
      <c r="Q73" s="33" t="n">
        <f>33650</f>
        <v>33650.0</v>
      </c>
      <c r="R73" s="34" t="s">
        <v>50</v>
      </c>
      <c r="S73" s="35" t="n">
        <f>33298</f>
        <v>33298.0</v>
      </c>
      <c r="T73" s="32" t="n">
        <f>49</f>
        <v>49.0</v>
      </c>
      <c r="U73" s="32" t="str">
        <f>"－"</f>
        <v>－</v>
      </c>
      <c r="V73" s="32" t="n">
        <f>1663880</f>
        <v>1663880.0</v>
      </c>
      <c r="W73" s="32" t="str">
        <f>"－"</f>
        <v>－</v>
      </c>
      <c r="X73" s="36" t="n">
        <f>5</f>
        <v>5.0</v>
      </c>
    </row>
    <row r="74">
      <c r="A74" s="27" t="s">
        <v>42</v>
      </c>
      <c r="B74" s="27" t="s">
        <v>266</v>
      </c>
      <c r="C74" s="27" t="s">
        <v>267</v>
      </c>
      <c r="D74" s="27" t="s">
        <v>268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22375</f>
        <v>22375.0</v>
      </c>
      <c r="L74" s="34" t="s">
        <v>48</v>
      </c>
      <c r="M74" s="33" t="n">
        <f>22740</f>
        <v>22740.0</v>
      </c>
      <c r="N74" s="34" t="s">
        <v>70</v>
      </c>
      <c r="O74" s="33" t="n">
        <f>22190</f>
        <v>22190.0</v>
      </c>
      <c r="P74" s="34" t="s">
        <v>66</v>
      </c>
      <c r="Q74" s="33" t="n">
        <f>22675</f>
        <v>22675.0</v>
      </c>
      <c r="R74" s="34" t="s">
        <v>50</v>
      </c>
      <c r="S74" s="35" t="n">
        <f>22487.5</f>
        <v>22487.5</v>
      </c>
      <c r="T74" s="32" t="n">
        <f>749217</f>
        <v>749217.0</v>
      </c>
      <c r="U74" s="32" t="n">
        <f>251803</f>
        <v>251803.0</v>
      </c>
      <c r="V74" s="32" t="n">
        <f>16862838813</f>
        <v>1.6862838813E10</v>
      </c>
      <c r="W74" s="32" t="n">
        <f>5679428863</f>
        <v>5.679428863E9</v>
      </c>
      <c r="X74" s="36" t="n">
        <f>20</f>
        <v>20.0</v>
      </c>
    </row>
    <row r="75">
      <c r="A75" s="27" t="s">
        <v>42</v>
      </c>
      <c r="B75" s="27" t="s">
        <v>269</v>
      </c>
      <c r="C75" s="27" t="s">
        <v>270</v>
      </c>
      <c r="D75" s="27" t="s">
        <v>271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14845</f>
        <v>14845.0</v>
      </c>
      <c r="L75" s="34" t="s">
        <v>48</v>
      </c>
      <c r="M75" s="33" t="n">
        <f>14985</f>
        <v>14985.0</v>
      </c>
      <c r="N75" s="34" t="s">
        <v>91</v>
      </c>
      <c r="O75" s="33" t="n">
        <f>14405</f>
        <v>14405.0</v>
      </c>
      <c r="P75" s="34" t="s">
        <v>70</v>
      </c>
      <c r="Q75" s="33" t="n">
        <f>14590</f>
        <v>14590.0</v>
      </c>
      <c r="R75" s="34" t="s">
        <v>50</v>
      </c>
      <c r="S75" s="35" t="n">
        <f>14713.75</f>
        <v>14713.75</v>
      </c>
      <c r="T75" s="32" t="n">
        <f>848657</f>
        <v>848657.0</v>
      </c>
      <c r="U75" s="32" t="n">
        <f>723952</f>
        <v>723952.0</v>
      </c>
      <c r="V75" s="32" t="n">
        <f>12453639642</f>
        <v>1.2453639642E10</v>
      </c>
      <c r="W75" s="32" t="n">
        <f>10635523317</f>
        <v>1.0635523317E10</v>
      </c>
      <c r="X75" s="36" t="n">
        <f>20</f>
        <v>20.0</v>
      </c>
    </row>
    <row r="76">
      <c r="A76" s="27" t="s">
        <v>42</v>
      </c>
      <c r="B76" s="27" t="s">
        <v>272</v>
      </c>
      <c r="C76" s="27" t="s">
        <v>273</v>
      </c>
      <c r="D76" s="27" t="s">
        <v>274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10.0</v>
      </c>
      <c r="K76" s="33" t="n">
        <f>1932.5</f>
        <v>1932.5</v>
      </c>
      <c r="L76" s="34" t="s">
        <v>48</v>
      </c>
      <c r="M76" s="33" t="n">
        <f>1949.5</f>
        <v>1949.5</v>
      </c>
      <c r="N76" s="34" t="s">
        <v>61</v>
      </c>
      <c r="O76" s="33" t="n">
        <f>1893.5</f>
        <v>1893.5</v>
      </c>
      <c r="P76" s="34" t="s">
        <v>104</v>
      </c>
      <c r="Q76" s="33" t="n">
        <f>1933.5</f>
        <v>1933.5</v>
      </c>
      <c r="R76" s="34" t="s">
        <v>50</v>
      </c>
      <c r="S76" s="35" t="n">
        <f>1925.63</f>
        <v>1925.63</v>
      </c>
      <c r="T76" s="32" t="n">
        <f>4273110</f>
        <v>4273110.0</v>
      </c>
      <c r="U76" s="32" t="n">
        <f>1545250</f>
        <v>1545250.0</v>
      </c>
      <c r="V76" s="32" t="n">
        <f>8194340752</f>
        <v>8.194340752E9</v>
      </c>
      <c r="W76" s="32" t="n">
        <f>2953721777</f>
        <v>2.953721777E9</v>
      </c>
      <c r="X76" s="36" t="n">
        <f>20</f>
        <v>20.0</v>
      </c>
    </row>
    <row r="77">
      <c r="A77" s="27" t="s">
        <v>42</v>
      </c>
      <c r="B77" s="27" t="s">
        <v>275</v>
      </c>
      <c r="C77" s="27" t="s">
        <v>276</v>
      </c>
      <c r="D77" s="27" t="s">
        <v>277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46120</f>
        <v>46120.0</v>
      </c>
      <c r="L77" s="34" t="s">
        <v>48</v>
      </c>
      <c r="M77" s="33" t="n">
        <f>47920</f>
        <v>47920.0</v>
      </c>
      <c r="N77" s="34" t="s">
        <v>49</v>
      </c>
      <c r="O77" s="33" t="n">
        <f>45870</f>
        <v>45870.0</v>
      </c>
      <c r="P77" s="34" t="s">
        <v>80</v>
      </c>
      <c r="Q77" s="33" t="n">
        <f>46860</f>
        <v>46860.0</v>
      </c>
      <c r="R77" s="34" t="s">
        <v>50</v>
      </c>
      <c r="S77" s="35" t="n">
        <f>47027</f>
        <v>47027.0</v>
      </c>
      <c r="T77" s="32" t="n">
        <f>369477</f>
        <v>369477.0</v>
      </c>
      <c r="U77" s="32" t="n">
        <f>28612</f>
        <v>28612.0</v>
      </c>
      <c r="V77" s="32" t="n">
        <f>17395242741</f>
        <v>1.7395242741E10</v>
      </c>
      <c r="W77" s="32" t="n">
        <f>1343691361</f>
        <v>1.343691361E9</v>
      </c>
      <c r="X77" s="36" t="n">
        <f>20</f>
        <v>20.0</v>
      </c>
    </row>
    <row r="78">
      <c r="A78" s="27" t="s">
        <v>42</v>
      </c>
      <c r="B78" s="27" t="s">
        <v>278</v>
      </c>
      <c r="C78" s="27" t="s">
        <v>279</v>
      </c>
      <c r="D78" s="27" t="s">
        <v>280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10.0</v>
      </c>
      <c r="K78" s="33" t="n">
        <f>7722</f>
        <v>7722.0</v>
      </c>
      <c r="L78" s="34" t="s">
        <v>54</v>
      </c>
      <c r="M78" s="33" t="n">
        <f>7722</f>
        <v>7722.0</v>
      </c>
      <c r="N78" s="34" t="s">
        <v>54</v>
      </c>
      <c r="O78" s="33" t="n">
        <f>7722</f>
        <v>7722.0</v>
      </c>
      <c r="P78" s="34" t="s">
        <v>54</v>
      </c>
      <c r="Q78" s="33" t="n">
        <f>7722</f>
        <v>7722.0</v>
      </c>
      <c r="R78" s="34" t="s">
        <v>54</v>
      </c>
      <c r="S78" s="35" t="n">
        <f>7722</f>
        <v>7722.0</v>
      </c>
      <c r="T78" s="32" t="n">
        <f>10</f>
        <v>10.0</v>
      </c>
      <c r="U78" s="32" t="str">
        <f>"－"</f>
        <v>－</v>
      </c>
      <c r="V78" s="32" t="n">
        <f>77220</f>
        <v>77220.0</v>
      </c>
      <c r="W78" s="32" t="str">
        <f>"－"</f>
        <v>－</v>
      </c>
      <c r="X78" s="36" t="n">
        <f>1</f>
        <v>1.0</v>
      </c>
    </row>
    <row r="79">
      <c r="A79" s="27" t="s">
        <v>42</v>
      </c>
      <c r="B79" s="27" t="s">
        <v>281</v>
      </c>
      <c r="C79" s="27" t="s">
        <v>282</v>
      </c>
      <c r="D79" s="27" t="s">
        <v>283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16200</f>
        <v>16200.0</v>
      </c>
      <c r="L79" s="34" t="s">
        <v>48</v>
      </c>
      <c r="M79" s="33" t="n">
        <f>17500</f>
        <v>17500.0</v>
      </c>
      <c r="N79" s="34" t="s">
        <v>49</v>
      </c>
      <c r="O79" s="33" t="n">
        <f>16160</f>
        <v>16160.0</v>
      </c>
      <c r="P79" s="34" t="s">
        <v>80</v>
      </c>
      <c r="Q79" s="33" t="n">
        <f>16375</f>
        <v>16375.0</v>
      </c>
      <c r="R79" s="34" t="s">
        <v>50</v>
      </c>
      <c r="S79" s="35" t="n">
        <f>16463.75</f>
        <v>16463.75</v>
      </c>
      <c r="T79" s="32" t="n">
        <f>1611</f>
        <v>1611.0</v>
      </c>
      <c r="U79" s="32" t="n">
        <f>614</f>
        <v>614.0</v>
      </c>
      <c r="V79" s="32" t="n">
        <f>26594580</f>
        <v>2.659458E7</v>
      </c>
      <c r="W79" s="32" t="n">
        <f>10093300</f>
        <v>1.00933E7</v>
      </c>
      <c r="X79" s="36" t="n">
        <f>20</f>
        <v>20.0</v>
      </c>
    </row>
    <row r="80">
      <c r="A80" s="27" t="s">
        <v>42</v>
      </c>
      <c r="B80" s="27" t="s">
        <v>284</v>
      </c>
      <c r="C80" s="27" t="s">
        <v>285</v>
      </c>
      <c r="D80" s="27" t="s">
        <v>286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16200</f>
        <v>16200.0</v>
      </c>
      <c r="L80" s="34" t="s">
        <v>48</v>
      </c>
      <c r="M80" s="33" t="n">
        <f>16640</f>
        <v>16640.0</v>
      </c>
      <c r="N80" s="34" t="s">
        <v>49</v>
      </c>
      <c r="O80" s="33" t="n">
        <f>16025</f>
        <v>16025.0</v>
      </c>
      <c r="P80" s="34" t="s">
        <v>50</v>
      </c>
      <c r="Q80" s="33" t="n">
        <f>16030</f>
        <v>16030.0</v>
      </c>
      <c r="R80" s="34" t="s">
        <v>50</v>
      </c>
      <c r="S80" s="35" t="n">
        <f>16314.5</f>
        <v>16314.5</v>
      </c>
      <c r="T80" s="32" t="n">
        <f>1960</f>
        <v>1960.0</v>
      </c>
      <c r="U80" s="32" t="str">
        <f>"－"</f>
        <v>－</v>
      </c>
      <c r="V80" s="32" t="n">
        <f>32129695</f>
        <v>3.2129695E7</v>
      </c>
      <c r="W80" s="32" t="str">
        <f>"－"</f>
        <v>－</v>
      </c>
      <c r="X80" s="36" t="n">
        <f>20</f>
        <v>20.0</v>
      </c>
    </row>
    <row r="81">
      <c r="A81" s="27" t="s">
        <v>42</v>
      </c>
      <c r="B81" s="27" t="s">
        <v>287</v>
      </c>
      <c r="C81" s="27" t="s">
        <v>288</v>
      </c>
      <c r="D81" s="27" t="s">
        <v>289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22435</f>
        <v>22435.0</v>
      </c>
      <c r="L81" s="34" t="s">
        <v>48</v>
      </c>
      <c r="M81" s="33" t="n">
        <f>23705</f>
        <v>23705.0</v>
      </c>
      <c r="N81" s="34" t="s">
        <v>262</v>
      </c>
      <c r="O81" s="33" t="n">
        <f>22320</f>
        <v>22320.0</v>
      </c>
      <c r="P81" s="34" t="s">
        <v>80</v>
      </c>
      <c r="Q81" s="33" t="n">
        <f>22735</f>
        <v>22735.0</v>
      </c>
      <c r="R81" s="34" t="s">
        <v>50</v>
      </c>
      <c r="S81" s="35" t="n">
        <f>22977.75</f>
        <v>22977.75</v>
      </c>
      <c r="T81" s="32" t="n">
        <f>10600</f>
        <v>10600.0</v>
      </c>
      <c r="U81" s="32" t="n">
        <f>5706</f>
        <v>5706.0</v>
      </c>
      <c r="V81" s="32" t="n">
        <f>242931960</f>
        <v>2.4293196E8</v>
      </c>
      <c r="W81" s="32" t="n">
        <f>130349895</f>
        <v>1.30349895E8</v>
      </c>
      <c r="X81" s="36" t="n">
        <f>20</f>
        <v>20.0</v>
      </c>
    </row>
    <row r="82">
      <c r="A82" s="27" t="s">
        <v>42</v>
      </c>
      <c r="B82" s="27" t="s">
        <v>290</v>
      </c>
      <c r="C82" s="27" t="s">
        <v>291</v>
      </c>
      <c r="D82" s="27" t="s">
        <v>292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10735</f>
        <v>10735.0</v>
      </c>
      <c r="L82" s="34" t="s">
        <v>48</v>
      </c>
      <c r="M82" s="33" t="n">
        <f>10760</f>
        <v>10760.0</v>
      </c>
      <c r="N82" s="34" t="s">
        <v>61</v>
      </c>
      <c r="O82" s="33" t="n">
        <f>10420</f>
        <v>10420.0</v>
      </c>
      <c r="P82" s="34" t="s">
        <v>50</v>
      </c>
      <c r="Q82" s="33" t="n">
        <f>10420</f>
        <v>10420.0</v>
      </c>
      <c r="R82" s="34" t="s">
        <v>50</v>
      </c>
      <c r="S82" s="35" t="n">
        <f>10596.75</f>
        <v>10596.75</v>
      </c>
      <c r="T82" s="32" t="n">
        <f>5180</f>
        <v>5180.0</v>
      </c>
      <c r="U82" s="32" t="n">
        <f>10</f>
        <v>10.0</v>
      </c>
      <c r="V82" s="32" t="n">
        <f>54799200</f>
        <v>5.47992E7</v>
      </c>
      <c r="W82" s="32" t="n">
        <f>106700</f>
        <v>106700.0</v>
      </c>
      <c r="X82" s="36" t="n">
        <f>20</f>
        <v>20.0</v>
      </c>
    </row>
    <row r="83">
      <c r="A83" s="27" t="s">
        <v>42</v>
      </c>
      <c r="B83" s="27" t="s">
        <v>293</v>
      </c>
      <c r="C83" s="27" t="s">
        <v>294</v>
      </c>
      <c r="D83" s="27" t="s">
        <v>295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1998</f>
        <v>1998.0</v>
      </c>
      <c r="L83" s="34" t="s">
        <v>48</v>
      </c>
      <c r="M83" s="33" t="n">
        <f>2000</f>
        <v>2000.0</v>
      </c>
      <c r="N83" s="34" t="s">
        <v>48</v>
      </c>
      <c r="O83" s="33" t="n">
        <f>1923</f>
        <v>1923.0</v>
      </c>
      <c r="P83" s="34" t="s">
        <v>168</v>
      </c>
      <c r="Q83" s="33" t="n">
        <f>1951</f>
        <v>1951.0</v>
      </c>
      <c r="R83" s="34" t="s">
        <v>50</v>
      </c>
      <c r="S83" s="35" t="n">
        <f>1957.4</f>
        <v>1957.4</v>
      </c>
      <c r="T83" s="32" t="n">
        <f>401870</f>
        <v>401870.0</v>
      </c>
      <c r="U83" s="32" t="n">
        <f>156300</f>
        <v>156300.0</v>
      </c>
      <c r="V83" s="32" t="n">
        <f>783721430</f>
        <v>7.8372143E8</v>
      </c>
      <c r="W83" s="32" t="n">
        <f>303622140</f>
        <v>3.0362214E8</v>
      </c>
      <c r="X83" s="36" t="n">
        <f>20</f>
        <v>20.0</v>
      </c>
    </row>
    <row r="84">
      <c r="A84" s="27" t="s">
        <v>42</v>
      </c>
      <c r="B84" s="27" t="s">
        <v>296</v>
      </c>
      <c r="C84" s="27" t="s">
        <v>297</v>
      </c>
      <c r="D84" s="27" t="s">
        <v>298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1925</f>
        <v>1925.0</v>
      </c>
      <c r="L84" s="34" t="s">
        <v>48</v>
      </c>
      <c r="M84" s="33" t="n">
        <f>1929</f>
        <v>1929.0</v>
      </c>
      <c r="N84" s="34" t="s">
        <v>48</v>
      </c>
      <c r="O84" s="33" t="n">
        <f>1880</f>
        <v>1880.0</v>
      </c>
      <c r="P84" s="34" t="s">
        <v>168</v>
      </c>
      <c r="Q84" s="33" t="n">
        <f>1901</f>
        <v>1901.0</v>
      </c>
      <c r="R84" s="34" t="s">
        <v>50</v>
      </c>
      <c r="S84" s="35" t="n">
        <f>1906.35</f>
        <v>1906.35</v>
      </c>
      <c r="T84" s="32" t="n">
        <f>604188</f>
        <v>604188.0</v>
      </c>
      <c r="U84" s="32" t="n">
        <f>5001</f>
        <v>5001.0</v>
      </c>
      <c r="V84" s="32" t="n">
        <f>1149232435</f>
        <v>1.149232435E9</v>
      </c>
      <c r="W84" s="32" t="n">
        <f>9575285</f>
        <v>9575285.0</v>
      </c>
      <c r="X84" s="36" t="n">
        <f>20</f>
        <v>20.0</v>
      </c>
    </row>
    <row r="85">
      <c r="A85" s="27" t="s">
        <v>42</v>
      </c>
      <c r="B85" s="27" t="s">
        <v>299</v>
      </c>
      <c r="C85" s="27" t="s">
        <v>300</v>
      </c>
      <c r="D85" s="27" t="s">
        <v>301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15880</f>
        <v>15880.0</v>
      </c>
      <c r="L85" s="34" t="s">
        <v>48</v>
      </c>
      <c r="M85" s="33" t="n">
        <f>16870</f>
        <v>16870.0</v>
      </c>
      <c r="N85" s="34" t="s">
        <v>49</v>
      </c>
      <c r="O85" s="33" t="n">
        <f>15880</f>
        <v>15880.0</v>
      </c>
      <c r="P85" s="34" t="s">
        <v>48</v>
      </c>
      <c r="Q85" s="33" t="n">
        <f>16445</f>
        <v>16445.0</v>
      </c>
      <c r="R85" s="34" t="s">
        <v>50</v>
      </c>
      <c r="S85" s="35" t="n">
        <f>16381.25</f>
        <v>16381.25</v>
      </c>
      <c r="T85" s="32" t="n">
        <f>12685</f>
        <v>12685.0</v>
      </c>
      <c r="U85" s="32" t="n">
        <f>7000</f>
        <v>7000.0</v>
      </c>
      <c r="V85" s="32" t="n">
        <f>209052395</f>
        <v>2.09052395E8</v>
      </c>
      <c r="W85" s="32" t="n">
        <f>116456200</f>
        <v>1.164562E8</v>
      </c>
      <c r="X85" s="36" t="n">
        <f>20</f>
        <v>20.0</v>
      </c>
    </row>
    <row r="86">
      <c r="A86" s="27" t="s">
        <v>42</v>
      </c>
      <c r="B86" s="27" t="s">
        <v>302</v>
      </c>
      <c r="C86" s="27" t="s">
        <v>303</v>
      </c>
      <c r="D86" s="27" t="s">
        <v>304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8698</f>
        <v>8698.0</v>
      </c>
      <c r="L86" s="34" t="s">
        <v>48</v>
      </c>
      <c r="M86" s="33" t="n">
        <f>8870</f>
        <v>8870.0</v>
      </c>
      <c r="N86" s="34" t="s">
        <v>161</v>
      </c>
      <c r="O86" s="33" t="n">
        <f>8670</f>
        <v>8670.0</v>
      </c>
      <c r="P86" s="34" t="s">
        <v>157</v>
      </c>
      <c r="Q86" s="33" t="n">
        <f>8798</f>
        <v>8798.0</v>
      </c>
      <c r="R86" s="34" t="s">
        <v>50</v>
      </c>
      <c r="S86" s="35" t="n">
        <f>8752.9</f>
        <v>8752.9</v>
      </c>
      <c r="T86" s="32" t="n">
        <f>2318</f>
        <v>2318.0</v>
      </c>
      <c r="U86" s="32" t="str">
        <f>"－"</f>
        <v>－</v>
      </c>
      <c r="V86" s="32" t="n">
        <f>20305656</f>
        <v>2.0305656E7</v>
      </c>
      <c r="W86" s="32" t="str">
        <f>"－"</f>
        <v>－</v>
      </c>
      <c r="X86" s="36" t="n">
        <f>20</f>
        <v>20.0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8257</f>
        <v>8257.0</v>
      </c>
      <c r="L87" s="34" t="s">
        <v>48</v>
      </c>
      <c r="M87" s="33" t="n">
        <f>8425</f>
        <v>8425.0</v>
      </c>
      <c r="N87" s="34" t="s">
        <v>90</v>
      </c>
      <c r="O87" s="33" t="n">
        <f>8240</f>
        <v>8240.0</v>
      </c>
      <c r="P87" s="34" t="s">
        <v>48</v>
      </c>
      <c r="Q87" s="33" t="n">
        <f>8356</f>
        <v>8356.0</v>
      </c>
      <c r="R87" s="34" t="s">
        <v>50</v>
      </c>
      <c r="S87" s="35" t="n">
        <f>8330.35</f>
        <v>8330.35</v>
      </c>
      <c r="T87" s="32" t="n">
        <f>2114238</f>
        <v>2114238.0</v>
      </c>
      <c r="U87" s="32" t="n">
        <f>119407</f>
        <v>119407.0</v>
      </c>
      <c r="V87" s="32" t="n">
        <f>17607566890</f>
        <v>1.760756689E10</v>
      </c>
      <c r="W87" s="32" t="n">
        <f>993122195</f>
        <v>9.93122195E8</v>
      </c>
      <c r="X87" s="36" t="n">
        <f>20</f>
        <v>20.0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4250</f>
        <v>4250.0</v>
      </c>
      <c r="L88" s="34" t="s">
        <v>48</v>
      </c>
      <c r="M88" s="33" t="n">
        <f>4405</f>
        <v>4405.0</v>
      </c>
      <c r="N88" s="34" t="s">
        <v>66</v>
      </c>
      <c r="O88" s="33" t="n">
        <f>4200</f>
        <v>4200.0</v>
      </c>
      <c r="P88" s="34" t="s">
        <v>54</v>
      </c>
      <c r="Q88" s="33" t="n">
        <f>4245</f>
        <v>4245.0</v>
      </c>
      <c r="R88" s="34" t="s">
        <v>50</v>
      </c>
      <c r="S88" s="35" t="n">
        <f>4299.75</f>
        <v>4299.75</v>
      </c>
      <c r="T88" s="32" t="n">
        <f>411051</f>
        <v>411051.0</v>
      </c>
      <c r="U88" s="32" t="str">
        <f>"－"</f>
        <v>－</v>
      </c>
      <c r="V88" s="32" t="n">
        <f>1766281830</f>
        <v>1.76628183E9</v>
      </c>
      <c r="W88" s="32" t="str">
        <f>"－"</f>
        <v>－</v>
      </c>
      <c r="X88" s="36" t="n">
        <f>20</f>
        <v>20.0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9892</f>
        <v>9892.0</v>
      </c>
      <c r="L89" s="34" t="s">
        <v>48</v>
      </c>
      <c r="M89" s="33" t="n">
        <f>10215</f>
        <v>10215.0</v>
      </c>
      <c r="N89" s="34" t="s">
        <v>90</v>
      </c>
      <c r="O89" s="33" t="n">
        <f>9300</f>
        <v>9300.0</v>
      </c>
      <c r="P89" s="34" t="s">
        <v>168</v>
      </c>
      <c r="Q89" s="33" t="n">
        <f>9425</f>
        <v>9425.0</v>
      </c>
      <c r="R89" s="34" t="s">
        <v>50</v>
      </c>
      <c r="S89" s="35" t="n">
        <f>9691.35</f>
        <v>9691.35</v>
      </c>
      <c r="T89" s="32" t="n">
        <f>147498</f>
        <v>147498.0</v>
      </c>
      <c r="U89" s="32" t="str">
        <f>"－"</f>
        <v>－</v>
      </c>
      <c r="V89" s="32" t="n">
        <f>1429868241</f>
        <v>1.429868241E9</v>
      </c>
      <c r="W89" s="32" t="str">
        <f>"－"</f>
        <v>－</v>
      </c>
      <c r="X89" s="36" t="n">
        <f>20</f>
        <v>20.0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59920</f>
        <v>59920.0</v>
      </c>
      <c r="L90" s="34" t="s">
        <v>48</v>
      </c>
      <c r="M90" s="33" t="n">
        <f>63200</f>
        <v>63200.0</v>
      </c>
      <c r="N90" s="34" t="s">
        <v>66</v>
      </c>
      <c r="O90" s="33" t="n">
        <f>58500</f>
        <v>58500.0</v>
      </c>
      <c r="P90" s="34" t="s">
        <v>104</v>
      </c>
      <c r="Q90" s="33" t="n">
        <f>59140</f>
        <v>59140.0</v>
      </c>
      <c r="R90" s="34" t="s">
        <v>50</v>
      </c>
      <c r="S90" s="35" t="n">
        <f>60209</f>
        <v>60209.0</v>
      </c>
      <c r="T90" s="32" t="n">
        <f>5562</f>
        <v>5562.0</v>
      </c>
      <c r="U90" s="32" t="n">
        <f>1</f>
        <v>1.0</v>
      </c>
      <c r="V90" s="32" t="n">
        <f>336826570</f>
        <v>3.3682657E8</v>
      </c>
      <c r="W90" s="32" t="n">
        <f>59140</f>
        <v>59140.0</v>
      </c>
      <c r="X90" s="36" t="n">
        <f>20</f>
        <v>20.0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18335</f>
        <v>18335.0</v>
      </c>
      <c r="L91" s="34" t="s">
        <v>48</v>
      </c>
      <c r="M91" s="33" t="n">
        <f>20620</f>
        <v>20620.0</v>
      </c>
      <c r="N91" s="34" t="s">
        <v>70</v>
      </c>
      <c r="O91" s="33" t="n">
        <f>18120</f>
        <v>18120.0</v>
      </c>
      <c r="P91" s="34" t="s">
        <v>90</v>
      </c>
      <c r="Q91" s="33" t="n">
        <f>20290</f>
        <v>20290.0</v>
      </c>
      <c r="R91" s="34" t="s">
        <v>50</v>
      </c>
      <c r="S91" s="35" t="n">
        <f>19041.25</f>
        <v>19041.25</v>
      </c>
      <c r="T91" s="32" t="n">
        <f>2096987</f>
        <v>2096987.0</v>
      </c>
      <c r="U91" s="32" t="n">
        <f>56300</f>
        <v>56300.0</v>
      </c>
      <c r="V91" s="32" t="n">
        <f>39895052390</f>
        <v>3.989505239E10</v>
      </c>
      <c r="W91" s="32" t="n">
        <f>1052563150</f>
        <v>1.05256315E9</v>
      </c>
      <c r="X91" s="36" t="n">
        <f>20</f>
        <v>20.0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45490</f>
        <v>45490.0</v>
      </c>
      <c r="L92" s="34" t="s">
        <v>48</v>
      </c>
      <c r="M92" s="33" t="n">
        <f>45970</f>
        <v>45970.0</v>
      </c>
      <c r="N92" s="34" t="s">
        <v>80</v>
      </c>
      <c r="O92" s="33" t="n">
        <f>43950</f>
        <v>43950.0</v>
      </c>
      <c r="P92" s="34" t="s">
        <v>91</v>
      </c>
      <c r="Q92" s="33" t="n">
        <f>45130</f>
        <v>45130.0</v>
      </c>
      <c r="R92" s="34" t="s">
        <v>50</v>
      </c>
      <c r="S92" s="35" t="n">
        <f>44962.5</f>
        <v>44962.5</v>
      </c>
      <c r="T92" s="32" t="n">
        <f>115338</f>
        <v>115338.0</v>
      </c>
      <c r="U92" s="32" t="n">
        <f>12001</f>
        <v>12001.0</v>
      </c>
      <c r="V92" s="32" t="n">
        <f>5187642160</f>
        <v>5.18764216E9</v>
      </c>
      <c r="W92" s="32" t="n">
        <f>537480040</f>
        <v>5.3748004E8</v>
      </c>
      <c r="X92" s="36" t="n">
        <f>20</f>
        <v>20.0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6173</f>
        <v>6173.0</v>
      </c>
      <c r="L93" s="34" t="s">
        <v>48</v>
      </c>
      <c r="M93" s="33" t="n">
        <f>6483</f>
        <v>6483.0</v>
      </c>
      <c r="N93" s="34" t="s">
        <v>70</v>
      </c>
      <c r="O93" s="33" t="n">
        <f>6041</f>
        <v>6041.0</v>
      </c>
      <c r="P93" s="34" t="s">
        <v>66</v>
      </c>
      <c r="Q93" s="33" t="n">
        <f>6367</f>
        <v>6367.0</v>
      </c>
      <c r="R93" s="34" t="s">
        <v>50</v>
      </c>
      <c r="S93" s="35" t="n">
        <f>6222.6</f>
        <v>6222.6</v>
      </c>
      <c r="T93" s="32" t="n">
        <f>2171560</f>
        <v>2171560.0</v>
      </c>
      <c r="U93" s="32" t="n">
        <f>651130</f>
        <v>651130.0</v>
      </c>
      <c r="V93" s="32" t="n">
        <f>13587192218</f>
        <v>1.3587192218E10</v>
      </c>
      <c r="W93" s="32" t="n">
        <f>4096491498</f>
        <v>4.096491498E9</v>
      </c>
      <c r="X93" s="36" t="n">
        <f>20</f>
        <v>20.0</v>
      </c>
    </row>
    <row r="94">
      <c r="A94" s="27" t="s">
        <v>42</v>
      </c>
      <c r="B94" s="27" t="s">
        <v>326</v>
      </c>
      <c r="C94" s="27" t="s">
        <v>327</v>
      </c>
      <c r="D94" s="27" t="s">
        <v>328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4001</f>
        <v>4001.0</v>
      </c>
      <c r="L94" s="34" t="s">
        <v>48</v>
      </c>
      <c r="M94" s="33" t="n">
        <f>4150</f>
        <v>4150.0</v>
      </c>
      <c r="N94" s="34" t="s">
        <v>70</v>
      </c>
      <c r="O94" s="33" t="n">
        <f>3930</f>
        <v>3930.0</v>
      </c>
      <c r="P94" s="34" t="s">
        <v>91</v>
      </c>
      <c r="Q94" s="33" t="n">
        <f>4066</f>
        <v>4066.0</v>
      </c>
      <c r="R94" s="34" t="s">
        <v>50</v>
      </c>
      <c r="S94" s="35" t="n">
        <f>4022.75</f>
        <v>4022.75</v>
      </c>
      <c r="T94" s="32" t="n">
        <f>121230</f>
        <v>121230.0</v>
      </c>
      <c r="U94" s="32" t="n">
        <f>60</f>
        <v>60.0</v>
      </c>
      <c r="V94" s="32" t="n">
        <f>489377210</f>
        <v>4.8937721E8</v>
      </c>
      <c r="W94" s="32" t="n">
        <f>241330</f>
        <v>241330.0</v>
      </c>
      <c r="X94" s="36" t="n">
        <f>20</f>
        <v>20.0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4400</f>
        <v>4400.0</v>
      </c>
      <c r="L95" s="34" t="s">
        <v>48</v>
      </c>
      <c r="M95" s="33" t="n">
        <f>4532</f>
        <v>4532.0</v>
      </c>
      <c r="N95" s="34" t="s">
        <v>49</v>
      </c>
      <c r="O95" s="33" t="n">
        <f>4274</f>
        <v>4274.0</v>
      </c>
      <c r="P95" s="34" t="s">
        <v>54</v>
      </c>
      <c r="Q95" s="33" t="n">
        <f>4445</f>
        <v>4445.0</v>
      </c>
      <c r="R95" s="34" t="s">
        <v>50</v>
      </c>
      <c r="S95" s="35" t="n">
        <f>4434.8</f>
        <v>4434.8</v>
      </c>
      <c r="T95" s="32" t="n">
        <f>4670</f>
        <v>4670.0</v>
      </c>
      <c r="U95" s="32" t="str">
        <f>"－"</f>
        <v>－</v>
      </c>
      <c r="V95" s="32" t="n">
        <f>20760280</f>
        <v>2.076028E7</v>
      </c>
      <c r="W95" s="32" t="str">
        <f>"－"</f>
        <v>－</v>
      </c>
      <c r="X95" s="36" t="n">
        <f>20</f>
        <v>20.0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 t="s">
        <v>150</v>
      </c>
      <c r="I96" s="31" t="s">
        <v>47</v>
      </c>
      <c r="J96" s="32" t="n">
        <v>1.0</v>
      </c>
      <c r="K96" s="33" t="n">
        <f>1030</f>
        <v>1030.0</v>
      </c>
      <c r="L96" s="34" t="s">
        <v>48</v>
      </c>
      <c r="M96" s="33" t="n">
        <f>1051</f>
        <v>1051.0</v>
      </c>
      <c r="N96" s="34" t="s">
        <v>54</v>
      </c>
      <c r="O96" s="33" t="n">
        <f>952</f>
        <v>952.0</v>
      </c>
      <c r="P96" s="34" t="s">
        <v>178</v>
      </c>
      <c r="Q96" s="33" t="n">
        <f>971</f>
        <v>971.0</v>
      </c>
      <c r="R96" s="34" t="s">
        <v>50</v>
      </c>
      <c r="S96" s="35" t="n">
        <f>1004.65</f>
        <v>1004.65</v>
      </c>
      <c r="T96" s="32" t="n">
        <f>49591037</f>
        <v>4.9591037E7</v>
      </c>
      <c r="U96" s="32" t="n">
        <f>691570</f>
        <v>691570.0</v>
      </c>
      <c r="V96" s="32" t="n">
        <f>49811796395</f>
        <v>4.9811796395E10</v>
      </c>
      <c r="W96" s="32" t="n">
        <f>643496521</f>
        <v>6.43496521E8</v>
      </c>
      <c r="X96" s="36" t="n">
        <f>20</f>
        <v>20.0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3338</f>
        <v>3338.0</v>
      </c>
      <c r="L97" s="34" t="s">
        <v>48</v>
      </c>
      <c r="M97" s="33" t="n">
        <f>3458</f>
        <v>3458.0</v>
      </c>
      <c r="N97" s="34" t="s">
        <v>70</v>
      </c>
      <c r="O97" s="33" t="n">
        <f>3249</f>
        <v>3249.0</v>
      </c>
      <c r="P97" s="34" t="s">
        <v>48</v>
      </c>
      <c r="Q97" s="33" t="n">
        <f>3378</f>
        <v>3378.0</v>
      </c>
      <c r="R97" s="34" t="s">
        <v>50</v>
      </c>
      <c r="S97" s="35" t="n">
        <f>3345.85</f>
        <v>3345.85</v>
      </c>
      <c r="T97" s="32" t="n">
        <f>131370</f>
        <v>131370.0</v>
      </c>
      <c r="U97" s="32" t="n">
        <f>6300</f>
        <v>6300.0</v>
      </c>
      <c r="V97" s="32" t="n">
        <f>439354390</f>
        <v>4.3935439E8</v>
      </c>
      <c r="W97" s="32" t="n">
        <f>20624940</f>
        <v>2.062494E7</v>
      </c>
      <c r="X97" s="36" t="n">
        <f>20</f>
        <v>20.0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1683</f>
        <v>1683.0</v>
      </c>
      <c r="L98" s="34" t="s">
        <v>48</v>
      </c>
      <c r="M98" s="33" t="n">
        <f>1732</f>
        <v>1732.0</v>
      </c>
      <c r="N98" s="34" t="s">
        <v>54</v>
      </c>
      <c r="O98" s="33" t="n">
        <f>1648</f>
        <v>1648.0</v>
      </c>
      <c r="P98" s="34" t="s">
        <v>50</v>
      </c>
      <c r="Q98" s="33" t="n">
        <f>1648</f>
        <v>1648.0</v>
      </c>
      <c r="R98" s="34" t="s">
        <v>50</v>
      </c>
      <c r="S98" s="35" t="n">
        <f>1693.33</f>
        <v>1693.33</v>
      </c>
      <c r="T98" s="32" t="n">
        <f>180510</f>
        <v>180510.0</v>
      </c>
      <c r="U98" s="32" t="str">
        <f>"－"</f>
        <v>－</v>
      </c>
      <c r="V98" s="32" t="n">
        <f>306346210</f>
        <v>3.0634621E8</v>
      </c>
      <c r="W98" s="32" t="str">
        <f>"－"</f>
        <v>－</v>
      </c>
      <c r="X98" s="36" t="n">
        <f>20</f>
        <v>20.0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56630</f>
        <v>56630.0</v>
      </c>
      <c r="L99" s="34" t="s">
        <v>48</v>
      </c>
      <c r="M99" s="33" t="n">
        <f>59450</f>
        <v>59450.0</v>
      </c>
      <c r="N99" s="34" t="s">
        <v>70</v>
      </c>
      <c r="O99" s="33" t="n">
        <f>55400</f>
        <v>55400.0</v>
      </c>
      <c r="P99" s="34" t="s">
        <v>66</v>
      </c>
      <c r="Q99" s="33" t="n">
        <f>58590</f>
        <v>58590.0</v>
      </c>
      <c r="R99" s="34" t="s">
        <v>50</v>
      </c>
      <c r="S99" s="35" t="n">
        <f>57070</f>
        <v>57070.0</v>
      </c>
      <c r="T99" s="32" t="n">
        <f>155151</f>
        <v>155151.0</v>
      </c>
      <c r="U99" s="32" t="str">
        <f>"－"</f>
        <v>－</v>
      </c>
      <c r="V99" s="32" t="n">
        <f>8863196410</f>
        <v>8.86319641E9</v>
      </c>
      <c r="W99" s="32" t="str">
        <f>"－"</f>
        <v>－</v>
      </c>
      <c r="X99" s="36" t="n">
        <f>20</f>
        <v>20.0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3430</f>
        <v>3430.0</v>
      </c>
      <c r="L100" s="34" t="s">
        <v>48</v>
      </c>
      <c r="M100" s="33" t="n">
        <f>3450</f>
        <v>3450.0</v>
      </c>
      <c r="N100" s="34" t="s">
        <v>347</v>
      </c>
      <c r="O100" s="33" t="n">
        <f>3320</f>
        <v>3320.0</v>
      </c>
      <c r="P100" s="34" t="s">
        <v>347</v>
      </c>
      <c r="Q100" s="33" t="n">
        <f>3395</f>
        <v>3395.0</v>
      </c>
      <c r="R100" s="34" t="s">
        <v>50</v>
      </c>
      <c r="S100" s="35" t="n">
        <f>3409.75</f>
        <v>3409.75</v>
      </c>
      <c r="T100" s="32" t="n">
        <f>15139</f>
        <v>15139.0</v>
      </c>
      <c r="U100" s="32" t="str">
        <f>"－"</f>
        <v>－</v>
      </c>
      <c r="V100" s="32" t="n">
        <f>51645655</f>
        <v>5.1645655E7</v>
      </c>
      <c r="W100" s="32" t="str">
        <f>"－"</f>
        <v>－</v>
      </c>
      <c r="X100" s="36" t="n">
        <f>20</f>
        <v>20.0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4295</f>
        <v>4295.0</v>
      </c>
      <c r="L101" s="34" t="s">
        <v>48</v>
      </c>
      <c r="M101" s="33" t="n">
        <f>4365</f>
        <v>4365.0</v>
      </c>
      <c r="N101" s="34" t="s">
        <v>54</v>
      </c>
      <c r="O101" s="33" t="n">
        <f>4180</f>
        <v>4180.0</v>
      </c>
      <c r="P101" s="34" t="s">
        <v>168</v>
      </c>
      <c r="Q101" s="33" t="n">
        <f>4270</f>
        <v>4270.0</v>
      </c>
      <c r="R101" s="34" t="s">
        <v>50</v>
      </c>
      <c r="S101" s="35" t="n">
        <f>4305.25</f>
        <v>4305.25</v>
      </c>
      <c r="T101" s="32" t="n">
        <f>4623</f>
        <v>4623.0</v>
      </c>
      <c r="U101" s="32" t="str">
        <f>"－"</f>
        <v>－</v>
      </c>
      <c r="V101" s="32" t="n">
        <f>19785545</f>
        <v>1.9785545E7</v>
      </c>
      <c r="W101" s="32" t="str">
        <f>"－"</f>
        <v>－</v>
      </c>
      <c r="X101" s="36" t="n">
        <f>20</f>
        <v>20.0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2449</f>
        <v>2449.0</v>
      </c>
      <c r="L102" s="34" t="s">
        <v>48</v>
      </c>
      <c r="M102" s="33" t="n">
        <f>2580</f>
        <v>2580.0</v>
      </c>
      <c r="N102" s="34" t="s">
        <v>50</v>
      </c>
      <c r="O102" s="33" t="n">
        <f>2360</f>
        <v>2360.0</v>
      </c>
      <c r="P102" s="34" t="s">
        <v>48</v>
      </c>
      <c r="Q102" s="33" t="n">
        <f>2552</f>
        <v>2552.0</v>
      </c>
      <c r="R102" s="34" t="s">
        <v>50</v>
      </c>
      <c r="S102" s="35" t="n">
        <f>2475.6</f>
        <v>2475.6</v>
      </c>
      <c r="T102" s="32" t="n">
        <f>483544</f>
        <v>483544.0</v>
      </c>
      <c r="U102" s="32" t="str">
        <f>"－"</f>
        <v>－</v>
      </c>
      <c r="V102" s="32" t="n">
        <f>1198663695</f>
        <v>1.198663695E9</v>
      </c>
      <c r="W102" s="32" t="str">
        <f>"－"</f>
        <v>－</v>
      </c>
      <c r="X102" s="36" t="n">
        <f>20</f>
        <v>20.0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44930</f>
        <v>44930.0</v>
      </c>
      <c r="L103" s="34" t="s">
        <v>48</v>
      </c>
      <c r="M103" s="33" t="n">
        <f>45490</f>
        <v>45490.0</v>
      </c>
      <c r="N103" s="34" t="s">
        <v>70</v>
      </c>
      <c r="O103" s="33" t="n">
        <f>44300</f>
        <v>44300.0</v>
      </c>
      <c r="P103" s="34" t="s">
        <v>91</v>
      </c>
      <c r="Q103" s="33" t="n">
        <f>45380</f>
        <v>45380.0</v>
      </c>
      <c r="R103" s="34" t="s">
        <v>50</v>
      </c>
      <c r="S103" s="35" t="n">
        <f>44905.5</f>
        <v>44905.5</v>
      </c>
      <c r="T103" s="32" t="n">
        <f>14624</f>
        <v>14624.0</v>
      </c>
      <c r="U103" s="32" t="n">
        <f>2705</f>
        <v>2705.0</v>
      </c>
      <c r="V103" s="32" t="n">
        <f>658482880</f>
        <v>6.5848288E8</v>
      </c>
      <c r="W103" s="32" t="n">
        <f>122578810</f>
        <v>1.2257881E8</v>
      </c>
      <c r="X103" s="36" t="n">
        <f>20</f>
        <v>20.0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27860</f>
        <v>27860.0</v>
      </c>
      <c r="L104" s="34" t="s">
        <v>48</v>
      </c>
      <c r="M104" s="33" t="n">
        <f>31090</f>
        <v>31090.0</v>
      </c>
      <c r="N104" s="34" t="s">
        <v>49</v>
      </c>
      <c r="O104" s="33" t="n">
        <f>27780</f>
        <v>27780.0</v>
      </c>
      <c r="P104" s="34" t="s">
        <v>80</v>
      </c>
      <c r="Q104" s="33" t="n">
        <f>29390</f>
        <v>29390.0</v>
      </c>
      <c r="R104" s="34" t="s">
        <v>50</v>
      </c>
      <c r="S104" s="35" t="n">
        <f>29333.75</f>
        <v>29333.75</v>
      </c>
      <c r="T104" s="32" t="n">
        <f>2286700</f>
        <v>2286700.0</v>
      </c>
      <c r="U104" s="32" t="n">
        <f>10100</f>
        <v>10100.0</v>
      </c>
      <c r="V104" s="32" t="n">
        <f>67117127100</f>
        <v>6.71171271E10</v>
      </c>
      <c r="W104" s="32" t="n">
        <f>302871300</f>
        <v>3.028713E8</v>
      </c>
      <c r="X104" s="36" t="n">
        <f>20</f>
        <v>20.0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1852.5</f>
        <v>1852.5</v>
      </c>
      <c r="L105" s="34" t="s">
        <v>48</v>
      </c>
      <c r="M105" s="33" t="n">
        <f>1854</f>
        <v>1854.0</v>
      </c>
      <c r="N105" s="34" t="s">
        <v>48</v>
      </c>
      <c r="O105" s="33" t="n">
        <f>1750</f>
        <v>1750.0</v>
      </c>
      <c r="P105" s="34" t="s">
        <v>49</v>
      </c>
      <c r="Q105" s="33" t="n">
        <f>1797.5</f>
        <v>1797.5</v>
      </c>
      <c r="R105" s="34" t="s">
        <v>50</v>
      </c>
      <c r="S105" s="35" t="n">
        <f>1802.75</f>
        <v>1802.75</v>
      </c>
      <c r="T105" s="32" t="n">
        <f>369770</f>
        <v>369770.0</v>
      </c>
      <c r="U105" s="32" t="str">
        <f>"－"</f>
        <v>－</v>
      </c>
      <c r="V105" s="32" t="n">
        <f>664160595</f>
        <v>6.64160595E8</v>
      </c>
      <c r="W105" s="32" t="str">
        <f>"－"</f>
        <v>－</v>
      </c>
      <c r="X105" s="36" t="n">
        <f>20</f>
        <v>20.0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15990</f>
        <v>15990.0</v>
      </c>
      <c r="L106" s="34" t="s">
        <v>48</v>
      </c>
      <c r="M106" s="33" t="n">
        <f>18895</f>
        <v>18895.0</v>
      </c>
      <c r="N106" s="34" t="s">
        <v>70</v>
      </c>
      <c r="O106" s="33" t="n">
        <f>15850</f>
        <v>15850.0</v>
      </c>
      <c r="P106" s="34" t="s">
        <v>54</v>
      </c>
      <c r="Q106" s="33" t="n">
        <f>18030</f>
        <v>18030.0</v>
      </c>
      <c r="R106" s="34" t="s">
        <v>50</v>
      </c>
      <c r="S106" s="35" t="n">
        <f>17215.5</f>
        <v>17215.5</v>
      </c>
      <c r="T106" s="32" t="n">
        <f>109748393</f>
        <v>1.09748393E8</v>
      </c>
      <c r="U106" s="32" t="n">
        <f>123925</f>
        <v>123925.0</v>
      </c>
      <c r="V106" s="32" t="n">
        <f>1909435619620</f>
        <v>1.90943561962E12</v>
      </c>
      <c r="W106" s="32" t="n">
        <f>2141605785</f>
        <v>2.141605785E9</v>
      </c>
      <c r="X106" s="36" t="n">
        <f>20</f>
        <v>20.0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888</f>
        <v>888.0</v>
      </c>
      <c r="L107" s="34" t="s">
        <v>48</v>
      </c>
      <c r="M107" s="33" t="n">
        <f>891</f>
        <v>891.0</v>
      </c>
      <c r="N107" s="34" t="s">
        <v>54</v>
      </c>
      <c r="O107" s="33" t="n">
        <f>813</f>
        <v>813.0</v>
      </c>
      <c r="P107" s="34" t="s">
        <v>70</v>
      </c>
      <c r="Q107" s="33" t="n">
        <f>833</f>
        <v>833.0</v>
      </c>
      <c r="R107" s="34" t="s">
        <v>50</v>
      </c>
      <c r="S107" s="35" t="n">
        <f>854.75</f>
        <v>854.75</v>
      </c>
      <c r="T107" s="32" t="n">
        <f>59509130</f>
        <v>5.950913E7</v>
      </c>
      <c r="U107" s="32" t="n">
        <f>9796002</f>
        <v>9796002.0</v>
      </c>
      <c r="V107" s="32" t="n">
        <f>50892674901</f>
        <v>5.0892674901E10</v>
      </c>
      <c r="W107" s="32" t="n">
        <f>8383938030</f>
        <v>8.38393803E9</v>
      </c>
      <c r="X107" s="36" t="n">
        <f>20</f>
        <v>20.0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4600</f>
        <v>4600.0</v>
      </c>
      <c r="L108" s="34" t="s">
        <v>48</v>
      </c>
      <c r="M108" s="33" t="n">
        <f>4803</f>
        <v>4803.0</v>
      </c>
      <c r="N108" s="34" t="s">
        <v>258</v>
      </c>
      <c r="O108" s="33" t="n">
        <f>3855</f>
        <v>3855.0</v>
      </c>
      <c r="P108" s="34" t="s">
        <v>50</v>
      </c>
      <c r="Q108" s="33" t="n">
        <f>3903</f>
        <v>3903.0</v>
      </c>
      <c r="R108" s="34" t="s">
        <v>50</v>
      </c>
      <c r="S108" s="35" t="n">
        <f>4479.2</f>
        <v>4479.2</v>
      </c>
      <c r="T108" s="32" t="n">
        <f>227810</f>
        <v>227810.0</v>
      </c>
      <c r="U108" s="32" t="str">
        <f>"－"</f>
        <v>－</v>
      </c>
      <c r="V108" s="32" t="n">
        <f>1009241790</f>
        <v>1.00924179E9</v>
      </c>
      <c r="W108" s="32" t="str">
        <f>"－"</f>
        <v>－</v>
      </c>
      <c r="X108" s="36" t="n">
        <f>20</f>
        <v>20.0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10400</f>
        <v>10400.0</v>
      </c>
      <c r="L109" s="34" t="s">
        <v>48</v>
      </c>
      <c r="M109" s="33" t="n">
        <f>11845</f>
        <v>11845.0</v>
      </c>
      <c r="N109" s="34" t="s">
        <v>50</v>
      </c>
      <c r="O109" s="33" t="n">
        <f>10045</f>
        <v>10045.0</v>
      </c>
      <c r="P109" s="34" t="s">
        <v>61</v>
      </c>
      <c r="Q109" s="33" t="n">
        <f>11675</f>
        <v>11675.0</v>
      </c>
      <c r="R109" s="34" t="s">
        <v>50</v>
      </c>
      <c r="S109" s="35" t="n">
        <f>10723.5</f>
        <v>10723.5</v>
      </c>
      <c r="T109" s="32" t="n">
        <f>19140</f>
        <v>19140.0</v>
      </c>
      <c r="U109" s="32" t="str">
        <f>"－"</f>
        <v>－</v>
      </c>
      <c r="V109" s="32" t="n">
        <f>207778900</f>
        <v>2.077789E8</v>
      </c>
      <c r="W109" s="32" t="str">
        <f>"－"</f>
        <v>－</v>
      </c>
      <c r="X109" s="36" t="n">
        <f>20</f>
        <v>20.0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26460</f>
        <v>26460.0</v>
      </c>
      <c r="L110" s="34" t="s">
        <v>48</v>
      </c>
      <c r="M110" s="33" t="n">
        <f>27550</f>
        <v>27550.0</v>
      </c>
      <c r="N110" s="34" t="s">
        <v>49</v>
      </c>
      <c r="O110" s="33" t="n">
        <f>26240</f>
        <v>26240.0</v>
      </c>
      <c r="P110" s="34" t="s">
        <v>54</v>
      </c>
      <c r="Q110" s="33" t="n">
        <f>26890</f>
        <v>26890.0</v>
      </c>
      <c r="R110" s="34" t="s">
        <v>50</v>
      </c>
      <c r="S110" s="35" t="n">
        <f>26902.5</f>
        <v>26902.5</v>
      </c>
      <c r="T110" s="32" t="n">
        <f>91918</f>
        <v>91918.0</v>
      </c>
      <c r="U110" s="32" t="n">
        <f>46672</f>
        <v>46672.0</v>
      </c>
      <c r="V110" s="32" t="n">
        <f>2459885629</f>
        <v>2.459885629E9</v>
      </c>
      <c r="W110" s="32" t="n">
        <f>1243157344</f>
        <v>1.243157344E9</v>
      </c>
      <c r="X110" s="36" t="n">
        <f>20</f>
        <v>20.0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2330</f>
        <v>2330.0</v>
      </c>
      <c r="L111" s="34" t="s">
        <v>48</v>
      </c>
      <c r="M111" s="33" t="n">
        <f>2540</f>
        <v>2540.0</v>
      </c>
      <c r="N111" s="34" t="s">
        <v>70</v>
      </c>
      <c r="O111" s="33" t="n">
        <f>2323</f>
        <v>2323.0</v>
      </c>
      <c r="P111" s="34" t="s">
        <v>54</v>
      </c>
      <c r="Q111" s="33" t="n">
        <f>2483</f>
        <v>2483.0</v>
      </c>
      <c r="R111" s="34" t="s">
        <v>50</v>
      </c>
      <c r="S111" s="35" t="n">
        <f>2423</f>
        <v>2423.0</v>
      </c>
      <c r="T111" s="32" t="n">
        <f>80501</f>
        <v>80501.0</v>
      </c>
      <c r="U111" s="32" t="str">
        <f>"－"</f>
        <v>－</v>
      </c>
      <c r="V111" s="32" t="n">
        <f>194067948</f>
        <v>1.94067948E8</v>
      </c>
      <c r="W111" s="32" t="str">
        <f>"－"</f>
        <v>－</v>
      </c>
      <c r="X111" s="36" t="n">
        <f>20</f>
        <v>20.0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17090</f>
        <v>17090.0</v>
      </c>
      <c r="L112" s="34" t="s">
        <v>48</v>
      </c>
      <c r="M112" s="33" t="n">
        <f>20165</f>
        <v>20165.0</v>
      </c>
      <c r="N112" s="34" t="s">
        <v>70</v>
      </c>
      <c r="O112" s="33" t="n">
        <f>16950</f>
        <v>16950.0</v>
      </c>
      <c r="P112" s="34" t="s">
        <v>54</v>
      </c>
      <c r="Q112" s="33" t="n">
        <f>19280</f>
        <v>19280.0</v>
      </c>
      <c r="R112" s="34" t="s">
        <v>50</v>
      </c>
      <c r="S112" s="35" t="n">
        <f>18409</f>
        <v>18409.0</v>
      </c>
      <c r="T112" s="32" t="n">
        <f>13781280</f>
        <v>1.378128E7</v>
      </c>
      <c r="U112" s="32" t="n">
        <f>10</f>
        <v>10.0</v>
      </c>
      <c r="V112" s="32" t="n">
        <f>256616749875</f>
        <v>2.56616749875E11</v>
      </c>
      <c r="W112" s="32" t="n">
        <f>193375</f>
        <v>193375.0</v>
      </c>
      <c r="X112" s="36" t="n">
        <f>20</f>
        <v>20.0</v>
      </c>
    </row>
    <row r="113">
      <c r="A113" s="27" t="s">
        <v>42</v>
      </c>
      <c r="B113" s="27" t="s">
        <v>384</v>
      </c>
      <c r="C113" s="27" t="s">
        <v>385</v>
      </c>
      <c r="D113" s="27" t="s">
        <v>386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2355.5</f>
        <v>2355.5</v>
      </c>
      <c r="L113" s="34" t="s">
        <v>48</v>
      </c>
      <c r="M113" s="33" t="n">
        <f>2363</f>
        <v>2363.0</v>
      </c>
      <c r="N113" s="34" t="s">
        <v>54</v>
      </c>
      <c r="O113" s="33" t="n">
        <f>2158.5</f>
        <v>2158.5</v>
      </c>
      <c r="P113" s="34" t="s">
        <v>70</v>
      </c>
      <c r="Q113" s="33" t="n">
        <f>2208.5</f>
        <v>2208.5</v>
      </c>
      <c r="R113" s="34" t="s">
        <v>50</v>
      </c>
      <c r="S113" s="35" t="n">
        <f>2268.3</f>
        <v>2268.3</v>
      </c>
      <c r="T113" s="32" t="n">
        <f>4775930</f>
        <v>4775930.0</v>
      </c>
      <c r="U113" s="32" t="n">
        <f>832000</f>
        <v>832000.0</v>
      </c>
      <c r="V113" s="32" t="n">
        <f>10822906025</f>
        <v>1.0822906025E10</v>
      </c>
      <c r="W113" s="32" t="n">
        <f>1935856100</f>
        <v>1.9358561E9</v>
      </c>
      <c r="X113" s="36" t="n">
        <f>20</f>
        <v>20.0</v>
      </c>
    </row>
    <row r="114">
      <c r="A114" s="27" t="s">
        <v>42</v>
      </c>
      <c r="B114" s="27" t="s">
        <v>387</v>
      </c>
      <c r="C114" s="27" t="s">
        <v>388</v>
      </c>
      <c r="D114" s="27" t="s">
        <v>389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1630</f>
        <v>1630.0</v>
      </c>
      <c r="L114" s="34" t="s">
        <v>54</v>
      </c>
      <c r="M114" s="33" t="n">
        <f>1697</f>
        <v>1697.0</v>
      </c>
      <c r="N114" s="34" t="s">
        <v>168</v>
      </c>
      <c r="O114" s="33" t="n">
        <f>1622</f>
        <v>1622.0</v>
      </c>
      <c r="P114" s="34" t="s">
        <v>91</v>
      </c>
      <c r="Q114" s="33" t="n">
        <f>1685.5</f>
        <v>1685.5</v>
      </c>
      <c r="R114" s="34" t="s">
        <v>50</v>
      </c>
      <c r="S114" s="35" t="n">
        <f>1669.29</f>
        <v>1669.29</v>
      </c>
      <c r="T114" s="32" t="n">
        <f>1830</f>
        <v>1830.0</v>
      </c>
      <c r="U114" s="32" t="str">
        <f>"－"</f>
        <v>－</v>
      </c>
      <c r="V114" s="32" t="n">
        <f>3002805</f>
        <v>3002805.0</v>
      </c>
      <c r="W114" s="32" t="str">
        <f>"－"</f>
        <v>－</v>
      </c>
      <c r="X114" s="36" t="n">
        <f>7</f>
        <v>7.0</v>
      </c>
    </row>
    <row r="115">
      <c r="A115" s="27" t="s">
        <v>42</v>
      </c>
      <c r="B115" s="27" t="s">
        <v>390</v>
      </c>
      <c r="C115" s="27" t="s">
        <v>391</v>
      </c>
      <c r="D115" s="27" t="s">
        <v>392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1740</f>
        <v>1740.0</v>
      </c>
      <c r="L115" s="34" t="s">
        <v>48</v>
      </c>
      <c r="M115" s="33" t="n">
        <f>1805</f>
        <v>1805.0</v>
      </c>
      <c r="N115" s="34" t="s">
        <v>70</v>
      </c>
      <c r="O115" s="33" t="n">
        <f>1681</f>
        <v>1681.0</v>
      </c>
      <c r="P115" s="34" t="s">
        <v>80</v>
      </c>
      <c r="Q115" s="33" t="n">
        <f>1768</f>
        <v>1768.0</v>
      </c>
      <c r="R115" s="34" t="s">
        <v>50</v>
      </c>
      <c r="S115" s="35" t="n">
        <f>1760.5</f>
        <v>1760.5</v>
      </c>
      <c r="T115" s="32" t="n">
        <f>212584</f>
        <v>212584.0</v>
      </c>
      <c r="U115" s="32" t="n">
        <f>200000</f>
        <v>200000.0</v>
      </c>
      <c r="V115" s="32" t="n">
        <f>379530404</f>
        <v>3.79530404E8</v>
      </c>
      <c r="W115" s="32" t="n">
        <f>357480000</f>
        <v>3.5748E8</v>
      </c>
      <c r="X115" s="36" t="n">
        <f>20</f>
        <v>20.0</v>
      </c>
    </row>
    <row r="116">
      <c r="A116" s="27" t="s">
        <v>42</v>
      </c>
      <c r="B116" s="27" t="s">
        <v>393</v>
      </c>
      <c r="C116" s="27" t="s">
        <v>394</v>
      </c>
      <c r="D116" s="27" t="s">
        <v>395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18685</f>
        <v>18685.0</v>
      </c>
      <c r="L116" s="34" t="s">
        <v>48</v>
      </c>
      <c r="M116" s="33" t="n">
        <f>19855</f>
        <v>19855.0</v>
      </c>
      <c r="N116" s="34" t="s">
        <v>49</v>
      </c>
      <c r="O116" s="33" t="n">
        <f>18670</f>
        <v>18670.0</v>
      </c>
      <c r="P116" s="34" t="s">
        <v>54</v>
      </c>
      <c r="Q116" s="33" t="n">
        <f>19370</f>
        <v>19370.0</v>
      </c>
      <c r="R116" s="34" t="s">
        <v>50</v>
      </c>
      <c r="S116" s="35" t="n">
        <f>19255.25</f>
        <v>19255.25</v>
      </c>
      <c r="T116" s="32" t="n">
        <f>129278</f>
        <v>129278.0</v>
      </c>
      <c r="U116" s="32" t="n">
        <f>51887</f>
        <v>51887.0</v>
      </c>
      <c r="V116" s="32" t="n">
        <f>2486246918</f>
        <v>2.486246918E9</v>
      </c>
      <c r="W116" s="32" t="n">
        <f>988626098</f>
        <v>9.88626098E8</v>
      </c>
      <c r="X116" s="36" t="n">
        <f>20</f>
        <v>20.0</v>
      </c>
    </row>
    <row r="117">
      <c r="A117" s="27" t="s">
        <v>42</v>
      </c>
      <c r="B117" s="27" t="s">
        <v>396</v>
      </c>
      <c r="C117" s="27" t="s">
        <v>397</v>
      </c>
      <c r="D117" s="27" t="s">
        <v>398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1724</f>
        <v>1724.0</v>
      </c>
      <c r="L117" s="34" t="s">
        <v>48</v>
      </c>
      <c r="M117" s="33" t="n">
        <f>1834</f>
        <v>1834.0</v>
      </c>
      <c r="N117" s="34" t="s">
        <v>49</v>
      </c>
      <c r="O117" s="33" t="n">
        <f>1689</f>
        <v>1689.0</v>
      </c>
      <c r="P117" s="34" t="s">
        <v>91</v>
      </c>
      <c r="Q117" s="33" t="n">
        <f>1791</f>
        <v>1791.0</v>
      </c>
      <c r="R117" s="34" t="s">
        <v>50</v>
      </c>
      <c r="S117" s="35" t="n">
        <f>1778.6</f>
        <v>1778.6</v>
      </c>
      <c r="T117" s="32" t="n">
        <f>99434</f>
        <v>99434.0</v>
      </c>
      <c r="U117" s="32" t="str">
        <f>"－"</f>
        <v>－</v>
      </c>
      <c r="V117" s="32" t="n">
        <f>177176605</f>
        <v>1.77176605E8</v>
      </c>
      <c r="W117" s="32" t="str">
        <f>"－"</f>
        <v>－</v>
      </c>
      <c r="X117" s="36" t="n">
        <f>20</f>
        <v>20.0</v>
      </c>
    </row>
    <row r="118">
      <c r="A118" s="27" t="s">
        <v>42</v>
      </c>
      <c r="B118" s="27" t="s">
        <v>399</v>
      </c>
      <c r="C118" s="27" t="s">
        <v>400</v>
      </c>
      <c r="D118" s="27" t="s">
        <v>401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19240</f>
        <v>19240.0</v>
      </c>
      <c r="L118" s="34" t="s">
        <v>48</v>
      </c>
      <c r="M118" s="33" t="n">
        <f>20495</f>
        <v>20495.0</v>
      </c>
      <c r="N118" s="34" t="s">
        <v>49</v>
      </c>
      <c r="O118" s="33" t="n">
        <f>19240</f>
        <v>19240.0</v>
      </c>
      <c r="P118" s="34" t="s">
        <v>48</v>
      </c>
      <c r="Q118" s="33" t="n">
        <f>19980</f>
        <v>19980.0</v>
      </c>
      <c r="R118" s="34" t="s">
        <v>50</v>
      </c>
      <c r="S118" s="35" t="n">
        <f>19859.25</f>
        <v>19859.25</v>
      </c>
      <c r="T118" s="32" t="n">
        <f>42676</f>
        <v>42676.0</v>
      </c>
      <c r="U118" s="32" t="n">
        <f>24775</f>
        <v>24775.0</v>
      </c>
      <c r="V118" s="32" t="n">
        <f>847365315</f>
        <v>8.47365315E8</v>
      </c>
      <c r="W118" s="32" t="n">
        <f>495674485</f>
        <v>4.95674485E8</v>
      </c>
      <c r="X118" s="36" t="n">
        <f>20</f>
        <v>20.0</v>
      </c>
    </row>
    <row r="119">
      <c r="A119" s="27" t="s">
        <v>42</v>
      </c>
      <c r="B119" s="27" t="s">
        <v>402</v>
      </c>
      <c r="C119" s="27" t="s">
        <v>403</v>
      </c>
      <c r="D119" s="27" t="s">
        <v>404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1907</f>
        <v>1907.0</v>
      </c>
      <c r="L119" s="34" t="s">
        <v>48</v>
      </c>
      <c r="M119" s="33" t="n">
        <f>1923.5</f>
        <v>1923.5</v>
      </c>
      <c r="N119" s="34" t="s">
        <v>61</v>
      </c>
      <c r="O119" s="33" t="n">
        <f>1868</f>
        <v>1868.0</v>
      </c>
      <c r="P119" s="34" t="s">
        <v>104</v>
      </c>
      <c r="Q119" s="33" t="n">
        <f>1899.5</f>
        <v>1899.5</v>
      </c>
      <c r="R119" s="34" t="s">
        <v>50</v>
      </c>
      <c r="S119" s="35" t="n">
        <f>1899.13</f>
        <v>1899.13</v>
      </c>
      <c r="T119" s="32" t="n">
        <f>1329860</f>
        <v>1329860.0</v>
      </c>
      <c r="U119" s="32" t="n">
        <f>202000</f>
        <v>202000.0</v>
      </c>
      <c r="V119" s="32" t="n">
        <f>2522282790</f>
        <v>2.52228279E9</v>
      </c>
      <c r="W119" s="32" t="n">
        <f>382717600</f>
        <v>3.827176E8</v>
      </c>
      <c r="X119" s="36" t="n">
        <f>20</f>
        <v>20.0</v>
      </c>
    </row>
    <row r="120">
      <c r="A120" s="27" t="s">
        <v>42</v>
      </c>
      <c r="B120" s="27" t="s">
        <v>405</v>
      </c>
      <c r="C120" s="27" t="s">
        <v>406</v>
      </c>
      <c r="D120" s="27" t="s">
        <v>407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1797</f>
        <v>1797.0</v>
      </c>
      <c r="L120" s="34" t="s">
        <v>48</v>
      </c>
      <c r="M120" s="33" t="n">
        <f>1874</f>
        <v>1874.0</v>
      </c>
      <c r="N120" s="34" t="s">
        <v>178</v>
      </c>
      <c r="O120" s="33" t="n">
        <f>1779</f>
        <v>1779.0</v>
      </c>
      <c r="P120" s="34" t="s">
        <v>91</v>
      </c>
      <c r="Q120" s="33" t="n">
        <f>1857</f>
        <v>1857.0</v>
      </c>
      <c r="R120" s="34" t="s">
        <v>157</v>
      </c>
      <c r="S120" s="35" t="n">
        <f>1825.39</f>
        <v>1825.39</v>
      </c>
      <c r="T120" s="32" t="n">
        <f>360</f>
        <v>360.0</v>
      </c>
      <c r="U120" s="32" t="str">
        <f>"－"</f>
        <v>－</v>
      </c>
      <c r="V120" s="32" t="n">
        <f>658165</f>
        <v>658165.0</v>
      </c>
      <c r="W120" s="32" t="str">
        <f>"－"</f>
        <v>－</v>
      </c>
      <c r="X120" s="36" t="n">
        <f>9</f>
        <v>9.0</v>
      </c>
    </row>
    <row r="121">
      <c r="A121" s="27" t="s">
        <v>42</v>
      </c>
      <c r="B121" s="27" t="s">
        <v>408</v>
      </c>
      <c r="C121" s="27" t="s">
        <v>409</v>
      </c>
      <c r="D121" s="27" t="s">
        <v>410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10.0</v>
      </c>
      <c r="K121" s="33" t="n">
        <f>1920</f>
        <v>1920.0</v>
      </c>
      <c r="L121" s="34" t="s">
        <v>48</v>
      </c>
      <c r="M121" s="33" t="n">
        <f>1943</f>
        <v>1943.0</v>
      </c>
      <c r="N121" s="34" t="s">
        <v>411</v>
      </c>
      <c r="O121" s="33" t="n">
        <f>1884</f>
        <v>1884.0</v>
      </c>
      <c r="P121" s="34" t="s">
        <v>104</v>
      </c>
      <c r="Q121" s="33" t="n">
        <f>1922</f>
        <v>1922.0</v>
      </c>
      <c r="R121" s="34" t="s">
        <v>50</v>
      </c>
      <c r="S121" s="35" t="n">
        <f>1915.3</f>
        <v>1915.3</v>
      </c>
      <c r="T121" s="32" t="n">
        <f>2236220</f>
        <v>2236220.0</v>
      </c>
      <c r="U121" s="32" t="n">
        <f>542880</f>
        <v>542880.0</v>
      </c>
      <c r="V121" s="32" t="n">
        <f>4285251560</f>
        <v>4.28525156E9</v>
      </c>
      <c r="W121" s="32" t="n">
        <f>1039961840</f>
        <v>1.03996184E9</v>
      </c>
      <c r="X121" s="36" t="n">
        <f>20</f>
        <v>20.0</v>
      </c>
    </row>
    <row r="122">
      <c r="A122" s="27" t="s">
        <v>42</v>
      </c>
      <c r="B122" s="27" t="s">
        <v>412</v>
      </c>
      <c r="C122" s="27" t="s">
        <v>413</v>
      </c>
      <c r="D122" s="27" t="s">
        <v>414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19050</f>
        <v>19050.0</v>
      </c>
      <c r="L122" s="34" t="s">
        <v>48</v>
      </c>
      <c r="M122" s="33" t="n">
        <f>20300</f>
        <v>20300.0</v>
      </c>
      <c r="N122" s="34" t="s">
        <v>49</v>
      </c>
      <c r="O122" s="33" t="n">
        <f>19050</f>
        <v>19050.0</v>
      </c>
      <c r="P122" s="34" t="s">
        <v>48</v>
      </c>
      <c r="Q122" s="33" t="n">
        <f>19855</f>
        <v>19855.0</v>
      </c>
      <c r="R122" s="34" t="s">
        <v>50</v>
      </c>
      <c r="S122" s="35" t="n">
        <f>19708.61</f>
        <v>19708.61</v>
      </c>
      <c r="T122" s="32" t="n">
        <f>1233</f>
        <v>1233.0</v>
      </c>
      <c r="U122" s="32" t="str">
        <f>"－"</f>
        <v>－</v>
      </c>
      <c r="V122" s="32" t="n">
        <f>24399120</f>
        <v>2.439912E7</v>
      </c>
      <c r="W122" s="32" t="str">
        <f>"－"</f>
        <v>－</v>
      </c>
      <c r="X122" s="36" t="n">
        <f>18</f>
        <v>18.0</v>
      </c>
    </row>
    <row r="123">
      <c r="A123" s="27" t="s">
        <v>42</v>
      </c>
      <c r="B123" s="27" t="s">
        <v>415</v>
      </c>
      <c r="C123" s="27" t="s">
        <v>416</v>
      </c>
      <c r="D123" s="27" t="s">
        <v>417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100.0</v>
      </c>
      <c r="K123" s="33" t="n">
        <f>208.4</f>
        <v>208.4</v>
      </c>
      <c r="L123" s="34" t="s">
        <v>48</v>
      </c>
      <c r="M123" s="33" t="n">
        <f>220.5</f>
        <v>220.5</v>
      </c>
      <c r="N123" s="34" t="s">
        <v>262</v>
      </c>
      <c r="O123" s="33" t="n">
        <f>205.4</f>
        <v>205.4</v>
      </c>
      <c r="P123" s="34" t="s">
        <v>61</v>
      </c>
      <c r="Q123" s="33" t="n">
        <f>214.3</f>
        <v>214.3</v>
      </c>
      <c r="R123" s="34" t="s">
        <v>50</v>
      </c>
      <c r="S123" s="35" t="n">
        <f>212.82</f>
        <v>212.82</v>
      </c>
      <c r="T123" s="32" t="n">
        <f>47660500</f>
        <v>4.76605E7</v>
      </c>
      <c r="U123" s="32" t="n">
        <f>7557900</f>
        <v>7557900.0</v>
      </c>
      <c r="V123" s="32" t="n">
        <f>10190200630</f>
        <v>1.019020063E10</v>
      </c>
      <c r="W123" s="32" t="n">
        <f>1600964260</f>
        <v>1.60096426E9</v>
      </c>
      <c r="X123" s="36" t="n">
        <f>20</f>
        <v>20.0</v>
      </c>
    </row>
    <row r="124">
      <c r="A124" s="27" t="s">
        <v>42</v>
      </c>
      <c r="B124" s="27" t="s">
        <v>418</v>
      </c>
      <c r="C124" s="27" t="s">
        <v>419</v>
      </c>
      <c r="D124" s="27" t="s">
        <v>420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33080</f>
        <v>33080.0</v>
      </c>
      <c r="L124" s="34" t="s">
        <v>48</v>
      </c>
      <c r="M124" s="33" t="n">
        <f>34150</f>
        <v>34150.0</v>
      </c>
      <c r="N124" s="34" t="s">
        <v>411</v>
      </c>
      <c r="O124" s="33" t="n">
        <f>32120</f>
        <v>32120.0</v>
      </c>
      <c r="P124" s="34" t="s">
        <v>91</v>
      </c>
      <c r="Q124" s="33" t="n">
        <f>33000</f>
        <v>33000.0</v>
      </c>
      <c r="R124" s="34" t="s">
        <v>50</v>
      </c>
      <c r="S124" s="35" t="n">
        <f>33332</f>
        <v>33332.0</v>
      </c>
      <c r="T124" s="32" t="n">
        <f>3424</f>
        <v>3424.0</v>
      </c>
      <c r="U124" s="32" t="str">
        <f>"－"</f>
        <v>－</v>
      </c>
      <c r="V124" s="32" t="n">
        <f>114524200</f>
        <v>1.145242E8</v>
      </c>
      <c r="W124" s="32" t="str">
        <f>"－"</f>
        <v>－</v>
      </c>
      <c r="X124" s="36" t="n">
        <f>20</f>
        <v>20.0</v>
      </c>
    </row>
    <row r="125">
      <c r="A125" s="27" t="s">
        <v>42</v>
      </c>
      <c r="B125" s="27" t="s">
        <v>421</v>
      </c>
      <c r="C125" s="27" t="s">
        <v>422</v>
      </c>
      <c r="D125" s="27" t="s">
        <v>423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13870</f>
        <v>13870.0</v>
      </c>
      <c r="L125" s="34" t="s">
        <v>48</v>
      </c>
      <c r="M125" s="33" t="n">
        <f>14015</f>
        <v>14015.0</v>
      </c>
      <c r="N125" s="34" t="s">
        <v>104</v>
      </c>
      <c r="O125" s="33" t="n">
        <f>13330</f>
        <v>13330.0</v>
      </c>
      <c r="P125" s="34" t="s">
        <v>50</v>
      </c>
      <c r="Q125" s="33" t="n">
        <f>13390</f>
        <v>13390.0</v>
      </c>
      <c r="R125" s="34" t="s">
        <v>50</v>
      </c>
      <c r="S125" s="35" t="n">
        <f>13705.75</f>
        <v>13705.75</v>
      </c>
      <c r="T125" s="32" t="n">
        <f>7522</f>
        <v>7522.0</v>
      </c>
      <c r="U125" s="32" t="str">
        <f>"－"</f>
        <v>－</v>
      </c>
      <c r="V125" s="32" t="n">
        <f>103091605</f>
        <v>1.03091605E8</v>
      </c>
      <c r="W125" s="32" t="str">
        <f>"－"</f>
        <v>－</v>
      </c>
      <c r="X125" s="36" t="n">
        <f>20</f>
        <v>20.0</v>
      </c>
    </row>
    <row r="126">
      <c r="A126" s="27" t="s">
        <v>42</v>
      </c>
      <c r="B126" s="27" t="s">
        <v>424</v>
      </c>
      <c r="C126" s="27" t="s">
        <v>425</v>
      </c>
      <c r="D126" s="27" t="s">
        <v>426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23645</f>
        <v>23645.0</v>
      </c>
      <c r="L126" s="34" t="s">
        <v>48</v>
      </c>
      <c r="M126" s="33" t="n">
        <f>24695</f>
        <v>24695.0</v>
      </c>
      <c r="N126" s="34" t="s">
        <v>49</v>
      </c>
      <c r="O126" s="33" t="n">
        <f>23575</f>
        <v>23575.0</v>
      </c>
      <c r="P126" s="34" t="s">
        <v>48</v>
      </c>
      <c r="Q126" s="33" t="n">
        <f>23750</f>
        <v>23750.0</v>
      </c>
      <c r="R126" s="34" t="s">
        <v>50</v>
      </c>
      <c r="S126" s="35" t="n">
        <f>24155.5</f>
        <v>24155.5</v>
      </c>
      <c r="T126" s="32" t="n">
        <f>2433</f>
        <v>2433.0</v>
      </c>
      <c r="U126" s="32" t="str">
        <f>"－"</f>
        <v>－</v>
      </c>
      <c r="V126" s="32" t="n">
        <f>58878035</f>
        <v>5.8878035E7</v>
      </c>
      <c r="W126" s="32" t="str">
        <f>"－"</f>
        <v>－</v>
      </c>
      <c r="X126" s="36" t="n">
        <f>20</f>
        <v>20.0</v>
      </c>
    </row>
    <row r="127">
      <c r="A127" s="27" t="s">
        <v>42</v>
      </c>
      <c r="B127" s="27" t="s">
        <v>427</v>
      </c>
      <c r="C127" s="27" t="s">
        <v>428</v>
      </c>
      <c r="D127" s="27" t="s">
        <v>429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26520</f>
        <v>26520.0</v>
      </c>
      <c r="L127" s="34" t="s">
        <v>48</v>
      </c>
      <c r="M127" s="33" t="n">
        <f>27565</f>
        <v>27565.0</v>
      </c>
      <c r="N127" s="34" t="s">
        <v>49</v>
      </c>
      <c r="O127" s="33" t="n">
        <f>26260</f>
        <v>26260.0</v>
      </c>
      <c r="P127" s="34" t="s">
        <v>61</v>
      </c>
      <c r="Q127" s="33" t="n">
        <f>26530</f>
        <v>26530.0</v>
      </c>
      <c r="R127" s="34" t="s">
        <v>50</v>
      </c>
      <c r="S127" s="35" t="n">
        <f>26791.25</f>
        <v>26791.25</v>
      </c>
      <c r="T127" s="32" t="n">
        <f>1603</f>
        <v>1603.0</v>
      </c>
      <c r="U127" s="32" t="str">
        <f>"－"</f>
        <v>－</v>
      </c>
      <c r="V127" s="32" t="n">
        <f>42899720</f>
        <v>4.289972E7</v>
      </c>
      <c r="W127" s="32" t="str">
        <f>"－"</f>
        <v>－</v>
      </c>
      <c r="X127" s="36" t="n">
        <f>20</f>
        <v>20.0</v>
      </c>
    </row>
    <row r="128">
      <c r="A128" s="27" t="s">
        <v>42</v>
      </c>
      <c r="B128" s="27" t="s">
        <v>430</v>
      </c>
      <c r="C128" s="27" t="s">
        <v>431</v>
      </c>
      <c r="D128" s="27" t="s">
        <v>432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26850</f>
        <v>26850.0</v>
      </c>
      <c r="L128" s="34" t="s">
        <v>48</v>
      </c>
      <c r="M128" s="33" t="n">
        <f>28350</f>
        <v>28350.0</v>
      </c>
      <c r="N128" s="34" t="s">
        <v>49</v>
      </c>
      <c r="O128" s="33" t="n">
        <f>26490</f>
        <v>26490.0</v>
      </c>
      <c r="P128" s="34" t="s">
        <v>91</v>
      </c>
      <c r="Q128" s="33" t="n">
        <f>27240</f>
        <v>27240.0</v>
      </c>
      <c r="R128" s="34" t="s">
        <v>50</v>
      </c>
      <c r="S128" s="35" t="n">
        <f>27434.25</f>
        <v>27434.25</v>
      </c>
      <c r="T128" s="32" t="n">
        <f>3593</f>
        <v>3593.0</v>
      </c>
      <c r="U128" s="32" t="str">
        <f>"－"</f>
        <v>－</v>
      </c>
      <c r="V128" s="32" t="n">
        <f>98079895</f>
        <v>9.8079895E7</v>
      </c>
      <c r="W128" s="32" t="str">
        <f>"－"</f>
        <v>－</v>
      </c>
      <c r="X128" s="36" t="n">
        <f>20</f>
        <v>20.0</v>
      </c>
    </row>
    <row r="129">
      <c r="A129" s="27" t="s">
        <v>42</v>
      </c>
      <c r="B129" s="27" t="s">
        <v>433</v>
      </c>
      <c r="C129" s="27" t="s">
        <v>434</v>
      </c>
      <c r="D129" s="27" t="s">
        <v>435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23905</f>
        <v>23905.0</v>
      </c>
      <c r="L129" s="34" t="s">
        <v>48</v>
      </c>
      <c r="M129" s="33" t="n">
        <f>25265</f>
        <v>25265.0</v>
      </c>
      <c r="N129" s="34" t="s">
        <v>49</v>
      </c>
      <c r="O129" s="33" t="n">
        <f>23610</f>
        <v>23610.0</v>
      </c>
      <c r="P129" s="34" t="s">
        <v>54</v>
      </c>
      <c r="Q129" s="33" t="n">
        <f>24570</f>
        <v>24570.0</v>
      </c>
      <c r="R129" s="34" t="s">
        <v>50</v>
      </c>
      <c r="S129" s="35" t="n">
        <f>24509.25</f>
        <v>24509.25</v>
      </c>
      <c r="T129" s="32" t="n">
        <f>5094</f>
        <v>5094.0</v>
      </c>
      <c r="U129" s="32" t="n">
        <f>4</f>
        <v>4.0</v>
      </c>
      <c r="V129" s="32" t="n">
        <f>125026200</f>
        <v>1.250262E8</v>
      </c>
      <c r="W129" s="32" t="n">
        <f>97015</f>
        <v>97015.0</v>
      </c>
      <c r="X129" s="36" t="n">
        <f>20</f>
        <v>20.0</v>
      </c>
    </row>
    <row r="130">
      <c r="A130" s="27" t="s">
        <v>42</v>
      </c>
      <c r="B130" s="27" t="s">
        <v>436</v>
      </c>
      <c r="C130" s="27" t="s">
        <v>437</v>
      </c>
      <c r="D130" s="27" t="s">
        <v>438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20375</f>
        <v>20375.0</v>
      </c>
      <c r="L130" s="34" t="s">
        <v>48</v>
      </c>
      <c r="M130" s="33" t="n">
        <f>21600</f>
        <v>21600.0</v>
      </c>
      <c r="N130" s="34" t="s">
        <v>90</v>
      </c>
      <c r="O130" s="33" t="n">
        <f>19680</f>
        <v>19680.0</v>
      </c>
      <c r="P130" s="34" t="s">
        <v>50</v>
      </c>
      <c r="Q130" s="33" t="n">
        <f>19800</f>
        <v>19800.0</v>
      </c>
      <c r="R130" s="34" t="s">
        <v>50</v>
      </c>
      <c r="S130" s="35" t="n">
        <f>20338.5</f>
        <v>20338.5</v>
      </c>
      <c r="T130" s="32" t="n">
        <f>22011</f>
        <v>22011.0</v>
      </c>
      <c r="U130" s="32" t="n">
        <f>10000</f>
        <v>10000.0</v>
      </c>
      <c r="V130" s="32" t="n">
        <f>448052185</f>
        <v>4.48052185E8</v>
      </c>
      <c r="W130" s="32" t="n">
        <f>202870000</f>
        <v>2.0287E8</v>
      </c>
      <c r="X130" s="36" t="n">
        <f>20</f>
        <v>20.0</v>
      </c>
    </row>
    <row r="131">
      <c r="A131" s="27" t="s">
        <v>42</v>
      </c>
      <c r="B131" s="27" t="s">
        <v>439</v>
      </c>
      <c r="C131" s="27" t="s">
        <v>440</v>
      </c>
      <c r="D131" s="27" t="s">
        <v>441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42760</f>
        <v>42760.0</v>
      </c>
      <c r="L131" s="34" t="s">
        <v>48</v>
      </c>
      <c r="M131" s="33" t="n">
        <f>46190</f>
        <v>46190.0</v>
      </c>
      <c r="N131" s="34" t="s">
        <v>70</v>
      </c>
      <c r="O131" s="33" t="n">
        <f>42760</f>
        <v>42760.0</v>
      </c>
      <c r="P131" s="34" t="s">
        <v>48</v>
      </c>
      <c r="Q131" s="33" t="n">
        <f>44670</f>
        <v>44670.0</v>
      </c>
      <c r="R131" s="34" t="s">
        <v>50</v>
      </c>
      <c r="S131" s="35" t="n">
        <f>44469</f>
        <v>44469.0</v>
      </c>
      <c r="T131" s="32" t="n">
        <f>1125</f>
        <v>1125.0</v>
      </c>
      <c r="U131" s="32" t="str">
        <f>"－"</f>
        <v>－</v>
      </c>
      <c r="V131" s="32" t="n">
        <f>50232920</f>
        <v>5.023292E7</v>
      </c>
      <c r="W131" s="32" t="str">
        <f>"－"</f>
        <v>－</v>
      </c>
      <c r="X131" s="36" t="n">
        <f>20</f>
        <v>20.0</v>
      </c>
    </row>
    <row r="132">
      <c r="A132" s="27" t="s">
        <v>42</v>
      </c>
      <c r="B132" s="27" t="s">
        <v>442</v>
      </c>
      <c r="C132" s="27" t="s">
        <v>443</v>
      </c>
      <c r="D132" s="27" t="s">
        <v>444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28860</f>
        <v>28860.0</v>
      </c>
      <c r="L132" s="34" t="s">
        <v>48</v>
      </c>
      <c r="M132" s="33" t="n">
        <f>32270</f>
        <v>32270.0</v>
      </c>
      <c r="N132" s="34" t="s">
        <v>70</v>
      </c>
      <c r="O132" s="33" t="n">
        <f>28810</f>
        <v>28810.0</v>
      </c>
      <c r="P132" s="34" t="s">
        <v>48</v>
      </c>
      <c r="Q132" s="33" t="n">
        <f>31770</f>
        <v>31770.0</v>
      </c>
      <c r="R132" s="34" t="s">
        <v>50</v>
      </c>
      <c r="S132" s="35" t="n">
        <f>30524</f>
        <v>30524.0</v>
      </c>
      <c r="T132" s="32" t="n">
        <f>13863</f>
        <v>13863.0</v>
      </c>
      <c r="U132" s="32" t="str">
        <f>"－"</f>
        <v>－</v>
      </c>
      <c r="V132" s="32" t="n">
        <f>433039450</f>
        <v>4.3303945E8</v>
      </c>
      <c r="W132" s="32" t="str">
        <f>"－"</f>
        <v>－</v>
      </c>
      <c r="X132" s="36" t="n">
        <f>20</f>
        <v>20.0</v>
      </c>
    </row>
    <row r="133">
      <c r="A133" s="27" t="s">
        <v>42</v>
      </c>
      <c r="B133" s="27" t="s">
        <v>445</v>
      </c>
      <c r="C133" s="27" t="s">
        <v>446</v>
      </c>
      <c r="D133" s="27" t="s">
        <v>447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28985</f>
        <v>28985.0</v>
      </c>
      <c r="L133" s="34" t="s">
        <v>48</v>
      </c>
      <c r="M133" s="33" t="n">
        <f>30230</f>
        <v>30230.0</v>
      </c>
      <c r="N133" s="34" t="s">
        <v>49</v>
      </c>
      <c r="O133" s="33" t="n">
        <f>28785</f>
        <v>28785.0</v>
      </c>
      <c r="P133" s="34" t="s">
        <v>54</v>
      </c>
      <c r="Q133" s="33" t="n">
        <f>29140</f>
        <v>29140.0</v>
      </c>
      <c r="R133" s="34" t="s">
        <v>50</v>
      </c>
      <c r="S133" s="35" t="n">
        <f>29352.5</f>
        <v>29352.5</v>
      </c>
      <c r="T133" s="32" t="n">
        <f>2081</f>
        <v>2081.0</v>
      </c>
      <c r="U133" s="32" t="str">
        <f>"－"</f>
        <v>－</v>
      </c>
      <c r="V133" s="32" t="n">
        <f>61459685</f>
        <v>6.1459685E7</v>
      </c>
      <c r="W133" s="32" t="str">
        <f>"－"</f>
        <v>－</v>
      </c>
      <c r="X133" s="36" t="n">
        <f>20</f>
        <v>20.0</v>
      </c>
    </row>
    <row r="134">
      <c r="A134" s="27" t="s">
        <v>42</v>
      </c>
      <c r="B134" s="27" t="s">
        <v>448</v>
      </c>
      <c r="C134" s="27" t="s">
        <v>449</v>
      </c>
      <c r="D134" s="27" t="s">
        <v>450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6600</f>
        <v>6600.0</v>
      </c>
      <c r="L134" s="34" t="s">
        <v>48</v>
      </c>
      <c r="M134" s="33" t="n">
        <f>7094</f>
        <v>7094.0</v>
      </c>
      <c r="N134" s="34" t="s">
        <v>161</v>
      </c>
      <c r="O134" s="33" t="n">
        <f>6575</f>
        <v>6575.0</v>
      </c>
      <c r="P134" s="34" t="s">
        <v>80</v>
      </c>
      <c r="Q134" s="33" t="n">
        <f>6920</f>
        <v>6920.0</v>
      </c>
      <c r="R134" s="34" t="s">
        <v>50</v>
      </c>
      <c r="S134" s="35" t="n">
        <f>6822.9</f>
        <v>6822.9</v>
      </c>
      <c r="T134" s="32" t="n">
        <f>104727</f>
        <v>104727.0</v>
      </c>
      <c r="U134" s="32" t="n">
        <f>44000</f>
        <v>44000.0</v>
      </c>
      <c r="V134" s="32" t="n">
        <f>717488840</f>
        <v>7.1748884E8</v>
      </c>
      <c r="W134" s="32" t="n">
        <f>299226400</f>
        <v>2.992264E8</v>
      </c>
      <c r="X134" s="36" t="n">
        <f>20</f>
        <v>20.0</v>
      </c>
    </row>
    <row r="135">
      <c r="A135" s="27" t="s">
        <v>42</v>
      </c>
      <c r="B135" s="27" t="s">
        <v>451</v>
      </c>
      <c r="C135" s="27" t="s">
        <v>452</v>
      </c>
      <c r="D135" s="27" t="s">
        <v>453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17145</f>
        <v>17145.0</v>
      </c>
      <c r="L135" s="34" t="s">
        <v>48</v>
      </c>
      <c r="M135" s="33" t="n">
        <f>17935</f>
        <v>17935.0</v>
      </c>
      <c r="N135" s="34" t="s">
        <v>262</v>
      </c>
      <c r="O135" s="33" t="n">
        <f>17005</f>
        <v>17005.0</v>
      </c>
      <c r="P135" s="34" t="s">
        <v>50</v>
      </c>
      <c r="Q135" s="33" t="n">
        <f>17050</f>
        <v>17050.0</v>
      </c>
      <c r="R135" s="34" t="s">
        <v>50</v>
      </c>
      <c r="S135" s="35" t="n">
        <f>17461.25</f>
        <v>17461.25</v>
      </c>
      <c r="T135" s="32" t="n">
        <f>9429</f>
        <v>9429.0</v>
      </c>
      <c r="U135" s="32" t="str">
        <f>"－"</f>
        <v>－</v>
      </c>
      <c r="V135" s="32" t="n">
        <f>164548215</f>
        <v>1.64548215E8</v>
      </c>
      <c r="W135" s="32" t="str">
        <f>"－"</f>
        <v>－</v>
      </c>
      <c r="X135" s="36" t="n">
        <f>20</f>
        <v>20.0</v>
      </c>
    </row>
    <row r="136">
      <c r="A136" s="27" t="s">
        <v>42</v>
      </c>
      <c r="B136" s="27" t="s">
        <v>454</v>
      </c>
      <c r="C136" s="27" t="s">
        <v>455</v>
      </c>
      <c r="D136" s="27" t="s">
        <v>456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58110</f>
        <v>58110.0</v>
      </c>
      <c r="L136" s="34" t="s">
        <v>48</v>
      </c>
      <c r="M136" s="33" t="n">
        <f>63130</f>
        <v>63130.0</v>
      </c>
      <c r="N136" s="34" t="s">
        <v>70</v>
      </c>
      <c r="O136" s="33" t="n">
        <f>57580</f>
        <v>57580.0</v>
      </c>
      <c r="P136" s="34" t="s">
        <v>80</v>
      </c>
      <c r="Q136" s="33" t="n">
        <f>61040</f>
        <v>61040.0</v>
      </c>
      <c r="R136" s="34" t="s">
        <v>50</v>
      </c>
      <c r="S136" s="35" t="n">
        <f>60336</f>
        <v>60336.0</v>
      </c>
      <c r="T136" s="32" t="n">
        <f>19943</f>
        <v>19943.0</v>
      </c>
      <c r="U136" s="32" t="n">
        <f>1004</f>
        <v>1004.0</v>
      </c>
      <c r="V136" s="32" t="n">
        <f>1204962950</f>
        <v>1.20496295E9</v>
      </c>
      <c r="W136" s="32" t="n">
        <f>60140320</f>
        <v>6.014032E7</v>
      </c>
      <c r="X136" s="36" t="n">
        <f>20</f>
        <v>20.0</v>
      </c>
    </row>
    <row r="137">
      <c r="A137" s="27" t="s">
        <v>42</v>
      </c>
      <c r="B137" s="27" t="s">
        <v>457</v>
      </c>
      <c r="C137" s="27" t="s">
        <v>458</v>
      </c>
      <c r="D137" s="27" t="s">
        <v>459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24790</f>
        <v>24790.0</v>
      </c>
      <c r="L137" s="34" t="s">
        <v>48</v>
      </c>
      <c r="M137" s="33" t="n">
        <f>25990</f>
        <v>25990.0</v>
      </c>
      <c r="N137" s="34" t="s">
        <v>262</v>
      </c>
      <c r="O137" s="33" t="n">
        <f>24450</f>
        <v>24450.0</v>
      </c>
      <c r="P137" s="34" t="s">
        <v>50</v>
      </c>
      <c r="Q137" s="33" t="n">
        <f>24450</f>
        <v>24450.0</v>
      </c>
      <c r="R137" s="34" t="s">
        <v>50</v>
      </c>
      <c r="S137" s="35" t="n">
        <f>25137.25</f>
        <v>25137.25</v>
      </c>
      <c r="T137" s="32" t="n">
        <f>5883</f>
        <v>5883.0</v>
      </c>
      <c r="U137" s="32" t="str">
        <f>"－"</f>
        <v>－</v>
      </c>
      <c r="V137" s="32" t="n">
        <f>147044260</f>
        <v>1.4704426E8</v>
      </c>
      <c r="W137" s="32" t="str">
        <f>"－"</f>
        <v>－</v>
      </c>
      <c r="X137" s="36" t="n">
        <f>20</f>
        <v>20.0</v>
      </c>
    </row>
    <row r="138">
      <c r="A138" s="27" t="s">
        <v>42</v>
      </c>
      <c r="B138" s="27" t="s">
        <v>460</v>
      </c>
      <c r="C138" s="27" t="s">
        <v>461</v>
      </c>
      <c r="D138" s="27" t="s">
        <v>462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10810</f>
        <v>10810.0</v>
      </c>
      <c r="L138" s="34" t="s">
        <v>48</v>
      </c>
      <c r="M138" s="33" t="n">
        <f>11425</f>
        <v>11425.0</v>
      </c>
      <c r="N138" s="34" t="s">
        <v>262</v>
      </c>
      <c r="O138" s="33" t="n">
        <f>10650</f>
        <v>10650.0</v>
      </c>
      <c r="P138" s="34" t="s">
        <v>61</v>
      </c>
      <c r="Q138" s="33" t="n">
        <f>11135</f>
        <v>11135.0</v>
      </c>
      <c r="R138" s="34" t="s">
        <v>50</v>
      </c>
      <c r="S138" s="35" t="n">
        <f>11037.5</f>
        <v>11037.5</v>
      </c>
      <c r="T138" s="32" t="n">
        <f>49356</f>
        <v>49356.0</v>
      </c>
      <c r="U138" s="32" t="n">
        <f>18905</f>
        <v>18905.0</v>
      </c>
      <c r="V138" s="32" t="n">
        <f>547869715</f>
        <v>5.47869715E8</v>
      </c>
      <c r="W138" s="32" t="n">
        <f>210332150</f>
        <v>2.1033215E8</v>
      </c>
      <c r="X138" s="36" t="n">
        <f>20</f>
        <v>20.0</v>
      </c>
    </row>
    <row r="139">
      <c r="A139" s="27" t="s">
        <v>42</v>
      </c>
      <c r="B139" s="27" t="s">
        <v>463</v>
      </c>
      <c r="C139" s="27" t="s">
        <v>464</v>
      </c>
      <c r="D139" s="27" t="s">
        <v>465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15760</f>
        <v>15760.0</v>
      </c>
      <c r="L139" s="34" t="s">
        <v>48</v>
      </c>
      <c r="M139" s="33" t="n">
        <f>16765</f>
        <v>16765.0</v>
      </c>
      <c r="N139" s="34" t="s">
        <v>62</v>
      </c>
      <c r="O139" s="33" t="n">
        <f>15555</f>
        <v>15555.0</v>
      </c>
      <c r="P139" s="34" t="s">
        <v>54</v>
      </c>
      <c r="Q139" s="33" t="n">
        <f>16230</f>
        <v>16230.0</v>
      </c>
      <c r="R139" s="34" t="s">
        <v>50</v>
      </c>
      <c r="S139" s="35" t="n">
        <f>16157.75</f>
        <v>16157.75</v>
      </c>
      <c r="T139" s="32" t="n">
        <f>8136</f>
        <v>8136.0</v>
      </c>
      <c r="U139" s="32" t="n">
        <f>1691</f>
        <v>1691.0</v>
      </c>
      <c r="V139" s="32" t="n">
        <f>131880019</f>
        <v>1.31880019E8</v>
      </c>
      <c r="W139" s="32" t="n">
        <f>27510979</f>
        <v>2.7510979E7</v>
      </c>
      <c r="X139" s="36" t="n">
        <f>20</f>
        <v>20.0</v>
      </c>
    </row>
    <row r="140">
      <c r="A140" s="27" t="s">
        <v>42</v>
      </c>
      <c r="B140" s="27" t="s">
        <v>466</v>
      </c>
      <c r="C140" s="27" t="s">
        <v>467</v>
      </c>
      <c r="D140" s="27" t="s">
        <v>468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29630</f>
        <v>29630.0</v>
      </c>
      <c r="L140" s="34" t="s">
        <v>48</v>
      </c>
      <c r="M140" s="33" t="n">
        <f>30550</f>
        <v>30550.0</v>
      </c>
      <c r="N140" s="34" t="s">
        <v>49</v>
      </c>
      <c r="O140" s="33" t="n">
        <f>29390</f>
        <v>29390.0</v>
      </c>
      <c r="P140" s="34" t="s">
        <v>104</v>
      </c>
      <c r="Q140" s="33" t="n">
        <f>29655</f>
        <v>29655.0</v>
      </c>
      <c r="R140" s="34" t="s">
        <v>50</v>
      </c>
      <c r="S140" s="35" t="n">
        <f>29877.5</f>
        <v>29877.5</v>
      </c>
      <c r="T140" s="32" t="n">
        <f>2067</f>
        <v>2067.0</v>
      </c>
      <c r="U140" s="32" t="n">
        <f>1</f>
        <v>1.0</v>
      </c>
      <c r="V140" s="32" t="n">
        <f>61940920</f>
        <v>6.194092E7</v>
      </c>
      <c r="W140" s="32" t="n">
        <f>30110</f>
        <v>30110.0</v>
      </c>
      <c r="X140" s="36" t="n">
        <f>20</f>
        <v>20.0</v>
      </c>
    </row>
    <row r="141">
      <c r="A141" s="27" t="s">
        <v>42</v>
      </c>
      <c r="B141" s="27" t="s">
        <v>469</v>
      </c>
      <c r="C141" s="27" t="s">
        <v>470</v>
      </c>
      <c r="D141" s="27" t="s">
        <v>471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1390</f>
        <v>1390.0</v>
      </c>
      <c r="L141" s="34" t="s">
        <v>48</v>
      </c>
      <c r="M141" s="33" t="n">
        <f>1438</f>
        <v>1438.0</v>
      </c>
      <c r="N141" s="34" t="s">
        <v>49</v>
      </c>
      <c r="O141" s="33" t="n">
        <f>1370</f>
        <v>1370.0</v>
      </c>
      <c r="P141" s="34" t="s">
        <v>91</v>
      </c>
      <c r="Q141" s="33" t="n">
        <f>1407</f>
        <v>1407.0</v>
      </c>
      <c r="R141" s="34" t="s">
        <v>50</v>
      </c>
      <c r="S141" s="35" t="n">
        <f>1408.08</f>
        <v>1408.08</v>
      </c>
      <c r="T141" s="32" t="n">
        <f>582300</f>
        <v>582300.0</v>
      </c>
      <c r="U141" s="32" t="n">
        <f>210020</f>
        <v>210020.0</v>
      </c>
      <c r="V141" s="32" t="n">
        <f>815717690</f>
        <v>8.1571769E8</v>
      </c>
      <c r="W141" s="32" t="n">
        <f>294669500</f>
        <v>2.946695E8</v>
      </c>
      <c r="X141" s="36" t="n">
        <f>20</f>
        <v>20.0</v>
      </c>
    </row>
    <row r="142">
      <c r="A142" s="27" t="s">
        <v>42</v>
      </c>
      <c r="B142" s="27" t="s">
        <v>472</v>
      </c>
      <c r="C142" s="27" t="s">
        <v>473</v>
      </c>
      <c r="D142" s="27" t="s">
        <v>474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10.0</v>
      </c>
      <c r="K142" s="33" t="n">
        <f>2420</f>
        <v>2420.0</v>
      </c>
      <c r="L142" s="34" t="s">
        <v>48</v>
      </c>
      <c r="M142" s="33" t="n">
        <f>2590</f>
        <v>2590.0</v>
      </c>
      <c r="N142" s="34" t="s">
        <v>70</v>
      </c>
      <c r="O142" s="33" t="n">
        <f>2420</f>
        <v>2420.0</v>
      </c>
      <c r="P142" s="34" t="s">
        <v>48</v>
      </c>
      <c r="Q142" s="33" t="n">
        <f>2547</f>
        <v>2547.0</v>
      </c>
      <c r="R142" s="34" t="s">
        <v>50</v>
      </c>
      <c r="S142" s="35" t="n">
        <f>2503.03</f>
        <v>2503.03</v>
      </c>
      <c r="T142" s="32" t="n">
        <f>2030</f>
        <v>2030.0</v>
      </c>
      <c r="U142" s="32" t="str">
        <f>"－"</f>
        <v>－</v>
      </c>
      <c r="V142" s="32" t="n">
        <f>5045140</f>
        <v>5045140.0</v>
      </c>
      <c r="W142" s="32" t="str">
        <f>"－"</f>
        <v>－</v>
      </c>
      <c r="X142" s="36" t="n">
        <f>16</f>
        <v>16.0</v>
      </c>
    </row>
    <row r="143">
      <c r="A143" s="27" t="s">
        <v>42</v>
      </c>
      <c r="B143" s="27" t="s">
        <v>475</v>
      </c>
      <c r="C143" s="27" t="s">
        <v>476</v>
      </c>
      <c r="D143" s="27" t="s">
        <v>477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10.0</v>
      </c>
      <c r="K143" s="33" t="n">
        <f>2622</f>
        <v>2622.0</v>
      </c>
      <c r="L143" s="34" t="s">
        <v>48</v>
      </c>
      <c r="M143" s="33" t="n">
        <f>2793</f>
        <v>2793.0</v>
      </c>
      <c r="N143" s="34" t="s">
        <v>49</v>
      </c>
      <c r="O143" s="33" t="n">
        <f>2622</f>
        <v>2622.0</v>
      </c>
      <c r="P143" s="34" t="s">
        <v>48</v>
      </c>
      <c r="Q143" s="33" t="n">
        <f>2737.5</f>
        <v>2737.5</v>
      </c>
      <c r="R143" s="34" t="s">
        <v>50</v>
      </c>
      <c r="S143" s="35" t="n">
        <f>2708.53</f>
        <v>2708.53</v>
      </c>
      <c r="T143" s="32" t="n">
        <f>44490</f>
        <v>44490.0</v>
      </c>
      <c r="U143" s="32" t="str">
        <f>"－"</f>
        <v>－</v>
      </c>
      <c r="V143" s="32" t="n">
        <f>119567665</f>
        <v>1.19567665E8</v>
      </c>
      <c r="W143" s="32" t="str">
        <f>"－"</f>
        <v>－</v>
      </c>
      <c r="X143" s="36" t="n">
        <f>17</f>
        <v>17.0</v>
      </c>
    </row>
    <row r="144">
      <c r="A144" s="27" t="s">
        <v>42</v>
      </c>
      <c r="B144" s="27" t="s">
        <v>478</v>
      </c>
      <c r="C144" s="27" t="s">
        <v>479</v>
      </c>
      <c r="D144" s="27" t="s">
        <v>480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10.0</v>
      </c>
      <c r="K144" s="33" t="n">
        <f>1652</f>
        <v>1652.0</v>
      </c>
      <c r="L144" s="34" t="s">
        <v>80</v>
      </c>
      <c r="M144" s="33" t="n">
        <f>1718</f>
        <v>1718.0</v>
      </c>
      <c r="N144" s="34" t="s">
        <v>262</v>
      </c>
      <c r="O144" s="33" t="n">
        <f>1641.5</f>
        <v>1641.5</v>
      </c>
      <c r="P144" s="34" t="s">
        <v>54</v>
      </c>
      <c r="Q144" s="33" t="n">
        <f>1716.5</f>
        <v>1716.5</v>
      </c>
      <c r="R144" s="34" t="s">
        <v>50</v>
      </c>
      <c r="S144" s="35" t="n">
        <f>1672.39</f>
        <v>1672.39</v>
      </c>
      <c r="T144" s="32" t="n">
        <f>4590</f>
        <v>4590.0</v>
      </c>
      <c r="U144" s="32" t="str">
        <f>"－"</f>
        <v>－</v>
      </c>
      <c r="V144" s="32" t="n">
        <f>7793755</f>
        <v>7793755.0</v>
      </c>
      <c r="W144" s="32" t="str">
        <f>"－"</f>
        <v>－</v>
      </c>
      <c r="X144" s="36" t="n">
        <f>9</f>
        <v>9.0</v>
      </c>
    </row>
    <row r="145">
      <c r="A145" s="27" t="s">
        <v>42</v>
      </c>
      <c r="B145" s="27" t="s">
        <v>481</v>
      </c>
      <c r="C145" s="27" t="s">
        <v>482</v>
      </c>
      <c r="D145" s="27" t="s">
        <v>483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408.7</f>
        <v>408.7</v>
      </c>
      <c r="L145" s="34" t="s">
        <v>48</v>
      </c>
      <c r="M145" s="33" t="n">
        <f>429</f>
        <v>429.0</v>
      </c>
      <c r="N145" s="34" t="s">
        <v>70</v>
      </c>
      <c r="O145" s="33" t="n">
        <f>399.7</f>
        <v>399.7</v>
      </c>
      <c r="P145" s="34" t="s">
        <v>66</v>
      </c>
      <c r="Q145" s="33" t="n">
        <f>421.2</f>
        <v>421.2</v>
      </c>
      <c r="R145" s="34" t="s">
        <v>50</v>
      </c>
      <c r="S145" s="35" t="n">
        <f>411.56</f>
        <v>411.56</v>
      </c>
      <c r="T145" s="32" t="n">
        <f>40975020</f>
        <v>4.097502E7</v>
      </c>
      <c r="U145" s="32" t="n">
        <f>995880</f>
        <v>995880.0</v>
      </c>
      <c r="V145" s="32" t="n">
        <f>16802564651</f>
        <v>1.6802564651E10</v>
      </c>
      <c r="W145" s="32" t="n">
        <f>407906145</f>
        <v>4.07906145E8</v>
      </c>
      <c r="X145" s="36" t="n">
        <f>20</f>
        <v>20.0</v>
      </c>
    </row>
    <row r="146">
      <c r="A146" s="27" t="s">
        <v>42</v>
      </c>
      <c r="B146" s="27" t="s">
        <v>484</v>
      </c>
      <c r="C146" s="27" t="s">
        <v>485</v>
      </c>
      <c r="D146" s="27" t="s">
        <v>486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280.5</f>
        <v>280.5</v>
      </c>
      <c r="L146" s="34" t="s">
        <v>48</v>
      </c>
      <c r="M146" s="33" t="n">
        <f>290.1</f>
        <v>290.1</v>
      </c>
      <c r="N146" s="34" t="s">
        <v>70</v>
      </c>
      <c r="O146" s="33" t="n">
        <f>276.7</f>
        <v>276.7</v>
      </c>
      <c r="P146" s="34" t="s">
        <v>66</v>
      </c>
      <c r="Q146" s="33" t="n">
        <f>283.1</f>
        <v>283.1</v>
      </c>
      <c r="R146" s="34" t="s">
        <v>50</v>
      </c>
      <c r="S146" s="35" t="n">
        <f>280.58</f>
        <v>280.58</v>
      </c>
      <c r="T146" s="32" t="n">
        <f>12689010</f>
        <v>1.268901E7</v>
      </c>
      <c r="U146" s="32" t="n">
        <f>10834460</f>
        <v>1.083446E7</v>
      </c>
      <c r="V146" s="32" t="n">
        <f>3560144567</f>
        <v>3.560144567E9</v>
      </c>
      <c r="W146" s="32" t="n">
        <f>3040210588</f>
        <v>3.040210588E9</v>
      </c>
      <c r="X146" s="36" t="n">
        <f>20</f>
        <v>20.0</v>
      </c>
    </row>
    <row r="147">
      <c r="A147" s="27" t="s">
        <v>42</v>
      </c>
      <c r="B147" s="27" t="s">
        <v>487</v>
      </c>
      <c r="C147" s="27" t="s">
        <v>488</v>
      </c>
      <c r="D147" s="27" t="s">
        <v>489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3600</f>
        <v>3600.0</v>
      </c>
      <c r="L147" s="34" t="s">
        <v>48</v>
      </c>
      <c r="M147" s="33" t="n">
        <f>3740</f>
        <v>3740.0</v>
      </c>
      <c r="N147" s="34" t="s">
        <v>70</v>
      </c>
      <c r="O147" s="33" t="n">
        <f>3530</f>
        <v>3530.0</v>
      </c>
      <c r="P147" s="34" t="s">
        <v>66</v>
      </c>
      <c r="Q147" s="33" t="n">
        <f>3655</f>
        <v>3655.0</v>
      </c>
      <c r="R147" s="34" t="s">
        <v>50</v>
      </c>
      <c r="S147" s="35" t="n">
        <f>3617.25</f>
        <v>3617.25</v>
      </c>
      <c r="T147" s="32" t="n">
        <f>98113</f>
        <v>98113.0</v>
      </c>
      <c r="U147" s="32" t="n">
        <f>37845</f>
        <v>37845.0</v>
      </c>
      <c r="V147" s="32" t="n">
        <f>356462295</f>
        <v>3.56462295E8</v>
      </c>
      <c r="W147" s="32" t="n">
        <f>137464395</f>
        <v>1.37464395E8</v>
      </c>
      <c r="X147" s="36" t="n">
        <f>20</f>
        <v>20.0</v>
      </c>
    </row>
    <row r="148">
      <c r="A148" s="27" t="s">
        <v>42</v>
      </c>
      <c r="B148" s="27" t="s">
        <v>490</v>
      </c>
      <c r="C148" s="27" t="s">
        <v>491</v>
      </c>
      <c r="D148" s="27" t="s">
        <v>492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2210</f>
        <v>2210.0</v>
      </c>
      <c r="L148" s="34" t="s">
        <v>48</v>
      </c>
      <c r="M148" s="33" t="n">
        <f>2290</f>
        <v>2290.0</v>
      </c>
      <c r="N148" s="34" t="s">
        <v>70</v>
      </c>
      <c r="O148" s="33" t="n">
        <f>2173</f>
        <v>2173.0</v>
      </c>
      <c r="P148" s="34" t="s">
        <v>91</v>
      </c>
      <c r="Q148" s="33" t="n">
        <f>2212</f>
        <v>2212.0</v>
      </c>
      <c r="R148" s="34" t="s">
        <v>50</v>
      </c>
      <c r="S148" s="35" t="n">
        <f>2226.05</f>
        <v>2226.05</v>
      </c>
      <c r="T148" s="32" t="n">
        <f>73113</f>
        <v>73113.0</v>
      </c>
      <c r="U148" s="32" t="str">
        <f>"－"</f>
        <v>－</v>
      </c>
      <c r="V148" s="32" t="n">
        <f>162777963</f>
        <v>1.62777963E8</v>
      </c>
      <c r="W148" s="32" t="str">
        <f>"－"</f>
        <v>－</v>
      </c>
      <c r="X148" s="36" t="n">
        <f>20</f>
        <v>20.0</v>
      </c>
    </row>
    <row r="149">
      <c r="A149" s="27" t="s">
        <v>42</v>
      </c>
      <c r="B149" s="27" t="s">
        <v>493</v>
      </c>
      <c r="C149" s="27" t="s">
        <v>494</v>
      </c>
      <c r="D149" s="27" t="s">
        <v>495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2568</f>
        <v>2568.0</v>
      </c>
      <c r="L149" s="34" t="s">
        <v>48</v>
      </c>
      <c r="M149" s="33" t="n">
        <f>2590</f>
        <v>2590.0</v>
      </c>
      <c r="N149" s="34" t="s">
        <v>48</v>
      </c>
      <c r="O149" s="33" t="n">
        <f>2471</f>
        <v>2471.0</v>
      </c>
      <c r="P149" s="34" t="s">
        <v>411</v>
      </c>
      <c r="Q149" s="33" t="n">
        <f>2513</f>
        <v>2513.0</v>
      </c>
      <c r="R149" s="34" t="s">
        <v>50</v>
      </c>
      <c r="S149" s="35" t="n">
        <f>2525.35</f>
        <v>2525.35</v>
      </c>
      <c r="T149" s="32" t="n">
        <f>495142</f>
        <v>495142.0</v>
      </c>
      <c r="U149" s="32" t="n">
        <f>345000</f>
        <v>345000.0</v>
      </c>
      <c r="V149" s="32" t="n">
        <f>1256693460</f>
        <v>1.25669346E9</v>
      </c>
      <c r="W149" s="32" t="n">
        <f>875196000</f>
        <v>8.75196E8</v>
      </c>
      <c r="X149" s="36" t="n">
        <f>20</f>
        <v>20.0</v>
      </c>
    </row>
    <row r="150">
      <c r="A150" s="27" t="s">
        <v>42</v>
      </c>
      <c r="B150" s="27" t="s">
        <v>496</v>
      </c>
      <c r="C150" s="27" t="s">
        <v>497</v>
      </c>
      <c r="D150" s="27" t="s">
        <v>498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10475</f>
        <v>10475.0</v>
      </c>
      <c r="L150" s="34" t="s">
        <v>48</v>
      </c>
      <c r="M150" s="33" t="n">
        <f>10645</f>
        <v>10645.0</v>
      </c>
      <c r="N150" s="34" t="s">
        <v>50</v>
      </c>
      <c r="O150" s="33" t="n">
        <f>10315</f>
        <v>10315.0</v>
      </c>
      <c r="P150" s="34" t="s">
        <v>91</v>
      </c>
      <c r="Q150" s="33" t="n">
        <f>10555</f>
        <v>10555.0</v>
      </c>
      <c r="R150" s="34" t="s">
        <v>50</v>
      </c>
      <c r="S150" s="35" t="n">
        <f>10467.25</f>
        <v>10467.25</v>
      </c>
      <c r="T150" s="32" t="n">
        <f>189374</f>
        <v>189374.0</v>
      </c>
      <c r="U150" s="32" t="n">
        <f>163187</f>
        <v>163187.0</v>
      </c>
      <c r="V150" s="32" t="n">
        <f>1991408740</f>
        <v>1.99140874E9</v>
      </c>
      <c r="W150" s="32" t="n">
        <f>1716985450</f>
        <v>1.71698545E9</v>
      </c>
      <c r="X150" s="36" t="n">
        <f>20</f>
        <v>20.0</v>
      </c>
    </row>
    <row r="151">
      <c r="A151" s="27" t="s">
        <v>42</v>
      </c>
      <c r="B151" s="27" t="s">
        <v>499</v>
      </c>
      <c r="C151" s="27" t="s">
        <v>500</v>
      </c>
      <c r="D151" s="27" t="s">
        <v>501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2504</f>
        <v>2504.0</v>
      </c>
      <c r="L151" s="34" t="s">
        <v>48</v>
      </c>
      <c r="M151" s="33" t="n">
        <f>2521</f>
        <v>2521.0</v>
      </c>
      <c r="N151" s="34" t="s">
        <v>48</v>
      </c>
      <c r="O151" s="33" t="n">
        <f>2288</f>
        <v>2288.0</v>
      </c>
      <c r="P151" s="34" t="s">
        <v>347</v>
      </c>
      <c r="Q151" s="33" t="n">
        <f>2357</f>
        <v>2357.0</v>
      </c>
      <c r="R151" s="34" t="s">
        <v>50</v>
      </c>
      <c r="S151" s="35" t="n">
        <f>2411.95</f>
        <v>2411.95</v>
      </c>
      <c r="T151" s="32" t="n">
        <f>6690354</f>
        <v>6690354.0</v>
      </c>
      <c r="U151" s="32" t="n">
        <f>1660</f>
        <v>1660.0</v>
      </c>
      <c r="V151" s="32" t="n">
        <f>16078701399</f>
        <v>1.6078701399E10</v>
      </c>
      <c r="W151" s="32" t="n">
        <f>3942287</f>
        <v>3942287.0</v>
      </c>
      <c r="X151" s="36" t="n">
        <f>20</f>
        <v>20.0</v>
      </c>
    </row>
    <row r="152">
      <c r="A152" s="27" t="s">
        <v>42</v>
      </c>
      <c r="B152" s="27" t="s">
        <v>502</v>
      </c>
      <c r="C152" s="27" t="s">
        <v>503</v>
      </c>
      <c r="D152" s="27" t="s">
        <v>504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25480</f>
        <v>25480.0</v>
      </c>
      <c r="L152" s="34" t="s">
        <v>48</v>
      </c>
      <c r="M152" s="33" t="n">
        <f>25890</f>
        <v>25890.0</v>
      </c>
      <c r="N152" s="34" t="s">
        <v>90</v>
      </c>
      <c r="O152" s="33" t="n">
        <f>25405</f>
        <v>25405.0</v>
      </c>
      <c r="P152" s="34" t="s">
        <v>91</v>
      </c>
      <c r="Q152" s="33" t="n">
        <f>25700</f>
        <v>25700.0</v>
      </c>
      <c r="R152" s="34" t="s">
        <v>50</v>
      </c>
      <c r="S152" s="35" t="n">
        <f>25621</f>
        <v>25621.0</v>
      </c>
      <c r="T152" s="32" t="n">
        <f>5113</f>
        <v>5113.0</v>
      </c>
      <c r="U152" s="32" t="str">
        <f>"－"</f>
        <v>－</v>
      </c>
      <c r="V152" s="32" t="n">
        <f>130912130</f>
        <v>1.3091213E8</v>
      </c>
      <c r="W152" s="32" t="str">
        <f>"－"</f>
        <v>－</v>
      </c>
      <c r="X152" s="36" t="n">
        <f>20</f>
        <v>20.0</v>
      </c>
    </row>
    <row r="153">
      <c r="A153" s="27" t="s">
        <v>42</v>
      </c>
      <c r="B153" s="27" t="s">
        <v>505</v>
      </c>
      <c r="C153" s="27" t="s">
        <v>506</v>
      </c>
      <c r="D153" s="27" t="s">
        <v>507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3176</f>
        <v>3176.0</v>
      </c>
      <c r="L153" s="34" t="s">
        <v>48</v>
      </c>
      <c r="M153" s="33" t="n">
        <f>3255</f>
        <v>3255.0</v>
      </c>
      <c r="N153" s="34" t="s">
        <v>54</v>
      </c>
      <c r="O153" s="33" t="n">
        <f>2924</f>
        <v>2924.0</v>
      </c>
      <c r="P153" s="34" t="s">
        <v>168</v>
      </c>
      <c r="Q153" s="33" t="n">
        <f>3002</f>
        <v>3002.0</v>
      </c>
      <c r="R153" s="34" t="s">
        <v>50</v>
      </c>
      <c r="S153" s="35" t="n">
        <f>3056.53</f>
        <v>3056.53</v>
      </c>
      <c r="T153" s="32" t="n">
        <f>20060</f>
        <v>20060.0</v>
      </c>
      <c r="U153" s="32" t="str">
        <f>"－"</f>
        <v>－</v>
      </c>
      <c r="V153" s="32" t="n">
        <f>61504810</f>
        <v>6.150481E7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508</v>
      </c>
      <c r="C154" s="27" t="s">
        <v>509</v>
      </c>
      <c r="D154" s="27" t="s">
        <v>510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13480</f>
        <v>13480.0</v>
      </c>
      <c r="L154" s="34" t="s">
        <v>48</v>
      </c>
      <c r="M154" s="33" t="n">
        <f>13980</f>
        <v>13980.0</v>
      </c>
      <c r="N154" s="34" t="s">
        <v>66</v>
      </c>
      <c r="O154" s="33" t="n">
        <f>13085</f>
        <v>13085.0</v>
      </c>
      <c r="P154" s="34" t="s">
        <v>104</v>
      </c>
      <c r="Q154" s="33" t="n">
        <f>13155</f>
        <v>13155.0</v>
      </c>
      <c r="R154" s="34" t="s">
        <v>50</v>
      </c>
      <c r="S154" s="35" t="n">
        <f>13465</f>
        <v>13465.0</v>
      </c>
      <c r="T154" s="32" t="n">
        <f>3033</f>
        <v>3033.0</v>
      </c>
      <c r="U154" s="32" t="str">
        <f>"－"</f>
        <v>－</v>
      </c>
      <c r="V154" s="32" t="n">
        <f>40901060</f>
        <v>4.090106E7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511</v>
      </c>
      <c r="C155" s="27" t="s">
        <v>512</v>
      </c>
      <c r="D155" s="27" t="s">
        <v>513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19115</f>
        <v>19115.0</v>
      </c>
      <c r="L155" s="34" t="s">
        <v>48</v>
      </c>
      <c r="M155" s="33" t="n">
        <f>20000</f>
        <v>20000.0</v>
      </c>
      <c r="N155" s="34" t="s">
        <v>66</v>
      </c>
      <c r="O155" s="33" t="n">
        <f>18330</f>
        <v>18330.0</v>
      </c>
      <c r="P155" s="34" t="s">
        <v>104</v>
      </c>
      <c r="Q155" s="33" t="n">
        <f>18630</f>
        <v>18630.0</v>
      </c>
      <c r="R155" s="34" t="s">
        <v>50</v>
      </c>
      <c r="S155" s="35" t="n">
        <f>19073.75</f>
        <v>19073.75</v>
      </c>
      <c r="T155" s="32" t="n">
        <f>1523</f>
        <v>1523.0</v>
      </c>
      <c r="U155" s="32" t="str">
        <f>"－"</f>
        <v>－</v>
      </c>
      <c r="V155" s="32" t="n">
        <f>29148330</f>
        <v>2.914833E7</v>
      </c>
      <c r="W155" s="32" t="str">
        <f>"－"</f>
        <v>－</v>
      </c>
      <c r="X155" s="36" t="n">
        <f>20</f>
        <v>20.0</v>
      </c>
    </row>
    <row r="156">
      <c r="A156" s="27" t="s">
        <v>42</v>
      </c>
      <c r="B156" s="27" t="s">
        <v>514</v>
      </c>
      <c r="C156" s="27" t="s">
        <v>515</v>
      </c>
      <c r="D156" s="27" t="s">
        <v>516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18960</f>
        <v>18960.0</v>
      </c>
      <c r="L156" s="34" t="s">
        <v>48</v>
      </c>
      <c r="M156" s="33" t="n">
        <f>19690</f>
        <v>19690.0</v>
      </c>
      <c r="N156" s="34" t="s">
        <v>61</v>
      </c>
      <c r="O156" s="33" t="n">
        <f>18565</f>
        <v>18565.0</v>
      </c>
      <c r="P156" s="34" t="s">
        <v>104</v>
      </c>
      <c r="Q156" s="33" t="n">
        <f>18800</f>
        <v>18800.0</v>
      </c>
      <c r="R156" s="34" t="s">
        <v>70</v>
      </c>
      <c r="S156" s="35" t="n">
        <f>19169.5</f>
        <v>19169.5</v>
      </c>
      <c r="T156" s="32" t="n">
        <f>164</f>
        <v>164.0</v>
      </c>
      <c r="U156" s="32" t="str">
        <f>"－"</f>
        <v>－</v>
      </c>
      <c r="V156" s="32" t="n">
        <f>3199305</f>
        <v>3199305.0</v>
      </c>
      <c r="W156" s="32" t="str">
        <f>"－"</f>
        <v>－</v>
      </c>
      <c r="X156" s="36" t="n">
        <f>10</f>
        <v>10.0</v>
      </c>
    </row>
    <row r="157">
      <c r="A157" s="27" t="s">
        <v>42</v>
      </c>
      <c r="B157" s="27" t="s">
        <v>517</v>
      </c>
      <c r="C157" s="27" t="s">
        <v>518</v>
      </c>
      <c r="D157" s="27" t="s">
        <v>519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50990</f>
        <v>50990.0</v>
      </c>
      <c r="L157" s="34" t="s">
        <v>48</v>
      </c>
      <c r="M157" s="33" t="n">
        <f>51280</f>
        <v>51280.0</v>
      </c>
      <c r="N157" s="34" t="s">
        <v>80</v>
      </c>
      <c r="O157" s="33" t="n">
        <f>50110</f>
        <v>50110.0</v>
      </c>
      <c r="P157" s="34" t="s">
        <v>66</v>
      </c>
      <c r="Q157" s="33" t="n">
        <f>51140</f>
        <v>51140.0</v>
      </c>
      <c r="R157" s="34" t="s">
        <v>50</v>
      </c>
      <c r="S157" s="35" t="n">
        <f>50780.5</f>
        <v>50780.5</v>
      </c>
      <c r="T157" s="32" t="n">
        <f>14380</f>
        <v>14380.0</v>
      </c>
      <c r="U157" s="32" t="n">
        <f>10020</f>
        <v>10020.0</v>
      </c>
      <c r="V157" s="32" t="n">
        <f>724736900</f>
        <v>7.247369E8</v>
      </c>
      <c r="W157" s="32" t="n">
        <f>503027200</f>
        <v>5.030272E8</v>
      </c>
      <c r="X157" s="36" t="n">
        <f>20</f>
        <v>20.0</v>
      </c>
    </row>
    <row r="158">
      <c r="A158" s="27" t="s">
        <v>42</v>
      </c>
      <c r="B158" s="27" t="s">
        <v>520</v>
      </c>
      <c r="C158" s="27" t="s">
        <v>521</v>
      </c>
      <c r="D158" s="27" t="s">
        <v>522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269.5</f>
        <v>269.5</v>
      </c>
      <c r="L158" s="34" t="s">
        <v>48</v>
      </c>
      <c r="M158" s="33" t="n">
        <f>283.9</f>
        <v>283.9</v>
      </c>
      <c r="N158" s="34" t="s">
        <v>70</v>
      </c>
      <c r="O158" s="33" t="n">
        <f>266.6</f>
        <v>266.6</v>
      </c>
      <c r="P158" s="34" t="s">
        <v>54</v>
      </c>
      <c r="Q158" s="33" t="n">
        <f>280.6</f>
        <v>280.6</v>
      </c>
      <c r="R158" s="34" t="s">
        <v>50</v>
      </c>
      <c r="S158" s="35" t="n">
        <f>273.69</f>
        <v>273.69</v>
      </c>
      <c r="T158" s="32" t="n">
        <f>17879000</f>
        <v>1.7879E7</v>
      </c>
      <c r="U158" s="32" t="n">
        <f>679100</f>
        <v>679100.0</v>
      </c>
      <c r="V158" s="32" t="n">
        <f>4885436335</f>
        <v>4.885436335E9</v>
      </c>
      <c r="W158" s="32" t="n">
        <f>184798265</f>
        <v>1.84798265E8</v>
      </c>
      <c r="X158" s="36" t="n">
        <f>20</f>
        <v>20.0</v>
      </c>
    </row>
    <row r="159">
      <c r="A159" s="27" t="s">
        <v>42</v>
      </c>
      <c r="B159" s="27" t="s">
        <v>523</v>
      </c>
      <c r="C159" s="27" t="s">
        <v>524</v>
      </c>
      <c r="D159" s="27" t="s">
        <v>525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39490</f>
        <v>39490.0</v>
      </c>
      <c r="L159" s="34" t="s">
        <v>48</v>
      </c>
      <c r="M159" s="33" t="n">
        <f>39860</f>
        <v>39860.0</v>
      </c>
      <c r="N159" s="34" t="s">
        <v>80</v>
      </c>
      <c r="O159" s="33" t="n">
        <f>38100</f>
        <v>38100.0</v>
      </c>
      <c r="P159" s="34" t="s">
        <v>91</v>
      </c>
      <c r="Q159" s="33" t="n">
        <f>39050</f>
        <v>39050.0</v>
      </c>
      <c r="R159" s="34" t="s">
        <v>50</v>
      </c>
      <c r="S159" s="35" t="n">
        <f>38951</f>
        <v>38951.0</v>
      </c>
      <c r="T159" s="32" t="n">
        <f>5130</f>
        <v>5130.0</v>
      </c>
      <c r="U159" s="32" t="n">
        <f>10</f>
        <v>10.0</v>
      </c>
      <c r="V159" s="32" t="n">
        <f>201073500</f>
        <v>2.010735E8</v>
      </c>
      <c r="W159" s="32" t="n">
        <f>397900</f>
        <v>397900.0</v>
      </c>
      <c r="X159" s="36" t="n">
        <f>20</f>
        <v>20.0</v>
      </c>
    </row>
    <row r="160">
      <c r="A160" s="27" t="s">
        <v>42</v>
      </c>
      <c r="B160" s="27" t="s">
        <v>526</v>
      </c>
      <c r="C160" s="27" t="s">
        <v>527</v>
      </c>
      <c r="D160" s="27" t="s">
        <v>528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4087</f>
        <v>4087.0</v>
      </c>
      <c r="L160" s="34" t="s">
        <v>48</v>
      </c>
      <c r="M160" s="33" t="n">
        <f>4236</f>
        <v>4236.0</v>
      </c>
      <c r="N160" s="34" t="s">
        <v>70</v>
      </c>
      <c r="O160" s="33" t="n">
        <f>4000</f>
        <v>4000.0</v>
      </c>
      <c r="P160" s="34" t="s">
        <v>66</v>
      </c>
      <c r="Q160" s="33" t="n">
        <f>4150</f>
        <v>4150.0</v>
      </c>
      <c r="R160" s="34" t="s">
        <v>50</v>
      </c>
      <c r="S160" s="35" t="n">
        <f>4101.95</f>
        <v>4101.95</v>
      </c>
      <c r="T160" s="32" t="n">
        <f>67110</f>
        <v>67110.0</v>
      </c>
      <c r="U160" s="32" t="n">
        <f>10</f>
        <v>10.0</v>
      </c>
      <c r="V160" s="32" t="n">
        <f>276752250</f>
        <v>2.7675225E8</v>
      </c>
      <c r="W160" s="32" t="n">
        <f>41240</f>
        <v>41240.0</v>
      </c>
      <c r="X160" s="36" t="n">
        <f>20</f>
        <v>20.0</v>
      </c>
    </row>
    <row r="161">
      <c r="A161" s="27" t="s">
        <v>42</v>
      </c>
      <c r="B161" s="27" t="s">
        <v>529</v>
      </c>
      <c r="C161" s="27" t="s">
        <v>530</v>
      </c>
      <c r="D161" s="27" t="s">
        <v>531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1675</f>
        <v>1675.0</v>
      </c>
      <c r="L161" s="34" t="s">
        <v>48</v>
      </c>
      <c r="M161" s="33" t="n">
        <f>1728</f>
        <v>1728.0</v>
      </c>
      <c r="N161" s="34" t="s">
        <v>70</v>
      </c>
      <c r="O161" s="33" t="n">
        <f>1648</f>
        <v>1648.0</v>
      </c>
      <c r="P161" s="34" t="s">
        <v>347</v>
      </c>
      <c r="Q161" s="33" t="n">
        <f>1675</f>
        <v>1675.0</v>
      </c>
      <c r="R161" s="34" t="s">
        <v>50</v>
      </c>
      <c r="S161" s="35" t="n">
        <f>1682.78</f>
        <v>1682.78</v>
      </c>
      <c r="T161" s="32" t="n">
        <f>96950</f>
        <v>96950.0</v>
      </c>
      <c r="U161" s="32" t="str">
        <f>"－"</f>
        <v>－</v>
      </c>
      <c r="V161" s="32" t="n">
        <f>163553805</f>
        <v>1.63553805E8</v>
      </c>
      <c r="W161" s="32" t="str">
        <f>"－"</f>
        <v>－</v>
      </c>
      <c r="X161" s="36" t="n">
        <f>20</f>
        <v>20.0</v>
      </c>
    </row>
    <row r="162">
      <c r="A162" s="27" t="s">
        <v>42</v>
      </c>
      <c r="B162" s="27" t="s">
        <v>532</v>
      </c>
      <c r="C162" s="27" t="s">
        <v>533</v>
      </c>
      <c r="D162" s="27" t="s">
        <v>534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100.0</v>
      </c>
      <c r="K162" s="33" t="n">
        <f>246</f>
        <v>246.0</v>
      </c>
      <c r="L162" s="34" t="s">
        <v>48</v>
      </c>
      <c r="M162" s="33" t="n">
        <f>258.2</f>
        <v>258.2</v>
      </c>
      <c r="N162" s="34" t="s">
        <v>66</v>
      </c>
      <c r="O162" s="33" t="n">
        <f>240.5</f>
        <v>240.5</v>
      </c>
      <c r="P162" s="34" t="s">
        <v>50</v>
      </c>
      <c r="Q162" s="33" t="n">
        <f>241</f>
        <v>241.0</v>
      </c>
      <c r="R162" s="34" t="s">
        <v>50</v>
      </c>
      <c r="S162" s="35" t="n">
        <f>246.65</f>
        <v>246.65</v>
      </c>
      <c r="T162" s="32" t="n">
        <f>200300</f>
        <v>200300.0</v>
      </c>
      <c r="U162" s="32" t="str">
        <f>"－"</f>
        <v>－</v>
      </c>
      <c r="V162" s="32" t="n">
        <f>49645770</f>
        <v>4.964577E7</v>
      </c>
      <c r="W162" s="32" t="str">
        <f>"－"</f>
        <v>－</v>
      </c>
      <c r="X162" s="36" t="n">
        <f>20</f>
        <v>20.0</v>
      </c>
    </row>
    <row r="163">
      <c r="A163" s="27" t="s">
        <v>42</v>
      </c>
      <c r="B163" s="27" t="s">
        <v>535</v>
      </c>
      <c r="C163" s="27" t="s">
        <v>536</v>
      </c>
      <c r="D163" s="27" t="s">
        <v>537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1446</f>
        <v>1446.0</v>
      </c>
      <c r="L163" s="34" t="s">
        <v>48</v>
      </c>
      <c r="M163" s="33" t="n">
        <f>1487</f>
        <v>1487.0</v>
      </c>
      <c r="N163" s="34" t="s">
        <v>168</v>
      </c>
      <c r="O163" s="33" t="n">
        <f>1419.5</f>
        <v>1419.5</v>
      </c>
      <c r="P163" s="34" t="s">
        <v>347</v>
      </c>
      <c r="Q163" s="33" t="n">
        <f>1441.5</f>
        <v>1441.5</v>
      </c>
      <c r="R163" s="34" t="s">
        <v>50</v>
      </c>
      <c r="S163" s="35" t="n">
        <f>1455.34</f>
        <v>1455.34</v>
      </c>
      <c r="T163" s="32" t="n">
        <f>3450</f>
        <v>3450.0</v>
      </c>
      <c r="U163" s="32" t="str">
        <f>"－"</f>
        <v>－</v>
      </c>
      <c r="V163" s="32" t="n">
        <f>5002350</f>
        <v>5002350.0</v>
      </c>
      <c r="W163" s="32" t="str">
        <f>"－"</f>
        <v>－</v>
      </c>
      <c r="X163" s="36" t="n">
        <f>16</f>
        <v>16.0</v>
      </c>
    </row>
    <row r="164">
      <c r="A164" s="27" t="s">
        <v>42</v>
      </c>
      <c r="B164" s="27" t="s">
        <v>538</v>
      </c>
      <c r="C164" s="27" t="s">
        <v>539</v>
      </c>
      <c r="D164" s="27" t="s">
        <v>540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490.4</f>
        <v>490.4</v>
      </c>
      <c r="L164" s="34" t="s">
        <v>48</v>
      </c>
      <c r="M164" s="33" t="n">
        <f>505.2</f>
        <v>505.2</v>
      </c>
      <c r="N164" s="34" t="s">
        <v>104</v>
      </c>
      <c r="O164" s="33" t="n">
        <f>454.7</f>
        <v>454.7</v>
      </c>
      <c r="P164" s="34" t="s">
        <v>91</v>
      </c>
      <c r="Q164" s="33" t="n">
        <f>466.1</f>
        <v>466.1</v>
      </c>
      <c r="R164" s="34" t="s">
        <v>50</v>
      </c>
      <c r="S164" s="35" t="n">
        <f>477.41</f>
        <v>477.41</v>
      </c>
      <c r="T164" s="32" t="n">
        <f>39380</f>
        <v>39380.0</v>
      </c>
      <c r="U164" s="32" t="str">
        <f>"－"</f>
        <v>－</v>
      </c>
      <c r="V164" s="32" t="n">
        <f>18694842</f>
        <v>1.8694842E7</v>
      </c>
      <c r="W164" s="32" t="str">
        <f>"－"</f>
        <v>－</v>
      </c>
      <c r="X164" s="36" t="n">
        <f>20</f>
        <v>20.0</v>
      </c>
    </row>
    <row r="165">
      <c r="A165" s="27" t="s">
        <v>42</v>
      </c>
      <c r="B165" s="27" t="s">
        <v>541</v>
      </c>
      <c r="C165" s="27" t="s">
        <v>542</v>
      </c>
      <c r="D165" s="27" t="s">
        <v>543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2078.5</f>
        <v>2078.5</v>
      </c>
      <c r="L165" s="34" t="s">
        <v>48</v>
      </c>
      <c r="M165" s="33" t="n">
        <f>2090.5</f>
        <v>2090.5</v>
      </c>
      <c r="N165" s="34" t="s">
        <v>80</v>
      </c>
      <c r="O165" s="33" t="n">
        <f>1851.5</f>
        <v>1851.5</v>
      </c>
      <c r="P165" s="34" t="s">
        <v>50</v>
      </c>
      <c r="Q165" s="33" t="n">
        <f>1925.5</f>
        <v>1925.5</v>
      </c>
      <c r="R165" s="34" t="s">
        <v>50</v>
      </c>
      <c r="S165" s="35" t="n">
        <f>1973.6</f>
        <v>1973.6</v>
      </c>
      <c r="T165" s="32" t="n">
        <f>4780</f>
        <v>4780.0</v>
      </c>
      <c r="U165" s="32" t="str">
        <f>"－"</f>
        <v>－</v>
      </c>
      <c r="V165" s="32" t="n">
        <f>9316010</f>
        <v>9316010.0</v>
      </c>
      <c r="W165" s="32" t="str">
        <f>"－"</f>
        <v>－</v>
      </c>
      <c r="X165" s="36" t="n">
        <f>20</f>
        <v>20.0</v>
      </c>
    </row>
    <row r="166">
      <c r="A166" s="27" t="s">
        <v>42</v>
      </c>
      <c r="B166" s="27" t="s">
        <v>544</v>
      </c>
      <c r="C166" s="27" t="s">
        <v>545</v>
      </c>
      <c r="D166" s="27" t="s">
        <v>546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897.3</f>
        <v>897.3</v>
      </c>
      <c r="L166" s="34" t="s">
        <v>48</v>
      </c>
      <c r="M166" s="33" t="n">
        <f>907.9</f>
        <v>907.9</v>
      </c>
      <c r="N166" s="34" t="s">
        <v>54</v>
      </c>
      <c r="O166" s="33" t="n">
        <f>867.5</f>
        <v>867.5</v>
      </c>
      <c r="P166" s="34" t="s">
        <v>50</v>
      </c>
      <c r="Q166" s="33" t="n">
        <f>867.5</f>
        <v>867.5</v>
      </c>
      <c r="R166" s="34" t="s">
        <v>50</v>
      </c>
      <c r="S166" s="35" t="n">
        <f>893.15</f>
        <v>893.15</v>
      </c>
      <c r="T166" s="32" t="n">
        <f>34200</f>
        <v>34200.0</v>
      </c>
      <c r="U166" s="32" t="str">
        <f>"－"</f>
        <v>－</v>
      </c>
      <c r="V166" s="32" t="n">
        <f>30551759</f>
        <v>3.0551759E7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547</v>
      </c>
      <c r="C167" s="27" t="s">
        <v>548</v>
      </c>
      <c r="D167" s="27" t="s">
        <v>549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606.2</f>
        <v>606.2</v>
      </c>
      <c r="L167" s="34" t="s">
        <v>48</v>
      </c>
      <c r="M167" s="33" t="n">
        <f>624.7</f>
        <v>624.7</v>
      </c>
      <c r="N167" s="34" t="s">
        <v>70</v>
      </c>
      <c r="O167" s="33" t="n">
        <f>582.6</f>
        <v>582.6</v>
      </c>
      <c r="P167" s="34" t="s">
        <v>157</v>
      </c>
      <c r="Q167" s="33" t="n">
        <f>594</f>
        <v>594.0</v>
      </c>
      <c r="R167" s="34" t="s">
        <v>50</v>
      </c>
      <c r="S167" s="35" t="n">
        <f>608.07</f>
        <v>608.07</v>
      </c>
      <c r="T167" s="32" t="n">
        <f>149440</f>
        <v>149440.0</v>
      </c>
      <c r="U167" s="32" t="str">
        <f>"－"</f>
        <v>－</v>
      </c>
      <c r="V167" s="32" t="n">
        <f>90178757</f>
        <v>9.0178757E7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550</v>
      </c>
      <c r="C168" s="27" t="s">
        <v>551</v>
      </c>
      <c r="D168" s="27" t="s">
        <v>552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100.0</v>
      </c>
      <c r="K168" s="33" t="n">
        <f>1.2</f>
        <v>1.2</v>
      </c>
      <c r="L168" s="34" t="s">
        <v>48</v>
      </c>
      <c r="M168" s="33" t="n">
        <f>1.3</f>
        <v>1.3</v>
      </c>
      <c r="N168" s="34" t="s">
        <v>178</v>
      </c>
      <c r="O168" s="33" t="n">
        <f>1</f>
        <v>1.0</v>
      </c>
      <c r="P168" s="34" t="s">
        <v>54</v>
      </c>
      <c r="Q168" s="33" t="n">
        <f>1.1</f>
        <v>1.1</v>
      </c>
      <c r="R168" s="34" t="s">
        <v>50</v>
      </c>
      <c r="S168" s="35" t="n">
        <f>1.13</f>
        <v>1.13</v>
      </c>
      <c r="T168" s="32" t="n">
        <f>1880261300</f>
        <v>1.8802613E9</v>
      </c>
      <c r="U168" s="32" t="str">
        <f>"－"</f>
        <v>－</v>
      </c>
      <c r="V168" s="32" t="n">
        <f>2132524410</f>
        <v>2.13252441E9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553</v>
      </c>
      <c r="C169" s="27" t="s">
        <v>554</v>
      </c>
      <c r="D169" s="27" t="s">
        <v>555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1203</f>
        <v>1203.0</v>
      </c>
      <c r="L169" s="34" t="s">
        <v>48</v>
      </c>
      <c r="M169" s="33" t="n">
        <f>1213</f>
        <v>1213.0</v>
      </c>
      <c r="N169" s="34" t="s">
        <v>104</v>
      </c>
      <c r="O169" s="33" t="n">
        <f>1100.5</f>
        <v>1100.5</v>
      </c>
      <c r="P169" s="34" t="s">
        <v>347</v>
      </c>
      <c r="Q169" s="33" t="n">
        <f>1136.5</f>
        <v>1136.5</v>
      </c>
      <c r="R169" s="34" t="s">
        <v>50</v>
      </c>
      <c r="S169" s="35" t="n">
        <f>1160.63</f>
        <v>1160.63</v>
      </c>
      <c r="T169" s="32" t="n">
        <f>51840</f>
        <v>51840.0</v>
      </c>
      <c r="U169" s="32" t="str">
        <f>"－"</f>
        <v>－</v>
      </c>
      <c r="V169" s="32" t="n">
        <f>59754820</f>
        <v>5.975482E7</v>
      </c>
      <c r="W169" s="32" t="str">
        <f>"－"</f>
        <v>－</v>
      </c>
      <c r="X169" s="36" t="n">
        <f>20</f>
        <v>20.0</v>
      </c>
    </row>
    <row r="170">
      <c r="A170" s="27" t="s">
        <v>42</v>
      </c>
      <c r="B170" s="27" t="s">
        <v>556</v>
      </c>
      <c r="C170" s="27" t="s">
        <v>557</v>
      </c>
      <c r="D170" s="27" t="s">
        <v>558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6236</f>
        <v>6236.0</v>
      </c>
      <c r="L170" s="34" t="s">
        <v>48</v>
      </c>
      <c r="M170" s="33" t="n">
        <f>6759</f>
        <v>6759.0</v>
      </c>
      <c r="N170" s="34" t="s">
        <v>70</v>
      </c>
      <c r="O170" s="33" t="n">
        <f>5860</f>
        <v>5860.0</v>
      </c>
      <c r="P170" s="34" t="s">
        <v>54</v>
      </c>
      <c r="Q170" s="33" t="n">
        <f>6320</f>
        <v>6320.0</v>
      </c>
      <c r="R170" s="34" t="s">
        <v>50</v>
      </c>
      <c r="S170" s="35" t="n">
        <f>6285.05</f>
        <v>6285.05</v>
      </c>
      <c r="T170" s="32" t="n">
        <f>2226</f>
        <v>2226.0</v>
      </c>
      <c r="U170" s="32" t="str">
        <f>"－"</f>
        <v>－</v>
      </c>
      <c r="V170" s="32" t="n">
        <f>14000912</f>
        <v>1.4000912E7</v>
      </c>
      <c r="W170" s="32" t="str">
        <f>"－"</f>
        <v>－</v>
      </c>
      <c r="X170" s="36" t="n">
        <f>20</f>
        <v>20.0</v>
      </c>
    </row>
    <row r="171">
      <c r="A171" s="27" t="s">
        <v>42</v>
      </c>
      <c r="B171" s="27" t="s">
        <v>559</v>
      </c>
      <c r="C171" s="27" t="s">
        <v>560</v>
      </c>
      <c r="D171" s="27" t="s">
        <v>561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100.0</v>
      </c>
      <c r="K171" s="33" t="n">
        <f>428.5</f>
        <v>428.5</v>
      </c>
      <c r="L171" s="34" t="s">
        <v>48</v>
      </c>
      <c r="M171" s="33" t="n">
        <f>444.1</f>
        <v>444.1</v>
      </c>
      <c r="N171" s="34" t="s">
        <v>80</v>
      </c>
      <c r="O171" s="33" t="n">
        <f>401.5</f>
        <v>401.5</v>
      </c>
      <c r="P171" s="34" t="s">
        <v>91</v>
      </c>
      <c r="Q171" s="33" t="n">
        <f>418.3</f>
        <v>418.3</v>
      </c>
      <c r="R171" s="34" t="s">
        <v>50</v>
      </c>
      <c r="S171" s="35" t="n">
        <f>420.48</f>
        <v>420.48</v>
      </c>
      <c r="T171" s="32" t="n">
        <f>86800</f>
        <v>86800.0</v>
      </c>
      <c r="U171" s="32" t="str">
        <f>"－"</f>
        <v>－</v>
      </c>
      <c r="V171" s="32" t="n">
        <f>36384590</f>
        <v>3.638459E7</v>
      </c>
      <c r="W171" s="32" t="str">
        <f>"－"</f>
        <v>－</v>
      </c>
      <c r="X171" s="36" t="n">
        <f>19</f>
        <v>19.0</v>
      </c>
    </row>
    <row r="172">
      <c r="A172" s="27" t="s">
        <v>42</v>
      </c>
      <c r="B172" s="27" t="s">
        <v>562</v>
      </c>
      <c r="C172" s="27" t="s">
        <v>563</v>
      </c>
      <c r="D172" s="27" t="s">
        <v>564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4699</f>
        <v>4699.0</v>
      </c>
      <c r="L172" s="34" t="s">
        <v>48</v>
      </c>
      <c r="M172" s="33" t="n">
        <f>4800</f>
        <v>4800.0</v>
      </c>
      <c r="N172" s="34" t="s">
        <v>80</v>
      </c>
      <c r="O172" s="33" t="n">
        <f>4390</f>
        <v>4390.0</v>
      </c>
      <c r="P172" s="34" t="s">
        <v>91</v>
      </c>
      <c r="Q172" s="33" t="n">
        <f>4520</f>
        <v>4520.0</v>
      </c>
      <c r="R172" s="34" t="s">
        <v>50</v>
      </c>
      <c r="S172" s="35" t="n">
        <f>4552.65</f>
        <v>4552.65</v>
      </c>
      <c r="T172" s="32" t="n">
        <f>50270</f>
        <v>50270.0</v>
      </c>
      <c r="U172" s="32" t="str">
        <f>"－"</f>
        <v>－</v>
      </c>
      <c r="V172" s="32" t="n">
        <f>229057870</f>
        <v>2.2905787E8</v>
      </c>
      <c r="W172" s="32" t="str">
        <f>"－"</f>
        <v>－</v>
      </c>
      <c r="X172" s="36" t="n">
        <f>20</f>
        <v>20.0</v>
      </c>
    </row>
    <row r="173">
      <c r="A173" s="27" t="s">
        <v>42</v>
      </c>
      <c r="B173" s="27" t="s">
        <v>565</v>
      </c>
      <c r="C173" s="27" t="s">
        <v>566</v>
      </c>
      <c r="D173" s="27" t="s">
        <v>567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3069</f>
        <v>3069.0</v>
      </c>
      <c r="L173" s="34" t="s">
        <v>48</v>
      </c>
      <c r="M173" s="33" t="n">
        <f>3091</f>
        <v>3091.0</v>
      </c>
      <c r="N173" s="34" t="s">
        <v>61</v>
      </c>
      <c r="O173" s="33" t="n">
        <f>2653</f>
        <v>2653.0</v>
      </c>
      <c r="P173" s="34" t="s">
        <v>50</v>
      </c>
      <c r="Q173" s="33" t="n">
        <f>2681</f>
        <v>2681.0</v>
      </c>
      <c r="R173" s="34" t="s">
        <v>50</v>
      </c>
      <c r="S173" s="35" t="n">
        <f>2809</f>
        <v>2809.0</v>
      </c>
      <c r="T173" s="32" t="n">
        <f>27970</f>
        <v>27970.0</v>
      </c>
      <c r="U173" s="32" t="str">
        <f>"－"</f>
        <v>－</v>
      </c>
      <c r="V173" s="32" t="n">
        <f>78272140</f>
        <v>7.827214E7</v>
      </c>
      <c r="W173" s="32" t="str">
        <f>"－"</f>
        <v>－</v>
      </c>
      <c r="X173" s="36" t="n">
        <f>20</f>
        <v>20.0</v>
      </c>
    </row>
    <row r="174">
      <c r="A174" s="27" t="s">
        <v>42</v>
      </c>
      <c r="B174" s="27" t="s">
        <v>568</v>
      </c>
      <c r="C174" s="27" t="s">
        <v>569</v>
      </c>
      <c r="D174" s="27" t="s">
        <v>570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100.0</v>
      </c>
      <c r="K174" s="33" t="n">
        <f>83.2</f>
        <v>83.2</v>
      </c>
      <c r="L174" s="34" t="s">
        <v>48</v>
      </c>
      <c r="M174" s="33" t="n">
        <f>87.3</f>
        <v>87.3</v>
      </c>
      <c r="N174" s="34" t="s">
        <v>258</v>
      </c>
      <c r="O174" s="33" t="n">
        <f>78.7</f>
        <v>78.7</v>
      </c>
      <c r="P174" s="34" t="s">
        <v>50</v>
      </c>
      <c r="Q174" s="33" t="n">
        <f>78.8</f>
        <v>78.8</v>
      </c>
      <c r="R174" s="34" t="s">
        <v>50</v>
      </c>
      <c r="S174" s="35" t="n">
        <f>82.92</f>
        <v>82.92</v>
      </c>
      <c r="T174" s="32" t="n">
        <f>6463400</f>
        <v>6463400.0</v>
      </c>
      <c r="U174" s="32" t="str">
        <f>"－"</f>
        <v>－</v>
      </c>
      <c r="V174" s="32" t="n">
        <f>533501510</f>
        <v>5.3350151E8</v>
      </c>
      <c r="W174" s="32" t="str">
        <f>"－"</f>
        <v>－</v>
      </c>
      <c r="X174" s="36" t="n">
        <f>20</f>
        <v>20.0</v>
      </c>
    </row>
    <row r="175">
      <c r="A175" s="27" t="s">
        <v>42</v>
      </c>
      <c r="B175" s="27" t="s">
        <v>571</v>
      </c>
      <c r="C175" s="27" t="s">
        <v>572</v>
      </c>
      <c r="D175" s="27" t="s">
        <v>573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100.0</v>
      </c>
      <c r="K175" s="33" t="n">
        <f>166.1</f>
        <v>166.1</v>
      </c>
      <c r="L175" s="34" t="s">
        <v>48</v>
      </c>
      <c r="M175" s="33" t="n">
        <f>179.1</f>
        <v>179.1</v>
      </c>
      <c r="N175" s="34" t="s">
        <v>70</v>
      </c>
      <c r="O175" s="33" t="n">
        <f>159.2</f>
        <v>159.2</v>
      </c>
      <c r="P175" s="34" t="s">
        <v>157</v>
      </c>
      <c r="Q175" s="33" t="n">
        <f>171.5</f>
        <v>171.5</v>
      </c>
      <c r="R175" s="34" t="s">
        <v>50</v>
      </c>
      <c r="S175" s="35" t="n">
        <f>167.27</f>
        <v>167.27</v>
      </c>
      <c r="T175" s="32" t="n">
        <f>868700</f>
        <v>868700.0</v>
      </c>
      <c r="U175" s="32" t="str">
        <f>"－"</f>
        <v>－</v>
      </c>
      <c r="V175" s="32" t="n">
        <f>145515660</f>
        <v>1.4551566E8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574</v>
      </c>
      <c r="C176" s="27" t="s">
        <v>575</v>
      </c>
      <c r="D176" s="27" t="s">
        <v>576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4018</f>
        <v>4018.0</v>
      </c>
      <c r="L176" s="34" t="s">
        <v>48</v>
      </c>
      <c r="M176" s="33" t="n">
        <f>4110</f>
        <v>4110.0</v>
      </c>
      <c r="N176" s="34" t="s">
        <v>80</v>
      </c>
      <c r="O176" s="33" t="n">
        <f>3780</f>
        <v>3780.0</v>
      </c>
      <c r="P176" s="34" t="s">
        <v>157</v>
      </c>
      <c r="Q176" s="33" t="n">
        <f>3785</f>
        <v>3785.0</v>
      </c>
      <c r="R176" s="34" t="s">
        <v>50</v>
      </c>
      <c r="S176" s="35" t="n">
        <f>3933.65</f>
        <v>3933.65</v>
      </c>
      <c r="T176" s="32" t="n">
        <f>9450</f>
        <v>9450.0</v>
      </c>
      <c r="U176" s="32" t="str">
        <f>"－"</f>
        <v>－</v>
      </c>
      <c r="V176" s="32" t="n">
        <f>37138920</f>
        <v>3.713892E7</v>
      </c>
      <c r="W176" s="32" t="str">
        <f>"－"</f>
        <v>－</v>
      </c>
      <c r="X176" s="36" t="n">
        <f>20</f>
        <v>20.0</v>
      </c>
    </row>
    <row r="177">
      <c r="A177" s="27" t="s">
        <v>42</v>
      </c>
      <c r="B177" s="27" t="s">
        <v>577</v>
      </c>
      <c r="C177" s="27" t="s">
        <v>578</v>
      </c>
      <c r="D177" s="27" t="s">
        <v>579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2229</f>
        <v>2229.0</v>
      </c>
      <c r="L177" s="34" t="s">
        <v>48</v>
      </c>
      <c r="M177" s="33" t="n">
        <f>2357.5</f>
        <v>2357.5</v>
      </c>
      <c r="N177" s="34" t="s">
        <v>70</v>
      </c>
      <c r="O177" s="33" t="n">
        <f>2226</f>
        <v>2226.0</v>
      </c>
      <c r="P177" s="34" t="s">
        <v>80</v>
      </c>
      <c r="Q177" s="33" t="n">
        <f>2292</f>
        <v>2292.0</v>
      </c>
      <c r="R177" s="34" t="s">
        <v>50</v>
      </c>
      <c r="S177" s="35" t="n">
        <f>2280.05</f>
        <v>2280.05</v>
      </c>
      <c r="T177" s="32" t="n">
        <f>234390</f>
        <v>234390.0</v>
      </c>
      <c r="U177" s="32" t="n">
        <f>17290</f>
        <v>17290.0</v>
      </c>
      <c r="V177" s="32" t="n">
        <f>535702379</f>
        <v>5.35702379E8</v>
      </c>
      <c r="W177" s="32" t="n">
        <f>39993219</f>
        <v>3.9993219E7</v>
      </c>
      <c r="X177" s="36" t="n">
        <f>20</f>
        <v>20.0</v>
      </c>
    </row>
    <row r="178">
      <c r="A178" s="27" t="s">
        <v>42</v>
      </c>
      <c r="B178" s="27" t="s">
        <v>580</v>
      </c>
      <c r="C178" s="27" t="s">
        <v>581</v>
      </c>
      <c r="D178" s="27" t="s">
        <v>582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329.4</f>
        <v>329.4</v>
      </c>
      <c r="L178" s="34" t="s">
        <v>48</v>
      </c>
      <c r="M178" s="33" t="n">
        <f>333.3</f>
        <v>333.3</v>
      </c>
      <c r="N178" s="34" t="s">
        <v>104</v>
      </c>
      <c r="O178" s="33" t="n">
        <f>301.9</f>
        <v>301.9</v>
      </c>
      <c r="P178" s="34" t="s">
        <v>347</v>
      </c>
      <c r="Q178" s="33" t="n">
        <f>312.8</f>
        <v>312.8</v>
      </c>
      <c r="R178" s="34" t="s">
        <v>50</v>
      </c>
      <c r="S178" s="35" t="n">
        <f>318.49</f>
        <v>318.49</v>
      </c>
      <c r="T178" s="32" t="n">
        <f>20446370</f>
        <v>2.044637E7</v>
      </c>
      <c r="U178" s="32" t="n">
        <f>74600</f>
        <v>74600.0</v>
      </c>
      <c r="V178" s="32" t="n">
        <f>6483596050</f>
        <v>6.48359605E9</v>
      </c>
      <c r="W178" s="32" t="n">
        <f>23628393</f>
        <v>2.3628393E7</v>
      </c>
      <c r="X178" s="36" t="n">
        <f>20</f>
        <v>20.0</v>
      </c>
    </row>
    <row r="179">
      <c r="A179" s="27" t="s">
        <v>42</v>
      </c>
      <c r="B179" s="27" t="s">
        <v>583</v>
      </c>
      <c r="C179" s="27" t="s">
        <v>584</v>
      </c>
      <c r="D179" s="27" t="s">
        <v>585</v>
      </c>
      <c r="E179" s="28" t="s">
        <v>46</v>
      </c>
      <c r="F179" s="29" t="s">
        <v>46</v>
      </c>
      <c r="G179" s="30" t="s">
        <v>46</v>
      </c>
      <c r="H179" s="31"/>
      <c r="I179" s="31" t="s">
        <v>586</v>
      </c>
      <c r="J179" s="32" t="n">
        <v>1.0</v>
      </c>
      <c r="K179" s="33" t="n">
        <f>5800</f>
        <v>5800.0</v>
      </c>
      <c r="L179" s="34" t="s">
        <v>48</v>
      </c>
      <c r="M179" s="33" t="n">
        <f>6080</f>
        <v>6080.0</v>
      </c>
      <c r="N179" s="34" t="s">
        <v>80</v>
      </c>
      <c r="O179" s="33" t="n">
        <f>4860</f>
        <v>4860.0</v>
      </c>
      <c r="P179" s="34" t="s">
        <v>50</v>
      </c>
      <c r="Q179" s="33" t="n">
        <f>4889</f>
        <v>4889.0</v>
      </c>
      <c r="R179" s="34" t="s">
        <v>50</v>
      </c>
      <c r="S179" s="35" t="n">
        <f>5579.8</f>
        <v>5579.8</v>
      </c>
      <c r="T179" s="32" t="n">
        <f>39737</f>
        <v>39737.0</v>
      </c>
      <c r="U179" s="32" t="str">
        <f>"－"</f>
        <v>－</v>
      </c>
      <c r="V179" s="32" t="n">
        <f>222251497</f>
        <v>2.22251497E8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587</v>
      </c>
      <c r="C180" s="27" t="s">
        <v>588</v>
      </c>
      <c r="D180" s="27" t="s">
        <v>589</v>
      </c>
      <c r="E180" s="28" t="s">
        <v>46</v>
      </c>
      <c r="F180" s="29" t="s">
        <v>46</v>
      </c>
      <c r="G180" s="30" t="s">
        <v>46</v>
      </c>
      <c r="H180" s="31"/>
      <c r="I180" s="31" t="s">
        <v>586</v>
      </c>
      <c r="J180" s="32" t="n">
        <v>1.0</v>
      </c>
      <c r="K180" s="33" t="n">
        <f>7453</f>
        <v>7453.0</v>
      </c>
      <c r="L180" s="34" t="s">
        <v>48</v>
      </c>
      <c r="M180" s="33" t="n">
        <f>8527</f>
        <v>8527.0</v>
      </c>
      <c r="N180" s="34" t="s">
        <v>50</v>
      </c>
      <c r="O180" s="33" t="n">
        <f>7382</f>
        <v>7382.0</v>
      </c>
      <c r="P180" s="34" t="s">
        <v>54</v>
      </c>
      <c r="Q180" s="33" t="n">
        <f>8527</f>
        <v>8527.0</v>
      </c>
      <c r="R180" s="34" t="s">
        <v>50</v>
      </c>
      <c r="S180" s="35" t="n">
        <f>7843.95</f>
        <v>7843.95</v>
      </c>
      <c r="T180" s="32" t="n">
        <f>8389</f>
        <v>8389.0</v>
      </c>
      <c r="U180" s="32" t="str">
        <f>"－"</f>
        <v>－</v>
      </c>
      <c r="V180" s="32" t="n">
        <f>67050570</f>
        <v>6.705057E7</v>
      </c>
      <c r="W180" s="32" t="str">
        <f>"－"</f>
        <v>－</v>
      </c>
      <c r="X180" s="36" t="n">
        <f>20</f>
        <v>20.0</v>
      </c>
    </row>
    <row r="181">
      <c r="A181" s="27" t="s">
        <v>42</v>
      </c>
      <c r="B181" s="27" t="s">
        <v>590</v>
      </c>
      <c r="C181" s="27" t="s">
        <v>591</v>
      </c>
      <c r="D181" s="27" t="s">
        <v>592</v>
      </c>
      <c r="E181" s="28" t="s">
        <v>46</v>
      </c>
      <c r="F181" s="29" t="s">
        <v>46</v>
      </c>
      <c r="G181" s="30" t="s">
        <v>46</v>
      </c>
      <c r="H181" s="31"/>
      <c r="I181" s="31" t="s">
        <v>586</v>
      </c>
      <c r="J181" s="32" t="n">
        <v>1.0</v>
      </c>
      <c r="K181" s="33" t="n">
        <f>11175</f>
        <v>11175.0</v>
      </c>
      <c r="L181" s="34" t="s">
        <v>48</v>
      </c>
      <c r="M181" s="33" t="n">
        <f>12425</f>
        <v>12425.0</v>
      </c>
      <c r="N181" s="34" t="s">
        <v>70</v>
      </c>
      <c r="O181" s="33" t="n">
        <f>10500</f>
        <v>10500.0</v>
      </c>
      <c r="P181" s="34" t="s">
        <v>347</v>
      </c>
      <c r="Q181" s="33" t="n">
        <f>12250</f>
        <v>12250.0</v>
      </c>
      <c r="R181" s="34" t="s">
        <v>50</v>
      </c>
      <c r="S181" s="35" t="n">
        <f>11565.91</f>
        <v>11565.91</v>
      </c>
      <c r="T181" s="32" t="n">
        <f>258</f>
        <v>258.0</v>
      </c>
      <c r="U181" s="32" t="str">
        <f>"－"</f>
        <v>－</v>
      </c>
      <c r="V181" s="32" t="n">
        <f>2989075</f>
        <v>2989075.0</v>
      </c>
      <c r="W181" s="32" t="str">
        <f>"－"</f>
        <v>－</v>
      </c>
      <c r="X181" s="36" t="n">
        <f>11</f>
        <v>11.0</v>
      </c>
    </row>
    <row r="182">
      <c r="A182" s="27" t="s">
        <v>42</v>
      </c>
      <c r="B182" s="27" t="s">
        <v>593</v>
      </c>
      <c r="C182" s="27" t="s">
        <v>594</v>
      </c>
      <c r="D182" s="27" t="s">
        <v>595</v>
      </c>
      <c r="E182" s="28" t="s">
        <v>46</v>
      </c>
      <c r="F182" s="29" t="s">
        <v>46</v>
      </c>
      <c r="G182" s="30" t="s">
        <v>46</v>
      </c>
      <c r="H182" s="31"/>
      <c r="I182" s="31" t="s">
        <v>586</v>
      </c>
      <c r="J182" s="32" t="n">
        <v>1.0</v>
      </c>
      <c r="K182" s="33" t="n">
        <f>7561</f>
        <v>7561.0</v>
      </c>
      <c r="L182" s="34" t="s">
        <v>48</v>
      </c>
      <c r="M182" s="33" t="n">
        <f>7747</f>
        <v>7747.0</v>
      </c>
      <c r="N182" s="34" t="s">
        <v>168</v>
      </c>
      <c r="O182" s="33" t="n">
        <f>7508</f>
        <v>7508.0</v>
      </c>
      <c r="P182" s="34" t="s">
        <v>157</v>
      </c>
      <c r="Q182" s="33" t="n">
        <f>7618</f>
        <v>7618.0</v>
      </c>
      <c r="R182" s="34" t="s">
        <v>50</v>
      </c>
      <c r="S182" s="35" t="n">
        <f>7631.05</f>
        <v>7631.05</v>
      </c>
      <c r="T182" s="32" t="n">
        <f>6684</f>
        <v>6684.0</v>
      </c>
      <c r="U182" s="32" t="str">
        <f>"－"</f>
        <v>－</v>
      </c>
      <c r="V182" s="32" t="n">
        <f>50886975</f>
        <v>5.0886975E7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596</v>
      </c>
      <c r="C183" s="27" t="s">
        <v>597</v>
      </c>
      <c r="D183" s="27" t="s">
        <v>598</v>
      </c>
      <c r="E183" s="28" t="s">
        <v>46</v>
      </c>
      <c r="F183" s="29" t="s">
        <v>46</v>
      </c>
      <c r="G183" s="30" t="s">
        <v>46</v>
      </c>
      <c r="H183" s="31"/>
      <c r="I183" s="31" t="s">
        <v>586</v>
      </c>
      <c r="J183" s="32" t="n">
        <v>1.0</v>
      </c>
      <c r="K183" s="33" t="n">
        <f>31830</f>
        <v>31830.0</v>
      </c>
      <c r="L183" s="34" t="s">
        <v>48</v>
      </c>
      <c r="M183" s="33" t="n">
        <f>33370</f>
        <v>33370.0</v>
      </c>
      <c r="N183" s="34" t="s">
        <v>90</v>
      </c>
      <c r="O183" s="33" t="n">
        <f>31710</f>
        <v>31710.0</v>
      </c>
      <c r="P183" s="34" t="s">
        <v>48</v>
      </c>
      <c r="Q183" s="33" t="n">
        <f>32370</f>
        <v>32370.0</v>
      </c>
      <c r="R183" s="34" t="s">
        <v>50</v>
      </c>
      <c r="S183" s="35" t="n">
        <f>32475</f>
        <v>32475.0</v>
      </c>
      <c r="T183" s="32" t="n">
        <f>32239</f>
        <v>32239.0</v>
      </c>
      <c r="U183" s="32" t="n">
        <f>3</f>
        <v>3.0</v>
      </c>
      <c r="V183" s="32" t="n">
        <f>1048341440</f>
        <v>1.04834144E9</v>
      </c>
      <c r="W183" s="32" t="n">
        <f>96930</f>
        <v>96930.0</v>
      </c>
      <c r="X183" s="36" t="n">
        <f>20</f>
        <v>20.0</v>
      </c>
    </row>
    <row r="184">
      <c r="A184" s="27" t="s">
        <v>42</v>
      </c>
      <c r="B184" s="27" t="s">
        <v>599</v>
      </c>
      <c r="C184" s="27" t="s">
        <v>600</v>
      </c>
      <c r="D184" s="27" t="s">
        <v>601</v>
      </c>
      <c r="E184" s="28" t="s">
        <v>46</v>
      </c>
      <c r="F184" s="29" t="s">
        <v>46</v>
      </c>
      <c r="G184" s="30" t="s">
        <v>46</v>
      </c>
      <c r="H184" s="31"/>
      <c r="I184" s="31" t="s">
        <v>586</v>
      </c>
      <c r="J184" s="32" t="n">
        <v>1.0</v>
      </c>
      <c r="K184" s="33" t="n">
        <f>3910</f>
        <v>3910.0</v>
      </c>
      <c r="L184" s="34" t="s">
        <v>48</v>
      </c>
      <c r="M184" s="33" t="n">
        <f>3920</f>
        <v>3920.0</v>
      </c>
      <c r="N184" s="34" t="s">
        <v>48</v>
      </c>
      <c r="O184" s="33" t="n">
        <f>3815</f>
        <v>3815.0</v>
      </c>
      <c r="P184" s="34" t="s">
        <v>50</v>
      </c>
      <c r="Q184" s="33" t="n">
        <f>3820</f>
        <v>3820.0</v>
      </c>
      <c r="R184" s="34" t="s">
        <v>50</v>
      </c>
      <c r="S184" s="35" t="n">
        <f>3871.5</f>
        <v>3871.5</v>
      </c>
      <c r="T184" s="32" t="n">
        <f>9882</f>
        <v>9882.0</v>
      </c>
      <c r="U184" s="32" t="str">
        <f>"－"</f>
        <v>－</v>
      </c>
      <c r="V184" s="32" t="n">
        <f>38258130</f>
        <v>3.825813E7</v>
      </c>
      <c r="W184" s="32" t="str">
        <f>"－"</f>
        <v>－</v>
      </c>
      <c r="X184" s="36" t="n">
        <f>20</f>
        <v>20.0</v>
      </c>
    </row>
    <row r="185">
      <c r="A185" s="27" t="s">
        <v>42</v>
      </c>
      <c r="B185" s="27" t="s">
        <v>602</v>
      </c>
      <c r="C185" s="27" t="s">
        <v>603</v>
      </c>
      <c r="D185" s="27" t="s">
        <v>604</v>
      </c>
      <c r="E185" s="28" t="s">
        <v>46</v>
      </c>
      <c r="F185" s="29" t="s">
        <v>46</v>
      </c>
      <c r="G185" s="30" t="s">
        <v>46</v>
      </c>
      <c r="H185" s="31"/>
      <c r="I185" s="31" t="s">
        <v>586</v>
      </c>
      <c r="J185" s="32" t="n">
        <v>1.0</v>
      </c>
      <c r="K185" s="33" t="n">
        <f>1296</f>
        <v>1296.0</v>
      </c>
      <c r="L185" s="34" t="s">
        <v>48</v>
      </c>
      <c r="M185" s="33" t="n">
        <f>1324</f>
        <v>1324.0</v>
      </c>
      <c r="N185" s="34" t="s">
        <v>70</v>
      </c>
      <c r="O185" s="33" t="n">
        <f>1117</f>
        <v>1117.0</v>
      </c>
      <c r="P185" s="34" t="s">
        <v>347</v>
      </c>
      <c r="Q185" s="33" t="n">
        <f>1189</f>
        <v>1189.0</v>
      </c>
      <c r="R185" s="34" t="s">
        <v>50</v>
      </c>
      <c r="S185" s="35" t="n">
        <f>1223.2</f>
        <v>1223.2</v>
      </c>
      <c r="T185" s="32" t="n">
        <f>41453415</f>
        <v>4.1453415E7</v>
      </c>
      <c r="U185" s="32" t="n">
        <f>42655</f>
        <v>42655.0</v>
      </c>
      <c r="V185" s="32" t="n">
        <f>50570851717</f>
        <v>5.0570851717E10</v>
      </c>
      <c r="W185" s="32" t="n">
        <f>53078924</f>
        <v>5.3078924E7</v>
      </c>
      <c r="X185" s="36" t="n">
        <f>20</f>
        <v>20.0</v>
      </c>
    </row>
    <row r="186">
      <c r="A186" s="27" t="s">
        <v>42</v>
      </c>
      <c r="B186" s="27" t="s">
        <v>605</v>
      </c>
      <c r="C186" s="27" t="s">
        <v>606</v>
      </c>
      <c r="D186" s="27" t="s">
        <v>607</v>
      </c>
      <c r="E186" s="28" t="s">
        <v>46</v>
      </c>
      <c r="F186" s="29" t="s">
        <v>46</v>
      </c>
      <c r="G186" s="30" t="s">
        <v>46</v>
      </c>
      <c r="H186" s="31"/>
      <c r="I186" s="31" t="s">
        <v>586</v>
      </c>
      <c r="J186" s="32" t="n">
        <v>1.0</v>
      </c>
      <c r="K186" s="33" t="n">
        <f>1387</f>
        <v>1387.0</v>
      </c>
      <c r="L186" s="34" t="s">
        <v>48</v>
      </c>
      <c r="M186" s="33" t="n">
        <f>1492</f>
        <v>1492.0</v>
      </c>
      <c r="N186" s="34" t="s">
        <v>347</v>
      </c>
      <c r="O186" s="33" t="n">
        <f>1353</f>
        <v>1353.0</v>
      </c>
      <c r="P186" s="34" t="s">
        <v>70</v>
      </c>
      <c r="Q186" s="33" t="n">
        <f>1429</f>
        <v>1429.0</v>
      </c>
      <c r="R186" s="34" t="s">
        <v>50</v>
      </c>
      <c r="S186" s="35" t="n">
        <f>1420.6</f>
        <v>1420.6</v>
      </c>
      <c r="T186" s="32" t="n">
        <f>1791343</f>
        <v>1791343.0</v>
      </c>
      <c r="U186" s="32" t="n">
        <f>2986</f>
        <v>2986.0</v>
      </c>
      <c r="V186" s="32" t="n">
        <f>2540985395</f>
        <v>2.540985395E9</v>
      </c>
      <c r="W186" s="32" t="n">
        <f>4275965</f>
        <v>4275965.0</v>
      </c>
      <c r="X186" s="36" t="n">
        <f>20</f>
        <v>20.0</v>
      </c>
    </row>
    <row r="187">
      <c r="A187" s="27" t="s">
        <v>42</v>
      </c>
      <c r="B187" s="27" t="s">
        <v>608</v>
      </c>
      <c r="C187" s="27" t="s">
        <v>609</v>
      </c>
      <c r="D187" s="27" t="s">
        <v>610</v>
      </c>
      <c r="E187" s="28" t="s">
        <v>46</v>
      </c>
      <c r="F187" s="29" t="s">
        <v>46</v>
      </c>
      <c r="G187" s="30" t="s">
        <v>46</v>
      </c>
      <c r="H187" s="31"/>
      <c r="I187" s="31" t="s">
        <v>586</v>
      </c>
      <c r="J187" s="32" t="n">
        <v>1.0</v>
      </c>
      <c r="K187" s="33" t="n">
        <f>25040</f>
        <v>25040.0</v>
      </c>
      <c r="L187" s="34" t="s">
        <v>48</v>
      </c>
      <c r="M187" s="33" t="n">
        <f>25145</f>
        <v>25145.0</v>
      </c>
      <c r="N187" s="34" t="s">
        <v>48</v>
      </c>
      <c r="O187" s="33" t="n">
        <f>23165</f>
        <v>23165.0</v>
      </c>
      <c r="P187" s="34" t="s">
        <v>104</v>
      </c>
      <c r="Q187" s="33" t="n">
        <f>23500</f>
        <v>23500.0</v>
      </c>
      <c r="R187" s="34" t="s">
        <v>50</v>
      </c>
      <c r="S187" s="35" t="n">
        <f>24026.5</f>
        <v>24026.5</v>
      </c>
      <c r="T187" s="32" t="n">
        <f>70609</f>
        <v>70609.0</v>
      </c>
      <c r="U187" s="32" t="n">
        <f>46</f>
        <v>46.0</v>
      </c>
      <c r="V187" s="32" t="n">
        <f>1697842060</f>
        <v>1.69784206E9</v>
      </c>
      <c r="W187" s="32" t="n">
        <f>1086320</f>
        <v>1086320.0</v>
      </c>
      <c r="X187" s="36" t="n">
        <f>20</f>
        <v>20.0</v>
      </c>
    </row>
    <row r="188">
      <c r="A188" s="27" t="s">
        <v>42</v>
      </c>
      <c r="B188" s="27" t="s">
        <v>611</v>
      </c>
      <c r="C188" s="27" t="s">
        <v>612</v>
      </c>
      <c r="D188" s="27" t="s">
        <v>613</v>
      </c>
      <c r="E188" s="28" t="s">
        <v>46</v>
      </c>
      <c r="F188" s="29" t="s">
        <v>46</v>
      </c>
      <c r="G188" s="30" t="s">
        <v>46</v>
      </c>
      <c r="H188" s="31"/>
      <c r="I188" s="31" t="s">
        <v>586</v>
      </c>
      <c r="J188" s="32" t="n">
        <v>1.0</v>
      </c>
      <c r="K188" s="33" t="n">
        <f>2892</f>
        <v>2892.0</v>
      </c>
      <c r="L188" s="34" t="s">
        <v>48</v>
      </c>
      <c r="M188" s="33" t="n">
        <f>2983</f>
        <v>2983.0</v>
      </c>
      <c r="N188" s="34" t="s">
        <v>104</v>
      </c>
      <c r="O188" s="33" t="n">
        <f>2875</f>
        <v>2875.0</v>
      </c>
      <c r="P188" s="34" t="s">
        <v>80</v>
      </c>
      <c r="Q188" s="33" t="n">
        <f>2956</f>
        <v>2956.0</v>
      </c>
      <c r="R188" s="34" t="s">
        <v>50</v>
      </c>
      <c r="S188" s="35" t="n">
        <f>2926.05</f>
        <v>2926.05</v>
      </c>
      <c r="T188" s="32" t="n">
        <f>391674</f>
        <v>391674.0</v>
      </c>
      <c r="U188" s="32" t="str">
        <f>"－"</f>
        <v>－</v>
      </c>
      <c r="V188" s="32" t="n">
        <f>1146868877</f>
        <v>1.146868877E9</v>
      </c>
      <c r="W188" s="32" t="str">
        <f>"－"</f>
        <v>－</v>
      </c>
      <c r="X188" s="36" t="n">
        <f>20</f>
        <v>20.0</v>
      </c>
    </row>
    <row r="189">
      <c r="A189" s="27" t="s">
        <v>42</v>
      </c>
      <c r="B189" s="27" t="s">
        <v>614</v>
      </c>
      <c r="C189" s="27" t="s">
        <v>615</v>
      </c>
      <c r="D189" s="27" t="s">
        <v>616</v>
      </c>
      <c r="E189" s="28" t="s">
        <v>46</v>
      </c>
      <c r="F189" s="29" t="s">
        <v>46</v>
      </c>
      <c r="G189" s="30" t="s">
        <v>46</v>
      </c>
      <c r="H189" s="31"/>
      <c r="I189" s="31" t="s">
        <v>586</v>
      </c>
      <c r="J189" s="32" t="n">
        <v>1.0</v>
      </c>
      <c r="K189" s="33" t="n">
        <f>7949</f>
        <v>7949.0</v>
      </c>
      <c r="L189" s="34" t="s">
        <v>48</v>
      </c>
      <c r="M189" s="33" t="n">
        <f>8188</f>
        <v>8188.0</v>
      </c>
      <c r="N189" s="34" t="s">
        <v>49</v>
      </c>
      <c r="O189" s="33" t="n">
        <f>7778</f>
        <v>7778.0</v>
      </c>
      <c r="P189" s="34" t="s">
        <v>62</v>
      </c>
      <c r="Q189" s="33" t="n">
        <f>7959</f>
        <v>7959.0</v>
      </c>
      <c r="R189" s="34" t="s">
        <v>50</v>
      </c>
      <c r="S189" s="35" t="n">
        <f>7935.4</f>
        <v>7935.4</v>
      </c>
      <c r="T189" s="32" t="n">
        <f>21826</f>
        <v>21826.0</v>
      </c>
      <c r="U189" s="32" t="str">
        <f>"－"</f>
        <v>－</v>
      </c>
      <c r="V189" s="32" t="n">
        <f>174331574</f>
        <v>1.74331574E8</v>
      </c>
      <c r="W189" s="32" t="str">
        <f>"－"</f>
        <v>－</v>
      </c>
      <c r="X189" s="36" t="n">
        <f>20</f>
        <v>20.0</v>
      </c>
    </row>
    <row r="190">
      <c r="A190" s="27" t="s">
        <v>42</v>
      </c>
      <c r="B190" s="27" t="s">
        <v>617</v>
      </c>
      <c r="C190" s="27" t="s">
        <v>618</v>
      </c>
      <c r="D190" s="27" t="s">
        <v>619</v>
      </c>
      <c r="E190" s="28" t="s">
        <v>46</v>
      </c>
      <c r="F190" s="29" t="s">
        <v>46</v>
      </c>
      <c r="G190" s="30" t="s">
        <v>46</v>
      </c>
      <c r="H190" s="31"/>
      <c r="I190" s="31" t="s">
        <v>586</v>
      </c>
      <c r="J190" s="32" t="n">
        <v>1.0</v>
      </c>
      <c r="K190" s="33" t="n">
        <f>17000</f>
        <v>17000.0</v>
      </c>
      <c r="L190" s="34" t="s">
        <v>48</v>
      </c>
      <c r="M190" s="33" t="n">
        <f>17050</f>
        <v>17050.0</v>
      </c>
      <c r="N190" s="34" t="s">
        <v>48</v>
      </c>
      <c r="O190" s="33" t="n">
        <f>16255</f>
        <v>16255.0</v>
      </c>
      <c r="P190" s="34" t="s">
        <v>347</v>
      </c>
      <c r="Q190" s="33" t="n">
        <f>16625</f>
        <v>16625.0</v>
      </c>
      <c r="R190" s="34" t="s">
        <v>50</v>
      </c>
      <c r="S190" s="35" t="n">
        <f>16553.85</f>
        <v>16553.85</v>
      </c>
      <c r="T190" s="32" t="n">
        <f>193</f>
        <v>193.0</v>
      </c>
      <c r="U190" s="32" t="str">
        <f>"－"</f>
        <v>－</v>
      </c>
      <c r="V190" s="32" t="n">
        <f>3213195</f>
        <v>3213195.0</v>
      </c>
      <c r="W190" s="32" t="str">
        <f>"－"</f>
        <v>－</v>
      </c>
      <c r="X190" s="36" t="n">
        <f>13</f>
        <v>13.0</v>
      </c>
    </row>
    <row r="191">
      <c r="A191" s="27" t="s">
        <v>42</v>
      </c>
      <c r="B191" s="27" t="s">
        <v>620</v>
      </c>
      <c r="C191" s="27" t="s">
        <v>621</v>
      </c>
      <c r="D191" s="27" t="s">
        <v>622</v>
      </c>
      <c r="E191" s="28" t="s">
        <v>46</v>
      </c>
      <c r="F191" s="29" t="s">
        <v>46</v>
      </c>
      <c r="G191" s="30" t="s">
        <v>46</v>
      </c>
      <c r="H191" s="31"/>
      <c r="I191" s="31" t="s">
        <v>586</v>
      </c>
      <c r="J191" s="32" t="n">
        <v>1.0</v>
      </c>
      <c r="K191" s="33" t="n">
        <f>23775</f>
        <v>23775.0</v>
      </c>
      <c r="L191" s="34" t="s">
        <v>48</v>
      </c>
      <c r="M191" s="33" t="n">
        <f>24090</f>
        <v>24090.0</v>
      </c>
      <c r="N191" s="34" t="s">
        <v>80</v>
      </c>
      <c r="O191" s="33" t="n">
        <f>23050</f>
        <v>23050.0</v>
      </c>
      <c r="P191" s="34" t="s">
        <v>91</v>
      </c>
      <c r="Q191" s="33" t="n">
        <f>23175</f>
        <v>23175.0</v>
      </c>
      <c r="R191" s="34" t="s">
        <v>50</v>
      </c>
      <c r="S191" s="35" t="n">
        <f>23433</f>
        <v>23433.0</v>
      </c>
      <c r="T191" s="32" t="n">
        <f>32359</f>
        <v>32359.0</v>
      </c>
      <c r="U191" s="32" t="str">
        <f>"－"</f>
        <v>－</v>
      </c>
      <c r="V191" s="32" t="n">
        <f>765062010</f>
        <v>7.6506201E8</v>
      </c>
      <c r="W191" s="32" t="str">
        <f>"－"</f>
        <v>－</v>
      </c>
      <c r="X191" s="36" t="n">
        <f>20</f>
        <v>20.0</v>
      </c>
    </row>
    <row r="192">
      <c r="A192" s="27" t="s">
        <v>42</v>
      </c>
      <c r="B192" s="27" t="s">
        <v>623</v>
      </c>
      <c r="C192" s="27" t="s">
        <v>624</v>
      </c>
      <c r="D192" s="27" t="s">
        <v>625</v>
      </c>
      <c r="E192" s="28" t="s">
        <v>46</v>
      </c>
      <c r="F192" s="29" t="s">
        <v>46</v>
      </c>
      <c r="G192" s="30" t="s">
        <v>46</v>
      </c>
      <c r="H192" s="31"/>
      <c r="I192" s="31" t="s">
        <v>586</v>
      </c>
      <c r="J192" s="32" t="n">
        <v>1.0</v>
      </c>
      <c r="K192" s="33" t="n">
        <f>15670</f>
        <v>15670.0</v>
      </c>
      <c r="L192" s="34" t="s">
        <v>48</v>
      </c>
      <c r="M192" s="33" t="n">
        <f>16065</f>
        <v>16065.0</v>
      </c>
      <c r="N192" s="34" t="s">
        <v>347</v>
      </c>
      <c r="O192" s="33" t="n">
        <f>15430</f>
        <v>15430.0</v>
      </c>
      <c r="P192" s="34" t="s">
        <v>66</v>
      </c>
      <c r="Q192" s="33" t="n">
        <f>15670</f>
        <v>15670.0</v>
      </c>
      <c r="R192" s="34" t="s">
        <v>50</v>
      </c>
      <c r="S192" s="35" t="n">
        <f>15763.67</f>
        <v>15763.67</v>
      </c>
      <c r="T192" s="32" t="n">
        <f>101</f>
        <v>101.0</v>
      </c>
      <c r="U192" s="32" t="str">
        <f>"－"</f>
        <v>－</v>
      </c>
      <c r="V192" s="32" t="n">
        <f>1593830</f>
        <v>1593830.0</v>
      </c>
      <c r="W192" s="32" t="str">
        <f>"－"</f>
        <v>－</v>
      </c>
      <c r="X192" s="36" t="n">
        <f>15</f>
        <v>15.0</v>
      </c>
    </row>
    <row r="193">
      <c r="A193" s="27" t="s">
        <v>42</v>
      </c>
      <c r="B193" s="27" t="s">
        <v>626</v>
      </c>
      <c r="C193" s="27" t="s">
        <v>627</v>
      </c>
      <c r="D193" s="27" t="s">
        <v>628</v>
      </c>
      <c r="E193" s="28" t="s">
        <v>46</v>
      </c>
      <c r="F193" s="29" t="s">
        <v>46</v>
      </c>
      <c r="G193" s="30" t="s">
        <v>46</v>
      </c>
      <c r="H193" s="31"/>
      <c r="I193" s="31" t="s">
        <v>586</v>
      </c>
      <c r="J193" s="32" t="n">
        <v>1.0</v>
      </c>
      <c r="K193" s="33" t="n">
        <f>18650</f>
        <v>18650.0</v>
      </c>
      <c r="L193" s="34" t="s">
        <v>48</v>
      </c>
      <c r="M193" s="33" t="n">
        <f>20185</f>
        <v>20185.0</v>
      </c>
      <c r="N193" s="34" t="s">
        <v>62</v>
      </c>
      <c r="O193" s="33" t="n">
        <f>18430</f>
        <v>18430.0</v>
      </c>
      <c r="P193" s="34" t="s">
        <v>347</v>
      </c>
      <c r="Q193" s="33" t="n">
        <f>19795</f>
        <v>19795.0</v>
      </c>
      <c r="R193" s="34" t="s">
        <v>50</v>
      </c>
      <c r="S193" s="35" t="n">
        <f>19122.25</f>
        <v>19122.25</v>
      </c>
      <c r="T193" s="32" t="n">
        <f>40813</f>
        <v>40813.0</v>
      </c>
      <c r="U193" s="32" t="str">
        <f>"－"</f>
        <v>－</v>
      </c>
      <c r="V193" s="32" t="n">
        <f>779566485</f>
        <v>7.79566485E8</v>
      </c>
      <c r="W193" s="32" t="str">
        <f>"－"</f>
        <v>－</v>
      </c>
      <c r="X193" s="36" t="n">
        <f>20</f>
        <v>20.0</v>
      </c>
    </row>
    <row r="194">
      <c r="A194" s="27" t="s">
        <v>42</v>
      </c>
      <c r="B194" s="27" t="s">
        <v>629</v>
      </c>
      <c r="C194" s="27" t="s">
        <v>630</v>
      </c>
      <c r="D194" s="27" t="s">
        <v>631</v>
      </c>
      <c r="E194" s="28" t="s">
        <v>46</v>
      </c>
      <c r="F194" s="29" t="s">
        <v>46</v>
      </c>
      <c r="G194" s="30" t="s">
        <v>46</v>
      </c>
      <c r="H194" s="31"/>
      <c r="I194" s="31" t="s">
        <v>586</v>
      </c>
      <c r="J194" s="32" t="n">
        <v>1.0</v>
      </c>
      <c r="K194" s="33" t="n">
        <f>4270</f>
        <v>4270.0</v>
      </c>
      <c r="L194" s="34" t="s">
        <v>48</v>
      </c>
      <c r="M194" s="33" t="n">
        <f>4295</f>
        <v>4295.0</v>
      </c>
      <c r="N194" s="34" t="s">
        <v>80</v>
      </c>
      <c r="O194" s="33" t="n">
        <f>4105</f>
        <v>4105.0</v>
      </c>
      <c r="P194" s="34" t="s">
        <v>66</v>
      </c>
      <c r="Q194" s="33" t="n">
        <f>4195</f>
        <v>4195.0</v>
      </c>
      <c r="R194" s="34" t="s">
        <v>50</v>
      </c>
      <c r="S194" s="35" t="n">
        <f>4197.75</f>
        <v>4197.75</v>
      </c>
      <c r="T194" s="32" t="n">
        <f>5633</f>
        <v>5633.0</v>
      </c>
      <c r="U194" s="32" t="str">
        <f>"－"</f>
        <v>－</v>
      </c>
      <c r="V194" s="32" t="n">
        <f>23697025</f>
        <v>2.3697025E7</v>
      </c>
      <c r="W194" s="32" t="str">
        <f>"－"</f>
        <v>－</v>
      </c>
      <c r="X194" s="36" t="n">
        <f>20</f>
        <v>20.0</v>
      </c>
    </row>
    <row r="195">
      <c r="A195" s="27" t="s">
        <v>42</v>
      </c>
      <c r="B195" s="27" t="s">
        <v>632</v>
      </c>
      <c r="C195" s="27" t="s">
        <v>633</v>
      </c>
      <c r="D195" s="27" t="s">
        <v>634</v>
      </c>
      <c r="E195" s="28" t="s">
        <v>46</v>
      </c>
      <c r="F195" s="29" t="s">
        <v>46</v>
      </c>
      <c r="G195" s="30" t="s">
        <v>46</v>
      </c>
      <c r="H195" s="31"/>
      <c r="I195" s="31" t="s">
        <v>586</v>
      </c>
      <c r="J195" s="32" t="n">
        <v>1.0</v>
      </c>
      <c r="K195" s="33" t="n">
        <f>17770</f>
        <v>17770.0</v>
      </c>
      <c r="L195" s="34" t="s">
        <v>48</v>
      </c>
      <c r="M195" s="33" t="n">
        <f>18775</f>
        <v>18775.0</v>
      </c>
      <c r="N195" s="34" t="s">
        <v>70</v>
      </c>
      <c r="O195" s="33" t="n">
        <f>17100</f>
        <v>17100.0</v>
      </c>
      <c r="P195" s="34" t="s">
        <v>91</v>
      </c>
      <c r="Q195" s="33" t="n">
        <f>18235</f>
        <v>18235.0</v>
      </c>
      <c r="R195" s="34" t="s">
        <v>50</v>
      </c>
      <c r="S195" s="35" t="n">
        <f>17836.56</f>
        <v>17836.56</v>
      </c>
      <c r="T195" s="32" t="n">
        <f>5506</f>
        <v>5506.0</v>
      </c>
      <c r="U195" s="32" t="str">
        <f>"－"</f>
        <v>－</v>
      </c>
      <c r="V195" s="32" t="n">
        <f>98586040</f>
        <v>9.858604E7</v>
      </c>
      <c r="W195" s="32" t="str">
        <f>"－"</f>
        <v>－</v>
      </c>
      <c r="X195" s="36" t="n">
        <f>16</f>
        <v>16.0</v>
      </c>
    </row>
    <row r="196">
      <c r="A196" s="27" t="s">
        <v>42</v>
      </c>
      <c r="B196" s="27" t="s">
        <v>635</v>
      </c>
      <c r="C196" s="27" t="s">
        <v>636</v>
      </c>
      <c r="D196" s="27" t="s">
        <v>637</v>
      </c>
      <c r="E196" s="28" t="s">
        <v>46</v>
      </c>
      <c r="F196" s="29" t="s">
        <v>46</v>
      </c>
      <c r="G196" s="30" t="s">
        <v>46</v>
      </c>
      <c r="H196" s="31"/>
      <c r="I196" s="31" t="s">
        <v>586</v>
      </c>
      <c r="J196" s="32" t="n">
        <v>1.0</v>
      </c>
      <c r="K196" s="33" t="n">
        <f>14430</f>
        <v>14430.0</v>
      </c>
      <c r="L196" s="34" t="s">
        <v>54</v>
      </c>
      <c r="M196" s="33" t="n">
        <f>14965</f>
        <v>14965.0</v>
      </c>
      <c r="N196" s="34" t="s">
        <v>70</v>
      </c>
      <c r="O196" s="33" t="n">
        <f>14430</f>
        <v>14430.0</v>
      </c>
      <c r="P196" s="34" t="s">
        <v>54</v>
      </c>
      <c r="Q196" s="33" t="n">
        <f>14555</f>
        <v>14555.0</v>
      </c>
      <c r="R196" s="34" t="s">
        <v>50</v>
      </c>
      <c r="S196" s="35" t="n">
        <f>14655.63</f>
        <v>14655.63</v>
      </c>
      <c r="T196" s="32" t="n">
        <f>13</f>
        <v>13.0</v>
      </c>
      <c r="U196" s="32" t="str">
        <f>"－"</f>
        <v>－</v>
      </c>
      <c r="V196" s="32" t="n">
        <f>190410</f>
        <v>190410.0</v>
      </c>
      <c r="W196" s="32" t="str">
        <f>"－"</f>
        <v>－</v>
      </c>
      <c r="X196" s="36" t="n">
        <f>8</f>
        <v>8.0</v>
      </c>
    </row>
    <row r="197">
      <c r="A197" s="27" t="s">
        <v>42</v>
      </c>
      <c r="B197" s="27" t="s">
        <v>638</v>
      </c>
      <c r="C197" s="27" t="s">
        <v>639</v>
      </c>
      <c r="D197" s="27" t="s">
        <v>640</v>
      </c>
      <c r="E197" s="28" t="s">
        <v>46</v>
      </c>
      <c r="F197" s="29" t="s">
        <v>46</v>
      </c>
      <c r="G197" s="30" t="s">
        <v>46</v>
      </c>
      <c r="H197" s="31"/>
      <c r="I197" s="31" t="s">
        <v>586</v>
      </c>
      <c r="J197" s="32" t="n">
        <v>1.0</v>
      </c>
      <c r="K197" s="33" t="n">
        <f>20565</f>
        <v>20565.0</v>
      </c>
      <c r="L197" s="34" t="s">
        <v>48</v>
      </c>
      <c r="M197" s="33" t="n">
        <f>22170</f>
        <v>22170.0</v>
      </c>
      <c r="N197" s="34" t="s">
        <v>70</v>
      </c>
      <c r="O197" s="33" t="n">
        <f>20510</f>
        <v>20510.0</v>
      </c>
      <c r="P197" s="34" t="s">
        <v>61</v>
      </c>
      <c r="Q197" s="33" t="n">
        <f>21765</f>
        <v>21765.0</v>
      </c>
      <c r="R197" s="34" t="s">
        <v>50</v>
      </c>
      <c r="S197" s="35" t="n">
        <f>21416.43</f>
        <v>21416.43</v>
      </c>
      <c r="T197" s="32" t="n">
        <f>1440</f>
        <v>1440.0</v>
      </c>
      <c r="U197" s="32" t="n">
        <f>600</f>
        <v>600.0</v>
      </c>
      <c r="V197" s="32" t="n">
        <f>30872725</f>
        <v>3.0872725E7</v>
      </c>
      <c r="W197" s="32" t="n">
        <f>12774000</f>
        <v>1.2774E7</v>
      </c>
      <c r="X197" s="36" t="n">
        <f>14</f>
        <v>14.0</v>
      </c>
    </row>
    <row r="198">
      <c r="A198" s="27" t="s">
        <v>42</v>
      </c>
      <c r="B198" s="27" t="s">
        <v>641</v>
      </c>
      <c r="C198" s="27" t="s">
        <v>642</v>
      </c>
      <c r="D198" s="27" t="s">
        <v>643</v>
      </c>
      <c r="E198" s="28" t="s">
        <v>46</v>
      </c>
      <c r="F198" s="29" t="s">
        <v>46</v>
      </c>
      <c r="G198" s="30" t="s">
        <v>46</v>
      </c>
      <c r="H198" s="31"/>
      <c r="I198" s="31" t="s">
        <v>586</v>
      </c>
      <c r="J198" s="32" t="n">
        <v>1.0</v>
      </c>
      <c r="K198" s="33" t="n">
        <f>16625</f>
        <v>16625.0</v>
      </c>
      <c r="L198" s="34" t="s">
        <v>80</v>
      </c>
      <c r="M198" s="33" t="n">
        <f>17100</f>
        <v>17100.0</v>
      </c>
      <c r="N198" s="34" t="s">
        <v>70</v>
      </c>
      <c r="O198" s="33" t="n">
        <f>16490</f>
        <v>16490.0</v>
      </c>
      <c r="P198" s="34" t="s">
        <v>66</v>
      </c>
      <c r="Q198" s="33" t="n">
        <f>17100</f>
        <v>17100.0</v>
      </c>
      <c r="R198" s="34" t="s">
        <v>70</v>
      </c>
      <c r="S198" s="35" t="n">
        <f>16745.71</f>
        <v>16745.71</v>
      </c>
      <c r="T198" s="32" t="n">
        <f>15</f>
        <v>15.0</v>
      </c>
      <c r="U198" s="32" t="str">
        <f>"－"</f>
        <v>－</v>
      </c>
      <c r="V198" s="32" t="n">
        <f>250530</f>
        <v>250530.0</v>
      </c>
      <c r="W198" s="32" t="str">
        <f>"－"</f>
        <v>－</v>
      </c>
      <c r="X198" s="36" t="n">
        <f>7</f>
        <v>7.0</v>
      </c>
    </row>
    <row r="199">
      <c r="A199" s="27" t="s">
        <v>42</v>
      </c>
      <c r="B199" s="27" t="s">
        <v>644</v>
      </c>
      <c r="C199" s="27" t="s">
        <v>645</v>
      </c>
      <c r="D199" s="27" t="s">
        <v>646</v>
      </c>
      <c r="E199" s="28" t="s">
        <v>46</v>
      </c>
      <c r="F199" s="29" t="s">
        <v>46</v>
      </c>
      <c r="G199" s="30" t="s">
        <v>46</v>
      </c>
      <c r="H199" s="31"/>
      <c r="I199" s="31" t="s">
        <v>586</v>
      </c>
      <c r="J199" s="32" t="n">
        <v>1.0</v>
      </c>
      <c r="K199" s="33" t="n">
        <f>14425</f>
        <v>14425.0</v>
      </c>
      <c r="L199" s="34" t="s">
        <v>48</v>
      </c>
      <c r="M199" s="33" t="n">
        <f>15170</f>
        <v>15170.0</v>
      </c>
      <c r="N199" s="34" t="s">
        <v>49</v>
      </c>
      <c r="O199" s="33" t="n">
        <f>14400</f>
        <v>14400.0</v>
      </c>
      <c r="P199" s="34" t="s">
        <v>91</v>
      </c>
      <c r="Q199" s="33" t="n">
        <f>14750</f>
        <v>14750.0</v>
      </c>
      <c r="R199" s="34" t="s">
        <v>50</v>
      </c>
      <c r="S199" s="35" t="n">
        <f>14752.11</f>
        <v>14752.11</v>
      </c>
      <c r="T199" s="32" t="n">
        <f>1543</f>
        <v>1543.0</v>
      </c>
      <c r="U199" s="32" t="str">
        <f>"－"</f>
        <v>－</v>
      </c>
      <c r="V199" s="32" t="n">
        <f>22785670</f>
        <v>2.278567E7</v>
      </c>
      <c r="W199" s="32" t="str">
        <f>"－"</f>
        <v>－</v>
      </c>
      <c r="X199" s="36" t="n">
        <f>19</f>
        <v>19.0</v>
      </c>
    </row>
    <row r="200">
      <c r="A200" s="27" t="s">
        <v>42</v>
      </c>
      <c r="B200" s="27" t="s">
        <v>647</v>
      </c>
      <c r="C200" s="27" t="s">
        <v>648</v>
      </c>
      <c r="D200" s="27" t="s">
        <v>649</v>
      </c>
      <c r="E200" s="28" t="s">
        <v>46</v>
      </c>
      <c r="F200" s="29" t="s">
        <v>46</v>
      </c>
      <c r="G200" s="30" t="s">
        <v>46</v>
      </c>
      <c r="H200" s="31"/>
      <c r="I200" s="31" t="s">
        <v>586</v>
      </c>
      <c r="J200" s="32" t="n">
        <v>1.0</v>
      </c>
      <c r="K200" s="33" t="n">
        <f>16645</f>
        <v>16645.0</v>
      </c>
      <c r="L200" s="34" t="s">
        <v>61</v>
      </c>
      <c r="M200" s="33" t="n">
        <f>16910</f>
        <v>16910.0</v>
      </c>
      <c r="N200" s="34" t="s">
        <v>161</v>
      </c>
      <c r="O200" s="33" t="n">
        <f>16605</f>
        <v>16605.0</v>
      </c>
      <c r="P200" s="34" t="s">
        <v>104</v>
      </c>
      <c r="Q200" s="33" t="n">
        <f>16695</f>
        <v>16695.0</v>
      </c>
      <c r="R200" s="34" t="s">
        <v>62</v>
      </c>
      <c r="S200" s="35" t="n">
        <f>16713.75</f>
        <v>16713.75</v>
      </c>
      <c r="T200" s="32" t="n">
        <f>38</f>
        <v>38.0</v>
      </c>
      <c r="U200" s="32" t="str">
        <f>"－"</f>
        <v>－</v>
      </c>
      <c r="V200" s="32" t="n">
        <f>635500</f>
        <v>635500.0</v>
      </c>
      <c r="W200" s="32" t="str">
        <f>"－"</f>
        <v>－</v>
      </c>
      <c r="X200" s="36" t="n">
        <f>4</f>
        <v>4.0</v>
      </c>
    </row>
    <row r="201">
      <c r="A201" s="27" t="s">
        <v>42</v>
      </c>
      <c r="B201" s="27" t="s">
        <v>650</v>
      </c>
      <c r="C201" s="27" t="s">
        <v>651</v>
      </c>
      <c r="D201" s="27" t="s">
        <v>652</v>
      </c>
      <c r="E201" s="28" t="s">
        <v>46</v>
      </c>
      <c r="F201" s="29" t="s">
        <v>46</v>
      </c>
      <c r="G201" s="30" t="s">
        <v>46</v>
      </c>
      <c r="H201" s="31"/>
      <c r="I201" s="31" t="s">
        <v>586</v>
      </c>
      <c r="J201" s="32" t="n">
        <v>1.0</v>
      </c>
      <c r="K201" s="33" t="n">
        <f>14600</f>
        <v>14600.0</v>
      </c>
      <c r="L201" s="34" t="s">
        <v>66</v>
      </c>
      <c r="M201" s="33" t="n">
        <f>15055</f>
        <v>15055.0</v>
      </c>
      <c r="N201" s="34" t="s">
        <v>62</v>
      </c>
      <c r="O201" s="33" t="n">
        <f>14600</f>
        <v>14600.0</v>
      </c>
      <c r="P201" s="34" t="s">
        <v>66</v>
      </c>
      <c r="Q201" s="33" t="n">
        <f>15055</f>
        <v>15055.0</v>
      </c>
      <c r="R201" s="34" t="s">
        <v>62</v>
      </c>
      <c r="S201" s="35" t="n">
        <f>14891.67</f>
        <v>14891.67</v>
      </c>
      <c r="T201" s="32" t="n">
        <f>29</f>
        <v>29.0</v>
      </c>
      <c r="U201" s="32" t="str">
        <f>"－"</f>
        <v>－</v>
      </c>
      <c r="V201" s="32" t="n">
        <f>435475</f>
        <v>435475.0</v>
      </c>
      <c r="W201" s="32" t="str">
        <f>"－"</f>
        <v>－</v>
      </c>
      <c r="X201" s="36" t="n">
        <f>3</f>
        <v>3.0</v>
      </c>
    </row>
    <row r="202">
      <c r="A202" s="27" t="s">
        <v>42</v>
      </c>
      <c r="B202" s="27" t="s">
        <v>653</v>
      </c>
      <c r="C202" s="27" t="s">
        <v>654</v>
      </c>
      <c r="D202" s="27" t="s">
        <v>655</v>
      </c>
      <c r="E202" s="28" t="s">
        <v>46</v>
      </c>
      <c r="F202" s="29" t="s">
        <v>46</v>
      </c>
      <c r="G202" s="30" t="s">
        <v>46</v>
      </c>
      <c r="H202" s="31"/>
      <c r="I202" s="31" t="s">
        <v>586</v>
      </c>
      <c r="J202" s="32" t="n">
        <v>1.0</v>
      </c>
      <c r="K202" s="33" t="n">
        <f>9935</f>
        <v>9935.0</v>
      </c>
      <c r="L202" s="34" t="s">
        <v>61</v>
      </c>
      <c r="M202" s="33" t="n">
        <f>10450</f>
        <v>10450.0</v>
      </c>
      <c r="N202" s="34" t="s">
        <v>49</v>
      </c>
      <c r="O202" s="33" t="n">
        <f>9902</f>
        <v>9902.0</v>
      </c>
      <c r="P202" s="34" t="s">
        <v>66</v>
      </c>
      <c r="Q202" s="33" t="n">
        <f>10245</f>
        <v>10245.0</v>
      </c>
      <c r="R202" s="34" t="s">
        <v>62</v>
      </c>
      <c r="S202" s="35" t="n">
        <f>10178.42</f>
        <v>10178.42</v>
      </c>
      <c r="T202" s="32" t="n">
        <f>20804</f>
        <v>20804.0</v>
      </c>
      <c r="U202" s="32" t="str">
        <f>"－"</f>
        <v>－</v>
      </c>
      <c r="V202" s="32" t="n">
        <f>214681381</f>
        <v>2.14681381E8</v>
      </c>
      <c r="W202" s="32" t="str">
        <f>"－"</f>
        <v>－</v>
      </c>
      <c r="X202" s="36" t="n">
        <f>12</f>
        <v>12.0</v>
      </c>
    </row>
    <row r="203">
      <c r="A203" s="27" t="s">
        <v>42</v>
      </c>
      <c r="B203" s="27" t="s">
        <v>656</v>
      </c>
      <c r="C203" s="27" t="s">
        <v>657</v>
      </c>
      <c r="D203" s="27" t="s">
        <v>658</v>
      </c>
      <c r="E203" s="28" t="s">
        <v>46</v>
      </c>
      <c r="F203" s="29" t="s">
        <v>46</v>
      </c>
      <c r="G203" s="30" t="s">
        <v>46</v>
      </c>
      <c r="H203" s="31"/>
      <c r="I203" s="31" t="s">
        <v>586</v>
      </c>
      <c r="J203" s="32" t="n">
        <v>1.0</v>
      </c>
      <c r="K203" s="33" t="n">
        <f>10700</f>
        <v>10700.0</v>
      </c>
      <c r="L203" s="34" t="s">
        <v>48</v>
      </c>
      <c r="M203" s="33" t="n">
        <f>11370</f>
        <v>11370.0</v>
      </c>
      <c r="N203" s="34" t="s">
        <v>70</v>
      </c>
      <c r="O203" s="33" t="n">
        <f>10625</f>
        <v>10625.0</v>
      </c>
      <c r="P203" s="34" t="s">
        <v>80</v>
      </c>
      <c r="Q203" s="33" t="n">
        <f>11065</f>
        <v>11065.0</v>
      </c>
      <c r="R203" s="34" t="s">
        <v>50</v>
      </c>
      <c r="S203" s="35" t="n">
        <f>10996.84</f>
        <v>10996.84</v>
      </c>
      <c r="T203" s="32" t="n">
        <f>43689</f>
        <v>43689.0</v>
      </c>
      <c r="U203" s="32" t="str">
        <f>"－"</f>
        <v>－</v>
      </c>
      <c r="V203" s="32" t="n">
        <f>484050225</f>
        <v>4.84050225E8</v>
      </c>
      <c r="W203" s="32" t="str">
        <f>"－"</f>
        <v>－</v>
      </c>
      <c r="X203" s="36" t="n">
        <f>19</f>
        <v>19.0</v>
      </c>
    </row>
    <row r="204">
      <c r="A204" s="27" t="s">
        <v>42</v>
      </c>
      <c r="B204" s="27" t="s">
        <v>659</v>
      </c>
      <c r="C204" s="27" t="s">
        <v>660</v>
      </c>
      <c r="D204" s="27" t="s">
        <v>661</v>
      </c>
      <c r="E204" s="28" t="s">
        <v>46</v>
      </c>
      <c r="F204" s="29" t="s">
        <v>46</v>
      </c>
      <c r="G204" s="30" t="s">
        <v>46</v>
      </c>
      <c r="H204" s="31"/>
      <c r="I204" s="31" t="s">
        <v>586</v>
      </c>
      <c r="J204" s="32" t="n">
        <v>1.0</v>
      </c>
      <c r="K204" s="33" t="n">
        <f>10745</f>
        <v>10745.0</v>
      </c>
      <c r="L204" s="34" t="s">
        <v>48</v>
      </c>
      <c r="M204" s="33" t="n">
        <f>11075</f>
        <v>11075.0</v>
      </c>
      <c r="N204" s="34" t="s">
        <v>49</v>
      </c>
      <c r="O204" s="33" t="n">
        <f>10585</f>
        <v>10585.0</v>
      </c>
      <c r="P204" s="34" t="s">
        <v>50</v>
      </c>
      <c r="Q204" s="33" t="n">
        <f>10585</f>
        <v>10585.0</v>
      </c>
      <c r="R204" s="34" t="s">
        <v>50</v>
      </c>
      <c r="S204" s="35" t="n">
        <f>10820.88</f>
        <v>10820.88</v>
      </c>
      <c r="T204" s="32" t="n">
        <f>7945</f>
        <v>7945.0</v>
      </c>
      <c r="U204" s="32" t="str">
        <f>"－"</f>
        <v>－</v>
      </c>
      <c r="V204" s="32" t="n">
        <f>86343440</f>
        <v>8.634344E7</v>
      </c>
      <c r="W204" s="32" t="str">
        <f>"－"</f>
        <v>－</v>
      </c>
      <c r="X204" s="36" t="n">
        <f>17</f>
        <v>17.0</v>
      </c>
    </row>
    <row r="205">
      <c r="A205" s="27" t="s">
        <v>42</v>
      </c>
      <c r="B205" s="27" t="s">
        <v>662</v>
      </c>
      <c r="C205" s="27" t="s">
        <v>663</v>
      </c>
      <c r="D205" s="27" t="s">
        <v>664</v>
      </c>
      <c r="E205" s="28" t="s">
        <v>46</v>
      </c>
      <c r="F205" s="29" t="s">
        <v>46</v>
      </c>
      <c r="G205" s="30" t="s">
        <v>46</v>
      </c>
      <c r="H205" s="31"/>
      <c r="I205" s="31" t="s">
        <v>586</v>
      </c>
      <c r="J205" s="32" t="n">
        <v>1.0</v>
      </c>
      <c r="K205" s="33" t="n">
        <f>10425</f>
        <v>10425.0</v>
      </c>
      <c r="L205" s="34" t="s">
        <v>80</v>
      </c>
      <c r="M205" s="33" t="n">
        <f>11225</f>
        <v>11225.0</v>
      </c>
      <c r="N205" s="34" t="s">
        <v>49</v>
      </c>
      <c r="O205" s="33" t="n">
        <f>10405</f>
        <v>10405.0</v>
      </c>
      <c r="P205" s="34" t="s">
        <v>80</v>
      </c>
      <c r="Q205" s="33" t="n">
        <f>10930</f>
        <v>10930.0</v>
      </c>
      <c r="R205" s="34" t="s">
        <v>70</v>
      </c>
      <c r="S205" s="35" t="n">
        <f>10827.78</f>
        <v>10827.78</v>
      </c>
      <c r="T205" s="32" t="n">
        <f>4149</f>
        <v>4149.0</v>
      </c>
      <c r="U205" s="32" t="str">
        <f>"－"</f>
        <v>－</v>
      </c>
      <c r="V205" s="32" t="n">
        <f>44591995</f>
        <v>4.4591995E7</v>
      </c>
      <c r="W205" s="32" t="str">
        <f>"－"</f>
        <v>－</v>
      </c>
      <c r="X205" s="36" t="n">
        <f>9</f>
        <v>9.0</v>
      </c>
    </row>
    <row r="206">
      <c r="A206" s="27" t="s">
        <v>42</v>
      </c>
      <c r="B206" s="27" t="s">
        <v>665</v>
      </c>
      <c r="C206" s="27" t="s">
        <v>666</v>
      </c>
      <c r="D206" s="27" t="s">
        <v>667</v>
      </c>
      <c r="E206" s="28" t="s">
        <v>46</v>
      </c>
      <c r="F206" s="29" t="s">
        <v>46</v>
      </c>
      <c r="G206" s="30" t="s">
        <v>46</v>
      </c>
      <c r="H206" s="31"/>
      <c r="I206" s="31" t="s">
        <v>47</v>
      </c>
      <c r="J206" s="32" t="n">
        <v>10.0</v>
      </c>
      <c r="K206" s="33" t="n">
        <f>2022.5</f>
        <v>2022.5</v>
      </c>
      <c r="L206" s="34" t="s">
        <v>48</v>
      </c>
      <c r="M206" s="33" t="n">
        <f>2045</f>
        <v>2045.0</v>
      </c>
      <c r="N206" s="34" t="s">
        <v>62</v>
      </c>
      <c r="O206" s="33" t="n">
        <f>1950</f>
        <v>1950.0</v>
      </c>
      <c r="P206" s="34" t="s">
        <v>91</v>
      </c>
      <c r="Q206" s="33" t="n">
        <f>1999</f>
        <v>1999.0</v>
      </c>
      <c r="R206" s="34" t="s">
        <v>50</v>
      </c>
      <c r="S206" s="35" t="n">
        <f>1993.53</f>
        <v>1993.53</v>
      </c>
      <c r="T206" s="32" t="n">
        <f>15820</f>
        <v>15820.0</v>
      </c>
      <c r="U206" s="32" t="str">
        <f>"－"</f>
        <v>－</v>
      </c>
      <c r="V206" s="32" t="n">
        <f>31702410</f>
        <v>3.170241E7</v>
      </c>
      <c r="W206" s="32" t="str">
        <f>"－"</f>
        <v>－</v>
      </c>
      <c r="X206" s="36" t="n">
        <f>20</f>
        <v>20.0</v>
      </c>
    </row>
    <row r="207">
      <c r="A207" s="27" t="s">
        <v>42</v>
      </c>
      <c r="B207" s="27" t="s">
        <v>668</v>
      </c>
      <c r="C207" s="27" t="s">
        <v>669</v>
      </c>
      <c r="D207" s="27" t="s">
        <v>670</v>
      </c>
      <c r="E207" s="28" t="s">
        <v>46</v>
      </c>
      <c r="F207" s="29" t="s">
        <v>46</v>
      </c>
      <c r="G207" s="30" t="s">
        <v>46</v>
      </c>
      <c r="H207" s="31"/>
      <c r="I207" s="31" t="s">
        <v>47</v>
      </c>
      <c r="J207" s="32" t="n">
        <v>1.0</v>
      </c>
      <c r="K207" s="33" t="n">
        <f>1031</f>
        <v>1031.0</v>
      </c>
      <c r="L207" s="34" t="s">
        <v>48</v>
      </c>
      <c r="M207" s="33" t="n">
        <f>1046</f>
        <v>1046.0</v>
      </c>
      <c r="N207" s="34" t="s">
        <v>80</v>
      </c>
      <c r="O207" s="33" t="n">
        <f>997</f>
        <v>997.0</v>
      </c>
      <c r="P207" s="34" t="s">
        <v>50</v>
      </c>
      <c r="Q207" s="33" t="n">
        <f>999</f>
        <v>999.0</v>
      </c>
      <c r="R207" s="34" t="s">
        <v>50</v>
      </c>
      <c r="S207" s="35" t="n">
        <f>1016.65</f>
        <v>1016.65</v>
      </c>
      <c r="T207" s="32" t="n">
        <f>908127</f>
        <v>908127.0</v>
      </c>
      <c r="U207" s="32" t="str">
        <f>"－"</f>
        <v>－</v>
      </c>
      <c r="V207" s="32" t="n">
        <f>922374673</f>
        <v>9.22374673E8</v>
      </c>
      <c r="W207" s="32" t="str">
        <f>"－"</f>
        <v>－</v>
      </c>
      <c r="X207" s="36" t="n">
        <f>20</f>
        <v>20.0</v>
      </c>
    </row>
    <row r="208">
      <c r="A208" s="27" t="s">
        <v>42</v>
      </c>
      <c r="B208" s="27" t="s">
        <v>671</v>
      </c>
      <c r="C208" s="27" t="s">
        <v>672</v>
      </c>
      <c r="D208" s="27" t="s">
        <v>673</v>
      </c>
      <c r="E208" s="28" t="s">
        <v>46</v>
      </c>
      <c r="F208" s="29" t="s">
        <v>46</v>
      </c>
      <c r="G208" s="30" t="s">
        <v>46</v>
      </c>
      <c r="H208" s="31"/>
      <c r="I208" s="31" t="s">
        <v>47</v>
      </c>
      <c r="J208" s="32" t="n">
        <v>1.0</v>
      </c>
      <c r="K208" s="33" t="n">
        <f>52420</f>
        <v>52420.0</v>
      </c>
      <c r="L208" s="34" t="s">
        <v>48</v>
      </c>
      <c r="M208" s="33" t="n">
        <f>53700</f>
        <v>53700.0</v>
      </c>
      <c r="N208" s="34" t="s">
        <v>70</v>
      </c>
      <c r="O208" s="33" t="n">
        <f>51090</f>
        <v>51090.0</v>
      </c>
      <c r="P208" s="34" t="s">
        <v>411</v>
      </c>
      <c r="Q208" s="33" t="n">
        <f>52870</f>
        <v>52870.0</v>
      </c>
      <c r="R208" s="34" t="s">
        <v>50</v>
      </c>
      <c r="S208" s="35" t="n">
        <f>52200.5</f>
        <v>52200.5</v>
      </c>
      <c r="T208" s="32" t="n">
        <f>29334</f>
        <v>29334.0</v>
      </c>
      <c r="U208" s="32" t="str">
        <f>"－"</f>
        <v>－</v>
      </c>
      <c r="V208" s="32" t="n">
        <f>1528371470</f>
        <v>1.52837147E9</v>
      </c>
      <c r="W208" s="32" t="str">
        <f>"－"</f>
        <v>－</v>
      </c>
      <c r="X208" s="36" t="n">
        <f>20</f>
        <v>20.0</v>
      </c>
    </row>
    <row r="209">
      <c r="A209" s="27" t="s">
        <v>42</v>
      </c>
      <c r="B209" s="27" t="s">
        <v>674</v>
      </c>
      <c r="C209" s="27" t="s">
        <v>675</v>
      </c>
      <c r="D209" s="27" t="s">
        <v>676</v>
      </c>
      <c r="E209" s="28" t="s">
        <v>46</v>
      </c>
      <c r="F209" s="29" t="s">
        <v>46</v>
      </c>
      <c r="G209" s="30" t="s">
        <v>46</v>
      </c>
      <c r="H209" s="31"/>
      <c r="I209" s="31" t="s">
        <v>47</v>
      </c>
      <c r="J209" s="32" t="n">
        <v>1.0</v>
      </c>
      <c r="K209" s="33" t="n">
        <f>9362</f>
        <v>9362.0</v>
      </c>
      <c r="L209" s="34" t="s">
        <v>48</v>
      </c>
      <c r="M209" s="33" t="n">
        <f>9477</f>
        <v>9477.0</v>
      </c>
      <c r="N209" s="34" t="s">
        <v>411</v>
      </c>
      <c r="O209" s="33" t="n">
        <f>9221</f>
        <v>9221.0</v>
      </c>
      <c r="P209" s="34" t="s">
        <v>70</v>
      </c>
      <c r="Q209" s="33" t="n">
        <f>9291</f>
        <v>9291.0</v>
      </c>
      <c r="R209" s="34" t="s">
        <v>50</v>
      </c>
      <c r="S209" s="35" t="n">
        <f>9370.35</f>
        <v>9370.35</v>
      </c>
      <c r="T209" s="32" t="n">
        <f>532298</f>
        <v>532298.0</v>
      </c>
      <c r="U209" s="32" t="n">
        <f>431500</f>
        <v>431500.0</v>
      </c>
      <c r="V209" s="32" t="n">
        <f>4977906627</f>
        <v>4.977906627E9</v>
      </c>
      <c r="W209" s="32" t="n">
        <f>4032320319</f>
        <v>4.032320319E9</v>
      </c>
      <c r="X209" s="36" t="n">
        <f>20</f>
        <v>20.0</v>
      </c>
    </row>
    <row r="210">
      <c r="A210" s="27" t="s">
        <v>42</v>
      </c>
      <c r="B210" s="27" t="s">
        <v>677</v>
      </c>
      <c r="C210" s="27" t="s">
        <v>678</v>
      </c>
      <c r="D210" s="27" t="s">
        <v>679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10.0</v>
      </c>
      <c r="K210" s="33" t="n">
        <f>11175</f>
        <v>11175.0</v>
      </c>
      <c r="L210" s="34" t="s">
        <v>48</v>
      </c>
      <c r="M210" s="33" t="n">
        <f>11440</f>
        <v>11440.0</v>
      </c>
      <c r="N210" s="34" t="s">
        <v>70</v>
      </c>
      <c r="O210" s="33" t="n">
        <f>10880</f>
        <v>10880.0</v>
      </c>
      <c r="P210" s="34" t="s">
        <v>411</v>
      </c>
      <c r="Q210" s="33" t="n">
        <f>11270</f>
        <v>11270.0</v>
      </c>
      <c r="R210" s="34" t="s">
        <v>50</v>
      </c>
      <c r="S210" s="35" t="n">
        <f>11128.25</f>
        <v>11128.25</v>
      </c>
      <c r="T210" s="32" t="n">
        <f>8590</f>
        <v>8590.0</v>
      </c>
      <c r="U210" s="32" t="str">
        <f>"－"</f>
        <v>－</v>
      </c>
      <c r="V210" s="32" t="n">
        <f>94948650</f>
        <v>9.494865E7</v>
      </c>
      <c r="W210" s="32" t="str">
        <f>"－"</f>
        <v>－</v>
      </c>
      <c r="X210" s="36" t="n">
        <f>20</f>
        <v>20.0</v>
      </c>
    </row>
    <row r="211">
      <c r="A211" s="27" t="s">
        <v>42</v>
      </c>
      <c r="B211" s="27" t="s">
        <v>680</v>
      </c>
      <c r="C211" s="27" t="s">
        <v>681</v>
      </c>
      <c r="D211" s="27" t="s">
        <v>682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9411</f>
        <v>9411.0</v>
      </c>
      <c r="L211" s="34" t="s">
        <v>48</v>
      </c>
      <c r="M211" s="33" t="n">
        <f>9520</f>
        <v>9520.0</v>
      </c>
      <c r="N211" s="34" t="s">
        <v>411</v>
      </c>
      <c r="O211" s="33" t="n">
        <f>9250</f>
        <v>9250.0</v>
      </c>
      <c r="P211" s="34" t="s">
        <v>70</v>
      </c>
      <c r="Q211" s="33" t="n">
        <f>9319</f>
        <v>9319.0</v>
      </c>
      <c r="R211" s="34" t="s">
        <v>50</v>
      </c>
      <c r="S211" s="35" t="n">
        <f>9416.16</f>
        <v>9416.16</v>
      </c>
      <c r="T211" s="32" t="n">
        <f>25310</f>
        <v>25310.0</v>
      </c>
      <c r="U211" s="32" t="n">
        <f>19800</f>
        <v>19800.0</v>
      </c>
      <c r="V211" s="32" t="n">
        <f>237203350</f>
        <v>2.3720335E8</v>
      </c>
      <c r="W211" s="32" t="n">
        <f>185374180</f>
        <v>1.8537418E8</v>
      </c>
      <c r="X211" s="36" t="n">
        <f>19</f>
        <v>19.0</v>
      </c>
    </row>
    <row r="212">
      <c r="A212" s="27" t="s">
        <v>42</v>
      </c>
      <c r="B212" s="27" t="s">
        <v>683</v>
      </c>
      <c r="C212" s="27" t="s">
        <v>684</v>
      </c>
      <c r="D212" s="27" t="s">
        <v>685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516.7</f>
        <v>516.7</v>
      </c>
      <c r="L212" s="34" t="s">
        <v>48</v>
      </c>
      <c r="M212" s="33" t="n">
        <f>549.8</f>
        <v>549.8</v>
      </c>
      <c r="N212" s="34" t="s">
        <v>161</v>
      </c>
      <c r="O212" s="33" t="n">
        <f>498.2</f>
        <v>498.2</v>
      </c>
      <c r="P212" s="34" t="s">
        <v>91</v>
      </c>
      <c r="Q212" s="33" t="n">
        <f>510.5</f>
        <v>510.5</v>
      </c>
      <c r="R212" s="34" t="s">
        <v>50</v>
      </c>
      <c r="S212" s="35" t="n">
        <f>510.9</f>
        <v>510.9</v>
      </c>
      <c r="T212" s="32" t="n">
        <f>101510</f>
        <v>101510.0</v>
      </c>
      <c r="U212" s="32" t="str">
        <f>"－"</f>
        <v>－</v>
      </c>
      <c r="V212" s="32" t="n">
        <f>51965290</f>
        <v>5.196529E7</v>
      </c>
      <c r="W212" s="32" t="str">
        <f>"－"</f>
        <v>－</v>
      </c>
      <c r="X212" s="36" t="n">
        <f>20</f>
        <v>20.0</v>
      </c>
    </row>
    <row r="213">
      <c r="A213" s="27" t="s">
        <v>42</v>
      </c>
      <c r="B213" s="27" t="s">
        <v>686</v>
      </c>
      <c r="C213" s="27" t="s">
        <v>687</v>
      </c>
      <c r="D213" s="27" t="s">
        <v>688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516.5</f>
        <v>516.5</v>
      </c>
      <c r="L213" s="34" t="s">
        <v>48</v>
      </c>
      <c r="M213" s="33" t="n">
        <f>517.7</f>
        <v>517.7</v>
      </c>
      <c r="N213" s="34" t="s">
        <v>48</v>
      </c>
      <c r="O213" s="33" t="n">
        <f>492</f>
        <v>492.0</v>
      </c>
      <c r="P213" s="34" t="s">
        <v>50</v>
      </c>
      <c r="Q213" s="33" t="n">
        <f>492</f>
        <v>492.0</v>
      </c>
      <c r="R213" s="34" t="s">
        <v>50</v>
      </c>
      <c r="S213" s="35" t="n">
        <f>503.17</f>
        <v>503.17</v>
      </c>
      <c r="T213" s="32" t="n">
        <f>534420</f>
        <v>534420.0</v>
      </c>
      <c r="U213" s="32" t="str">
        <f>"－"</f>
        <v>－</v>
      </c>
      <c r="V213" s="32" t="n">
        <f>265961216</f>
        <v>2.65961216E8</v>
      </c>
      <c r="W213" s="32" t="str">
        <f>"－"</f>
        <v>－</v>
      </c>
      <c r="X213" s="36" t="n">
        <f>19</f>
        <v>19.0</v>
      </c>
    </row>
    <row r="214">
      <c r="A214" s="27" t="s">
        <v>42</v>
      </c>
      <c r="B214" s="27" t="s">
        <v>689</v>
      </c>
      <c r="C214" s="27" t="s">
        <v>690</v>
      </c>
      <c r="D214" s="27" t="s">
        <v>691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981</f>
        <v>981.0</v>
      </c>
      <c r="L214" s="34" t="s">
        <v>48</v>
      </c>
      <c r="M214" s="33" t="n">
        <f>1240</f>
        <v>1240.0</v>
      </c>
      <c r="N214" s="34" t="s">
        <v>70</v>
      </c>
      <c r="O214" s="33" t="n">
        <f>963</f>
        <v>963.0</v>
      </c>
      <c r="P214" s="34" t="s">
        <v>91</v>
      </c>
      <c r="Q214" s="33" t="n">
        <f>1176</f>
        <v>1176.0</v>
      </c>
      <c r="R214" s="34" t="s">
        <v>50</v>
      </c>
      <c r="S214" s="35" t="n">
        <f>1045.4</f>
        <v>1045.4</v>
      </c>
      <c r="T214" s="32" t="n">
        <f>3802884</f>
        <v>3802884.0</v>
      </c>
      <c r="U214" s="32" t="n">
        <f>2546200</f>
        <v>2546200.0</v>
      </c>
      <c r="V214" s="32" t="n">
        <f>4096364666</f>
        <v>4.096364666E9</v>
      </c>
      <c r="W214" s="32" t="n">
        <f>2669308202</f>
        <v>2.669308202E9</v>
      </c>
      <c r="X214" s="36" t="n">
        <f>20</f>
        <v>20.0</v>
      </c>
    </row>
    <row r="215">
      <c r="A215" s="27" t="s">
        <v>42</v>
      </c>
      <c r="B215" s="27" t="s">
        <v>692</v>
      </c>
      <c r="C215" s="27" t="s">
        <v>693</v>
      </c>
      <c r="D215" s="27" t="s">
        <v>694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1040</f>
        <v>1040.0</v>
      </c>
      <c r="L215" s="34" t="s">
        <v>48</v>
      </c>
      <c r="M215" s="33" t="n">
        <f>1223</f>
        <v>1223.0</v>
      </c>
      <c r="N215" s="34" t="s">
        <v>62</v>
      </c>
      <c r="O215" s="33" t="n">
        <f>1026</f>
        <v>1026.0</v>
      </c>
      <c r="P215" s="34" t="s">
        <v>54</v>
      </c>
      <c r="Q215" s="33" t="n">
        <f>1202</f>
        <v>1202.0</v>
      </c>
      <c r="R215" s="34" t="s">
        <v>50</v>
      </c>
      <c r="S215" s="35" t="n">
        <f>1094.5</f>
        <v>1094.5</v>
      </c>
      <c r="T215" s="32" t="n">
        <f>921986</f>
        <v>921986.0</v>
      </c>
      <c r="U215" s="32" t="n">
        <f>5</f>
        <v>5.0</v>
      </c>
      <c r="V215" s="32" t="n">
        <f>1042115922</f>
        <v>1.042115922E9</v>
      </c>
      <c r="W215" s="32" t="n">
        <f>5525</f>
        <v>5525.0</v>
      </c>
      <c r="X215" s="36" t="n">
        <f>20</f>
        <v>20.0</v>
      </c>
    </row>
    <row r="216">
      <c r="A216" s="27" t="s">
        <v>42</v>
      </c>
      <c r="B216" s="27" t="s">
        <v>695</v>
      </c>
      <c r="C216" s="27" t="s">
        <v>696</v>
      </c>
      <c r="D216" s="27" t="s">
        <v>697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803</f>
        <v>803.0</v>
      </c>
      <c r="L216" s="34" t="s">
        <v>80</v>
      </c>
      <c r="M216" s="33" t="n">
        <f>914.1</f>
        <v>914.1</v>
      </c>
      <c r="N216" s="34" t="s">
        <v>91</v>
      </c>
      <c r="O216" s="33" t="n">
        <f>796.5</f>
        <v>796.5</v>
      </c>
      <c r="P216" s="34" t="s">
        <v>62</v>
      </c>
      <c r="Q216" s="33" t="n">
        <f>796.5</f>
        <v>796.5</v>
      </c>
      <c r="R216" s="34" t="s">
        <v>62</v>
      </c>
      <c r="S216" s="35" t="n">
        <f>803.36</f>
        <v>803.36</v>
      </c>
      <c r="T216" s="32" t="n">
        <f>10710</f>
        <v>10710.0</v>
      </c>
      <c r="U216" s="32" t="n">
        <f>9710</f>
        <v>9710.0</v>
      </c>
      <c r="V216" s="32" t="n">
        <f>8570330</f>
        <v>8570330.0</v>
      </c>
      <c r="W216" s="32" t="n">
        <f>7768000</f>
        <v>7768000.0</v>
      </c>
      <c r="X216" s="36" t="n">
        <f>12</f>
        <v>12.0</v>
      </c>
    </row>
    <row r="217">
      <c r="A217" s="27" t="s">
        <v>42</v>
      </c>
      <c r="B217" s="27" t="s">
        <v>698</v>
      </c>
      <c r="C217" s="27" t="s">
        <v>699</v>
      </c>
      <c r="D217" s="27" t="s">
        <v>700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800</f>
        <v>800.0</v>
      </c>
      <c r="L217" s="34" t="s">
        <v>80</v>
      </c>
      <c r="M217" s="33" t="n">
        <f>813.4</f>
        <v>813.4</v>
      </c>
      <c r="N217" s="34" t="s">
        <v>91</v>
      </c>
      <c r="O217" s="33" t="n">
        <f>796.2</f>
        <v>796.2</v>
      </c>
      <c r="P217" s="34" t="s">
        <v>104</v>
      </c>
      <c r="Q217" s="33" t="n">
        <f>803.1</f>
        <v>803.1</v>
      </c>
      <c r="R217" s="34" t="s">
        <v>50</v>
      </c>
      <c r="S217" s="35" t="n">
        <f>802.11</f>
        <v>802.11</v>
      </c>
      <c r="T217" s="32" t="n">
        <f>20510</f>
        <v>20510.0</v>
      </c>
      <c r="U217" s="32" t="n">
        <f>19310</f>
        <v>19310.0</v>
      </c>
      <c r="V217" s="32" t="n">
        <f>16407273</f>
        <v>1.6407273E7</v>
      </c>
      <c r="W217" s="32" t="n">
        <f>15448000</f>
        <v>1.5448E7</v>
      </c>
      <c r="X217" s="36" t="n">
        <f>11</f>
        <v>11.0</v>
      </c>
    </row>
    <row r="218">
      <c r="A218" s="27" t="s">
        <v>42</v>
      </c>
      <c r="B218" s="27" t="s">
        <v>701</v>
      </c>
      <c r="C218" s="27" t="s">
        <v>702</v>
      </c>
      <c r="D218" s="27" t="s">
        <v>703</v>
      </c>
      <c r="E218" s="28" t="s">
        <v>704</v>
      </c>
      <c r="F218" s="29" t="s">
        <v>705</v>
      </c>
      <c r="G218" s="30" t="s">
        <v>706</v>
      </c>
      <c r="H218" s="31"/>
      <c r="I218" s="31" t="s">
        <v>47</v>
      </c>
      <c r="J218" s="32" t="n">
        <v>1.0</v>
      </c>
      <c r="K218" s="33" t="n">
        <f>10410</f>
        <v>10410.0</v>
      </c>
      <c r="L218" s="34" t="s">
        <v>91</v>
      </c>
      <c r="M218" s="33" t="n">
        <f>11125</f>
        <v>11125.0</v>
      </c>
      <c r="N218" s="34" t="s">
        <v>70</v>
      </c>
      <c r="O218" s="33" t="n">
        <f>10410</f>
        <v>10410.0</v>
      </c>
      <c r="P218" s="34" t="s">
        <v>91</v>
      </c>
      <c r="Q218" s="33" t="n">
        <f>10930</f>
        <v>10930.0</v>
      </c>
      <c r="R218" s="34" t="s">
        <v>50</v>
      </c>
      <c r="S218" s="35" t="n">
        <f>10754.29</f>
        <v>10754.29</v>
      </c>
      <c r="T218" s="32" t="n">
        <f>1863</f>
        <v>1863.0</v>
      </c>
      <c r="U218" s="32" t="str">
        <f>"－"</f>
        <v>－</v>
      </c>
      <c r="V218" s="32" t="n">
        <f>19901615</f>
        <v>1.9901615E7</v>
      </c>
      <c r="W218" s="32" t="str">
        <f>"－"</f>
        <v>－</v>
      </c>
      <c r="X218" s="36" t="n">
        <f>14</f>
        <v>14.0</v>
      </c>
    </row>
    <row r="219">
      <c r="A219" s="27" t="s">
        <v>42</v>
      </c>
      <c r="B219" s="27" t="s">
        <v>707</v>
      </c>
      <c r="C219" s="27" t="s">
        <v>708</v>
      </c>
      <c r="D219" s="27" t="s">
        <v>709</v>
      </c>
      <c r="E219" s="28" t="s">
        <v>704</v>
      </c>
      <c r="F219" s="29" t="s">
        <v>705</v>
      </c>
      <c r="G219" s="30" t="s">
        <v>706</v>
      </c>
      <c r="H219" s="31"/>
      <c r="I219" s="31" t="s">
        <v>47</v>
      </c>
      <c r="J219" s="32" t="n">
        <v>1.0</v>
      </c>
      <c r="K219" s="33" t="n">
        <f>34620</f>
        <v>34620.0</v>
      </c>
      <c r="L219" s="34" t="s">
        <v>91</v>
      </c>
      <c r="M219" s="33" t="n">
        <f>35220</f>
        <v>35220.0</v>
      </c>
      <c r="N219" s="34" t="s">
        <v>70</v>
      </c>
      <c r="O219" s="33" t="n">
        <f>34390</f>
        <v>34390.0</v>
      </c>
      <c r="P219" s="34" t="s">
        <v>411</v>
      </c>
      <c r="Q219" s="33" t="n">
        <f>35000</f>
        <v>35000.0</v>
      </c>
      <c r="R219" s="34" t="s">
        <v>50</v>
      </c>
      <c r="S219" s="35" t="n">
        <f>34767.27</f>
        <v>34767.27</v>
      </c>
      <c r="T219" s="32" t="n">
        <f>2449</f>
        <v>2449.0</v>
      </c>
      <c r="U219" s="32" t="str">
        <f>"－"</f>
        <v>－</v>
      </c>
      <c r="V219" s="32" t="n">
        <f>85553120</f>
        <v>8.555312E7</v>
      </c>
      <c r="W219" s="32" t="str">
        <f>"－"</f>
        <v>－</v>
      </c>
      <c r="X219" s="36" t="n">
        <f>11</f>
        <v>11.0</v>
      </c>
    </row>
    <row r="220">
      <c r="A220" s="27" t="s">
        <v>42</v>
      </c>
      <c r="B220" s="27" t="s">
        <v>710</v>
      </c>
      <c r="C220" s="27" t="s">
        <v>711</v>
      </c>
      <c r="D220" s="27" t="s">
        <v>712</v>
      </c>
      <c r="E220" s="28" t="s">
        <v>704</v>
      </c>
      <c r="F220" s="29" t="s">
        <v>705</v>
      </c>
      <c r="G220" s="30" t="s">
        <v>706</v>
      </c>
      <c r="H220" s="31"/>
      <c r="I220" s="31" t="s">
        <v>47</v>
      </c>
      <c r="J220" s="32" t="n">
        <v>1.0</v>
      </c>
      <c r="K220" s="33" t="n">
        <f>33070</f>
        <v>33070.0</v>
      </c>
      <c r="L220" s="34" t="s">
        <v>91</v>
      </c>
      <c r="M220" s="33" t="n">
        <f>33310</f>
        <v>33310.0</v>
      </c>
      <c r="N220" s="34" t="s">
        <v>347</v>
      </c>
      <c r="O220" s="33" t="n">
        <f>31480</f>
        <v>31480.0</v>
      </c>
      <c r="P220" s="34" t="s">
        <v>70</v>
      </c>
      <c r="Q220" s="33" t="n">
        <f>31970</f>
        <v>31970.0</v>
      </c>
      <c r="R220" s="34" t="s">
        <v>50</v>
      </c>
      <c r="S220" s="35" t="n">
        <f>32440.71</f>
        <v>32440.71</v>
      </c>
      <c r="T220" s="32" t="n">
        <f>15714</f>
        <v>15714.0</v>
      </c>
      <c r="U220" s="32" t="str">
        <f>"－"</f>
        <v>－</v>
      </c>
      <c r="V220" s="32" t="n">
        <f>502494850</f>
        <v>5.0249485E8</v>
      </c>
      <c r="W220" s="32" t="str">
        <f>"－"</f>
        <v>－</v>
      </c>
      <c r="X220" s="36" t="n">
        <f>14</f>
        <v>14.0</v>
      </c>
    </row>
    <row r="221">
      <c r="A221" s="27" t="s">
        <v>42</v>
      </c>
      <c r="B221" s="27" t="s">
        <v>713</v>
      </c>
      <c r="C221" s="27" t="s">
        <v>714</v>
      </c>
      <c r="D221" s="27" t="s">
        <v>715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954.1</f>
        <v>954.1</v>
      </c>
      <c r="L221" s="34" t="s">
        <v>48</v>
      </c>
      <c r="M221" s="33" t="n">
        <f>965</f>
        <v>965.0</v>
      </c>
      <c r="N221" s="34" t="s">
        <v>66</v>
      </c>
      <c r="O221" s="33" t="n">
        <f>949.5</f>
        <v>949.5</v>
      </c>
      <c r="P221" s="34" t="s">
        <v>54</v>
      </c>
      <c r="Q221" s="33" t="n">
        <f>955.1</f>
        <v>955.1</v>
      </c>
      <c r="R221" s="34" t="s">
        <v>50</v>
      </c>
      <c r="S221" s="35" t="n">
        <f>955.51</f>
        <v>955.51</v>
      </c>
      <c r="T221" s="32" t="n">
        <f>2700170</f>
        <v>2700170.0</v>
      </c>
      <c r="U221" s="32" t="n">
        <f>1750940</f>
        <v>1750940.0</v>
      </c>
      <c r="V221" s="32" t="n">
        <f>2583422581</f>
        <v>2.583422581E9</v>
      </c>
      <c r="W221" s="32" t="n">
        <f>1675622584</f>
        <v>1.675622584E9</v>
      </c>
      <c r="X221" s="36" t="n">
        <f>20</f>
        <v>20.0</v>
      </c>
    </row>
    <row r="222">
      <c r="A222" s="27" t="s">
        <v>42</v>
      </c>
      <c r="B222" s="27" t="s">
        <v>716</v>
      </c>
      <c r="C222" s="27" t="s">
        <v>717</v>
      </c>
      <c r="D222" s="27" t="s">
        <v>718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996.6</f>
        <v>996.6</v>
      </c>
      <c r="L222" s="34" t="s">
        <v>48</v>
      </c>
      <c r="M222" s="33" t="n">
        <f>1004</f>
        <v>1004.0</v>
      </c>
      <c r="N222" s="34" t="s">
        <v>48</v>
      </c>
      <c r="O222" s="33" t="n">
        <f>983.1</f>
        <v>983.1</v>
      </c>
      <c r="P222" s="34" t="s">
        <v>66</v>
      </c>
      <c r="Q222" s="33" t="n">
        <f>1002.5</f>
        <v>1002.5</v>
      </c>
      <c r="R222" s="34" t="s">
        <v>50</v>
      </c>
      <c r="S222" s="35" t="n">
        <f>995.13</f>
        <v>995.13</v>
      </c>
      <c r="T222" s="32" t="n">
        <f>1473180</f>
        <v>1473180.0</v>
      </c>
      <c r="U222" s="32" t="n">
        <f>916960</f>
        <v>916960.0</v>
      </c>
      <c r="V222" s="32" t="n">
        <f>1468403597</f>
        <v>1.468403597E9</v>
      </c>
      <c r="W222" s="32" t="n">
        <f>914738523</f>
        <v>9.14738523E8</v>
      </c>
      <c r="X222" s="36" t="n">
        <f>20</f>
        <v>20.0</v>
      </c>
    </row>
    <row r="223">
      <c r="A223" s="27" t="s">
        <v>42</v>
      </c>
      <c r="B223" s="27" t="s">
        <v>719</v>
      </c>
      <c r="C223" s="27" t="s">
        <v>720</v>
      </c>
      <c r="D223" s="27" t="s">
        <v>721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839.9</f>
        <v>839.9</v>
      </c>
      <c r="L223" s="34" t="s">
        <v>48</v>
      </c>
      <c r="M223" s="33" t="n">
        <f>840</f>
        <v>840.0</v>
      </c>
      <c r="N223" s="34" t="s">
        <v>48</v>
      </c>
      <c r="O223" s="33" t="n">
        <f>815</f>
        <v>815.0</v>
      </c>
      <c r="P223" s="34" t="s">
        <v>70</v>
      </c>
      <c r="Q223" s="33" t="n">
        <f>823.9</f>
        <v>823.9</v>
      </c>
      <c r="R223" s="34" t="s">
        <v>50</v>
      </c>
      <c r="S223" s="35" t="n">
        <f>826.9</f>
        <v>826.9</v>
      </c>
      <c r="T223" s="32" t="n">
        <f>3660760</f>
        <v>3660760.0</v>
      </c>
      <c r="U223" s="32" t="n">
        <f>3244570</f>
        <v>3244570.0</v>
      </c>
      <c r="V223" s="32" t="n">
        <f>3017870352</f>
        <v>3.017870352E9</v>
      </c>
      <c r="W223" s="32" t="n">
        <f>2672803393</f>
        <v>2.672803393E9</v>
      </c>
      <c r="X223" s="36" t="n">
        <f>20</f>
        <v>20.0</v>
      </c>
    </row>
    <row r="224">
      <c r="A224" s="27" t="s">
        <v>42</v>
      </c>
      <c r="B224" s="27" t="s">
        <v>722</v>
      </c>
      <c r="C224" s="27" t="s">
        <v>723</v>
      </c>
      <c r="D224" s="27" t="s">
        <v>724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1754.5</f>
        <v>1754.5</v>
      </c>
      <c r="L224" s="34" t="s">
        <v>48</v>
      </c>
      <c r="M224" s="33" t="n">
        <f>1829</f>
        <v>1829.0</v>
      </c>
      <c r="N224" s="34" t="s">
        <v>70</v>
      </c>
      <c r="O224" s="33" t="n">
        <f>1726.5</f>
        <v>1726.5</v>
      </c>
      <c r="P224" s="34" t="s">
        <v>66</v>
      </c>
      <c r="Q224" s="33" t="n">
        <f>1790</f>
        <v>1790.0</v>
      </c>
      <c r="R224" s="34" t="s">
        <v>50</v>
      </c>
      <c r="S224" s="35" t="n">
        <f>1768.73</f>
        <v>1768.73</v>
      </c>
      <c r="T224" s="32" t="n">
        <f>1242140</f>
        <v>1242140.0</v>
      </c>
      <c r="U224" s="32" t="n">
        <f>968820</f>
        <v>968820.0</v>
      </c>
      <c r="V224" s="32" t="n">
        <f>2215446331</f>
        <v>2.215446331E9</v>
      </c>
      <c r="W224" s="32" t="n">
        <f>1733075796</f>
        <v>1.733075796E9</v>
      </c>
      <c r="X224" s="36" t="n">
        <f>20</f>
        <v>20.0</v>
      </c>
    </row>
    <row r="225">
      <c r="A225" s="27" t="s">
        <v>42</v>
      </c>
      <c r="B225" s="27" t="s">
        <v>725</v>
      </c>
      <c r="C225" s="27" t="s">
        <v>726</v>
      </c>
      <c r="D225" s="27" t="s">
        <v>727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1360</f>
        <v>1360.0</v>
      </c>
      <c r="L225" s="34" t="s">
        <v>48</v>
      </c>
      <c r="M225" s="33" t="n">
        <f>1373</f>
        <v>1373.0</v>
      </c>
      <c r="N225" s="34" t="s">
        <v>49</v>
      </c>
      <c r="O225" s="33" t="n">
        <f>1340.5</f>
        <v>1340.5</v>
      </c>
      <c r="P225" s="34" t="s">
        <v>48</v>
      </c>
      <c r="Q225" s="33" t="n">
        <f>1358</f>
        <v>1358.0</v>
      </c>
      <c r="R225" s="34" t="s">
        <v>50</v>
      </c>
      <c r="S225" s="35" t="n">
        <f>1358.28</f>
        <v>1358.28</v>
      </c>
      <c r="T225" s="32" t="n">
        <f>275000</f>
        <v>275000.0</v>
      </c>
      <c r="U225" s="32" t="n">
        <f>80070</f>
        <v>80070.0</v>
      </c>
      <c r="V225" s="32" t="n">
        <f>374119220</f>
        <v>3.7411922E8</v>
      </c>
      <c r="W225" s="32" t="n">
        <f>108530150</f>
        <v>1.0853015E8</v>
      </c>
      <c r="X225" s="36" t="n">
        <f>20</f>
        <v>20.0</v>
      </c>
    </row>
    <row r="226">
      <c r="A226" s="27" t="s">
        <v>42</v>
      </c>
      <c r="B226" s="27" t="s">
        <v>728</v>
      </c>
      <c r="C226" s="27" t="s">
        <v>729</v>
      </c>
      <c r="D226" s="27" t="s">
        <v>730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1173</f>
        <v>1173.0</v>
      </c>
      <c r="L226" s="34" t="s">
        <v>48</v>
      </c>
      <c r="M226" s="33" t="n">
        <f>1184.5</f>
        <v>1184.5</v>
      </c>
      <c r="N226" s="34" t="s">
        <v>48</v>
      </c>
      <c r="O226" s="33" t="n">
        <f>1138.5</f>
        <v>1138.5</v>
      </c>
      <c r="P226" s="34" t="s">
        <v>168</v>
      </c>
      <c r="Q226" s="33" t="n">
        <f>1151</f>
        <v>1151.0</v>
      </c>
      <c r="R226" s="34" t="s">
        <v>50</v>
      </c>
      <c r="S226" s="35" t="n">
        <f>1161.2</f>
        <v>1161.2</v>
      </c>
      <c r="T226" s="32" t="n">
        <f>493890</f>
        <v>493890.0</v>
      </c>
      <c r="U226" s="32" t="n">
        <f>89260</f>
        <v>89260.0</v>
      </c>
      <c r="V226" s="32" t="n">
        <f>571901752</f>
        <v>5.71901752E8</v>
      </c>
      <c r="W226" s="32" t="n">
        <f>103032962</f>
        <v>1.03032962E8</v>
      </c>
      <c r="X226" s="36" t="n">
        <f>20</f>
        <v>20.0</v>
      </c>
    </row>
    <row r="227">
      <c r="A227" s="27" t="s">
        <v>42</v>
      </c>
      <c r="B227" s="27" t="s">
        <v>731</v>
      </c>
      <c r="C227" s="27" t="s">
        <v>732</v>
      </c>
      <c r="D227" s="27" t="s">
        <v>733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582.4</f>
        <v>582.4</v>
      </c>
      <c r="L227" s="34" t="s">
        <v>48</v>
      </c>
      <c r="M227" s="33" t="n">
        <f>595</f>
        <v>595.0</v>
      </c>
      <c r="N227" s="34" t="s">
        <v>49</v>
      </c>
      <c r="O227" s="33" t="n">
        <f>563.2</f>
        <v>563.2</v>
      </c>
      <c r="P227" s="34" t="s">
        <v>168</v>
      </c>
      <c r="Q227" s="33" t="n">
        <f>581.4</f>
        <v>581.4</v>
      </c>
      <c r="R227" s="34" t="s">
        <v>50</v>
      </c>
      <c r="S227" s="35" t="n">
        <f>578.69</f>
        <v>578.69</v>
      </c>
      <c r="T227" s="32" t="n">
        <f>24446100</f>
        <v>2.44461E7</v>
      </c>
      <c r="U227" s="32" t="n">
        <f>30660</f>
        <v>30660.0</v>
      </c>
      <c r="V227" s="32" t="n">
        <f>14145415665</f>
        <v>1.4145415665E10</v>
      </c>
      <c r="W227" s="32" t="n">
        <f>17664036</f>
        <v>1.7664036E7</v>
      </c>
      <c r="X227" s="36" t="n">
        <f>20</f>
        <v>20.0</v>
      </c>
    </row>
    <row r="228">
      <c r="A228" s="27" t="s">
        <v>42</v>
      </c>
      <c r="B228" s="27" t="s">
        <v>734</v>
      </c>
      <c r="C228" s="27" t="s">
        <v>735</v>
      </c>
      <c r="D228" s="27" t="s">
        <v>736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1130.5</f>
        <v>1130.5</v>
      </c>
      <c r="L228" s="34" t="s">
        <v>48</v>
      </c>
      <c r="M228" s="33" t="n">
        <f>1136</f>
        <v>1136.0</v>
      </c>
      <c r="N228" s="34" t="s">
        <v>54</v>
      </c>
      <c r="O228" s="33" t="n">
        <f>1099</f>
        <v>1099.0</v>
      </c>
      <c r="P228" s="34" t="s">
        <v>104</v>
      </c>
      <c r="Q228" s="33" t="n">
        <f>1120</f>
        <v>1120.0</v>
      </c>
      <c r="R228" s="34" t="s">
        <v>50</v>
      </c>
      <c r="S228" s="35" t="n">
        <f>1118.1</f>
        <v>1118.1</v>
      </c>
      <c r="T228" s="32" t="n">
        <f>62510</f>
        <v>62510.0</v>
      </c>
      <c r="U228" s="32" t="n">
        <f>40</f>
        <v>40.0</v>
      </c>
      <c r="V228" s="32" t="n">
        <f>70381265</f>
        <v>7.0381265E7</v>
      </c>
      <c r="W228" s="32" t="n">
        <f>44510</f>
        <v>44510.0</v>
      </c>
      <c r="X228" s="36" t="n">
        <f>20</f>
        <v>20.0</v>
      </c>
    </row>
    <row r="229">
      <c r="A229" s="27" t="s">
        <v>42</v>
      </c>
      <c r="B229" s="27" t="s">
        <v>737</v>
      </c>
      <c r="C229" s="27" t="s">
        <v>738</v>
      </c>
      <c r="D229" s="27" t="s">
        <v>739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1122</f>
        <v>1122.0</v>
      </c>
      <c r="L229" s="34" t="s">
        <v>48</v>
      </c>
      <c r="M229" s="33" t="n">
        <f>1204</f>
        <v>1204.0</v>
      </c>
      <c r="N229" s="34" t="s">
        <v>49</v>
      </c>
      <c r="O229" s="33" t="n">
        <f>1120</f>
        <v>1120.0</v>
      </c>
      <c r="P229" s="34" t="s">
        <v>48</v>
      </c>
      <c r="Q229" s="33" t="n">
        <f>1177</f>
        <v>1177.0</v>
      </c>
      <c r="R229" s="34" t="s">
        <v>50</v>
      </c>
      <c r="S229" s="35" t="n">
        <f>1163.25</f>
        <v>1163.25</v>
      </c>
      <c r="T229" s="32" t="n">
        <f>352786</f>
        <v>352786.0</v>
      </c>
      <c r="U229" s="32" t="n">
        <f>246000</f>
        <v>246000.0</v>
      </c>
      <c r="V229" s="32" t="n">
        <f>411814577</f>
        <v>4.11814577E8</v>
      </c>
      <c r="W229" s="32" t="n">
        <f>289411550</f>
        <v>2.8941155E8</v>
      </c>
      <c r="X229" s="36" t="n">
        <f>20</f>
        <v>20.0</v>
      </c>
    </row>
    <row r="230">
      <c r="A230" s="27" t="s">
        <v>42</v>
      </c>
      <c r="B230" s="27" t="s">
        <v>740</v>
      </c>
      <c r="C230" s="27" t="s">
        <v>741</v>
      </c>
      <c r="D230" s="27" t="s">
        <v>742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898.6</f>
        <v>898.6</v>
      </c>
      <c r="L230" s="34" t="s">
        <v>48</v>
      </c>
      <c r="M230" s="33" t="n">
        <f>919.5</f>
        <v>919.5</v>
      </c>
      <c r="N230" s="34" t="s">
        <v>50</v>
      </c>
      <c r="O230" s="33" t="n">
        <f>891</f>
        <v>891.0</v>
      </c>
      <c r="P230" s="34" t="s">
        <v>66</v>
      </c>
      <c r="Q230" s="33" t="n">
        <f>912.1</f>
        <v>912.1</v>
      </c>
      <c r="R230" s="34" t="s">
        <v>50</v>
      </c>
      <c r="S230" s="35" t="n">
        <f>902.44</f>
        <v>902.44</v>
      </c>
      <c r="T230" s="32" t="n">
        <f>83200</f>
        <v>83200.0</v>
      </c>
      <c r="U230" s="32" t="str">
        <f>"－"</f>
        <v>－</v>
      </c>
      <c r="V230" s="32" t="n">
        <f>75133720</f>
        <v>7.513372E7</v>
      </c>
      <c r="W230" s="32" t="str">
        <f>"－"</f>
        <v>－</v>
      </c>
      <c r="X230" s="36" t="n">
        <f>20</f>
        <v>20.0</v>
      </c>
    </row>
    <row r="231">
      <c r="A231" s="27" t="s">
        <v>42</v>
      </c>
      <c r="B231" s="27" t="s">
        <v>743</v>
      </c>
      <c r="C231" s="27" t="s">
        <v>744</v>
      </c>
      <c r="D231" s="27" t="s">
        <v>745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1157</f>
        <v>1157.0</v>
      </c>
      <c r="L231" s="34" t="s">
        <v>48</v>
      </c>
      <c r="M231" s="33" t="n">
        <f>1207.5</f>
        <v>1207.5</v>
      </c>
      <c r="N231" s="34" t="s">
        <v>70</v>
      </c>
      <c r="O231" s="33" t="n">
        <f>1154</f>
        <v>1154.0</v>
      </c>
      <c r="P231" s="34" t="s">
        <v>54</v>
      </c>
      <c r="Q231" s="33" t="n">
        <f>1174</f>
        <v>1174.0</v>
      </c>
      <c r="R231" s="34" t="s">
        <v>50</v>
      </c>
      <c r="S231" s="35" t="n">
        <f>1175.55</f>
        <v>1175.55</v>
      </c>
      <c r="T231" s="32" t="n">
        <f>58410</f>
        <v>58410.0</v>
      </c>
      <c r="U231" s="32" t="n">
        <f>20</f>
        <v>20.0</v>
      </c>
      <c r="V231" s="32" t="n">
        <f>68579145</f>
        <v>6.8579145E7</v>
      </c>
      <c r="W231" s="32" t="n">
        <f>23300</f>
        <v>23300.0</v>
      </c>
      <c r="X231" s="36" t="n">
        <f>20</f>
        <v>20.0</v>
      </c>
    </row>
    <row r="232">
      <c r="A232" s="27" t="s">
        <v>42</v>
      </c>
      <c r="B232" s="27" t="s">
        <v>746</v>
      </c>
      <c r="C232" s="27" t="s">
        <v>747</v>
      </c>
      <c r="D232" s="27" t="s">
        <v>748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1375.5</f>
        <v>1375.5</v>
      </c>
      <c r="L232" s="34" t="s">
        <v>48</v>
      </c>
      <c r="M232" s="33" t="n">
        <f>1393.5</f>
        <v>1393.5</v>
      </c>
      <c r="N232" s="34" t="s">
        <v>70</v>
      </c>
      <c r="O232" s="33" t="n">
        <f>1358</f>
        <v>1358.0</v>
      </c>
      <c r="P232" s="34" t="s">
        <v>411</v>
      </c>
      <c r="Q232" s="33" t="n">
        <f>1381</f>
        <v>1381.0</v>
      </c>
      <c r="R232" s="34" t="s">
        <v>50</v>
      </c>
      <c r="S232" s="35" t="n">
        <f>1372.73</f>
        <v>1372.73</v>
      </c>
      <c r="T232" s="32" t="n">
        <f>15501720</f>
        <v>1.550172E7</v>
      </c>
      <c r="U232" s="32" t="n">
        <f>1270920</f>
        <v>1270920.0</v>
      </c>
      <c r="V232" s="32" t="n">
        <f>21279879992</f>
        <v>2.1279879992E10</v>
      </c>
      <c r="W232" s="32" t="n">
        <f>1736377722</f>
        <v>1.736377722E9</v>
      </c>
      <c r="X232" s="36" t="n">
        <f>20</f>
        <v>20.0</v>
      </c>
    </row>
    <row r="233">
      <c r="A233" s="27" t="s">
        <v>42</v>
      </c>
      <c r="B233" s="27" t="s">
        <v>749</v>
      </c>
      <c r="C233" s="27" t="s">
        <v>750</v>
      </c>
      <c r="D233" s="27" t="s">
        <v>751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3825</f>
        <v>3825.0</v>
      </c>
      <c r="L233" s="34" t="s">
        <v>48</v>
      </c>
      <c r="M233" s="33" t="n">
        <f>4290</f>
        <v>4290.0</v>
      </c>
      <c r="N233" s="34" t="s">
        <v>70</v>
      </c>
      <c r="O233" s="33" t="n">
        <f>3750</f>
        <v>3750.0</v>
      </c>
      <c r="P233" s="34" t="s">
        <v>48</v>
      </c>
      <c r="Q233" s="33" t="n">
        <f>4185</f>
        <v>4185.0</v>
      </c>
      <c r="R233" s="34" t="s">
        <v>50</v>
      </c>
      <c r="S233" s="35" t="n">
        <f>3996.25</f>
        <v>3996.25</v>
      </c>
      <c r="T233" s="32" t="n">
        <f>81071</f>
        <v>81071.0</v>
      </c>
      <c r="U233" s="32" t="str">
        <f>"－"</f>
        <v>－</v>
      </c>
      <c r="V233" s="32" t="n">
        <f>329489320</f>
        <v>3.2948932E8</v>
      </c>
      <c r="W233" s="32" t="str">
        <f>"－"</f>
        <v>－</v>
      </c>
      <c r="X233" s="36" t="n">
        <f>20</f>
        <v>20.0</v>
      </c>
    </row>
    <row r="234">
      <c r="A234" s="27" t="s">
        <v>42</v>
      </c>
      <c r="B234" s="27" t="s">
        <v>752</v>
      </c>
      <c r="C234" s="27" t="s">
        <v>753</v>
      </c>
      <c r="D234" s="27" t="s">
        <v>754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1700</f>
        <v>1700.0</v>
      </c>
      <c r="L234" s="34" t="s">
        <v>54</v>
      </c>
      <c r="M234" s="33" t="n">
        <f>1840</f>
        <v>1840.0</v>
      </c>
      <c r="N234" s="34" t="s">
        <v>49</v>
      </c>
      <c r="O234" s="33" t="n">
        <f>1646.5</f>
        <v>1646.5</v>
      </c>
      <c r="P234" s="34" t="s">
        <v>54</v>
      </c>
      <c r="Q234" s="33" t="n">
        <f>1829</f>
        <v>1829.0</v>
      </c>
      <c r="R234" s="34" t="s">
        <v>49</v>
      </c>
      <c r="S234" s="35" t="n">
        <f>1740.25</f>
        <v>1740.25</v>
      </c>
      <c r="T234" s="32" t="n">
        <f>3480</f>
        <v>3480.0</v>
      </c>
      <c r="U234" s="32" t="str">
        <f>"－"</f>
        <v>－</v>
      </c>
      <c r="V234" s="32" t="n">
        <f>6240440</f>
        <v>6240440.0</v>
      </c>
      <c r="W234" s="32" t="str">
        <f>"－"</f>
        <v>－</v>
      </c>
      <c r="X234" s="36" t="n">
        <f>10</f>
        <v>10.0</v>
      </c>
    </row>
    <row r="235">
      <c r="A235" s="27" t="s">
        <v>42</v>
      </c>
      <c r="B235" s="27" t="s">
        <v>755</v>
      </c>
      <c r="C235" s="27" t="s">
        <v>756</v>
      </c>
      <c r="D235" s="27" t="s">
        <v>757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2131.5</f>
        <v>2131.5</v>
      </c>
      <c r="L235" s="34" t="s">
        <v>80</v>
      </c>
      <c r="M235" s="33" t="n">
        <f>2245.5</f>
        <v>2245.5</v>
      </c>
      <c r="N235" s="34" t="s">
        <v>49</v>
      </c>
      <c r="O235" s="33" t="n">
        <f>2128.5</f>
        <v>2128.5</v>
      </c>
      <c r="P235" s="34" t="s">
        <v>54</v>
      </c>
      <c r="Q235" s="33" t="n">
        <f>2189.5</f>
        <v>2189.5</v>
      </c>
      <c r="R235" s="34" t="s">
        <v>50</v>
      </c>
      <c r="S235" s="35" t="n">
        <f>2187.61</f>
        <v>2187.61</v>
      </c>
      <c r="T235" s="32" t="n">
        <f>269650</f>
        <v>269650.0</v>
      </c>
      <c r="U235" s="32" t="str">
        <f>"－"</f>
        <v>－</v>
      </c>
      <c r="V235" s="32" t="n">
        <f>595510545</f>
        <v>5.95510545E8</v>
      </c>
      <c r="W235" s="32" t="str">
        <f>"－"</f>
        <v>－</v>
      </c>
      <c r="X235" s="36" t="n">
        <f>19</f>
        <v>19.0</v>
      </c>
    </row>
    <row r="236">
      <c r="A236" s="27" t="s">
        <v>42</v>
      </c>
      <c r="B236" s="27" t="s">
        <v>758</v>
      </c>
      <c r="C236" s="27" t="s">
        <v>759</v>
      </c>
      <c r="D236" s="27" t="s">
        <v>760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29610</f>
        <v>29610.0</v>
      </c>
      <c r="L236" s="34" t="s">
        <v>48</v>
      </c>
      <c r="M236" s="33" t="n">
        <f>32170</f>
        <v>32170.0</v>
      </c>
      <c r="N236" s="34" t="s">
        <v>70</v>
      </c>
      <c r="O236" s="33" t="n">
        <f>29600</f>
        <v>29600.0</v>
      </c>
      <c r="P236" s="34" t="s">
        <v>66</v>
      </c>
      <c r="Q236" s="33" t="n">
        <f>31520</f>
        <v>31520.0</v>
      </c>
      <c r="R236" s="34" t="s">
        <v>50</v>
      </c>
      <c r="S236" s="35" t="n">
        <f>30830.83</f>
        <v>30830.83</v>
      </c>
      <c r="T236" s="32" t="n">
        <f>106166</f>
        <v>106166.0</v>
      </c>
      <c r="U236" s="32" t="n">
        <f>90100</f>
        <v>90100.0</v>
      </c>
      <c r="V236" s="32" t="n">
        <f>3266681215</f>
        <v>3.266681215E9</v>
      </c>
      <c r="W236" s="32" t="n">
        <f>2771736920</f>
        <v>2.77173692E9</v>
      </c>
      <c r="X236" s="36" t="n">
        <f>18</f>
        <v>18.0</v>
      </c>
    </row>
    <row r="237">
      <c r="A237" s="27" t="s">
        <v>42</v>
      </c>
      <c r="B237" s="27" t="s">
        <v>761</v>
      </c>
      <c r="C237" s="27" t="s">
        <v>762</v>
      </c>
      <c r="D237" s="27" t="s">
        <v>763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19095</f>
        <v>19095.0</v>
      </c>
      <c r="L237" s="34" t="s">
        <v>61</v>
      </c>
      <c r="M237" s="33" t="n">
        <f>19930</f>
        <v>19930.0</v>
      </c>
      <c r="N237" s="34" t="s">
        <v>262</v>
      </c>
      <c r="O237" s="33" t="n">
        <f>19095</f>
        <v>19095.0</v>
      </c>
      <c r="P237" s="34" t="s">
        <v>61</v>
      </c>
      <c r="Q237" s="33" t="n">
        <f>19890</f>
        <v>19890.0</v>
      </c>
      <c r="R237" s="34" t="s">
        <v>62</v>
      </c>
      <c r="S237" s="35" t="n">
        <f>19541.67</f>
        <v>19541.67</v>
      </c>
      <c r="T237" s="32" t="n">
        <f>132</f>
        <v>132.0</v>
      </c>
      <c r="U237" s="32" t="str">
        <f>"－"</f>
        <v>－</v>
      </c>
      <c r="V237" s="32" t="n">
        <f>2605100</f>
        <v>2605100.0</v>
      </c>
      <c r="W237" s="32" t="str">
        <f>"－"</f>
        <v>－</v>
      </c>
      <c r="X237" s="36" t="n">
        <f>6</f>
        <v>6.0</v>
      </c>
    </row>
    <row r="238">
      <c r="A238" s="27" t="s">
        <v>42</v>
      </c>
      <c r="B238" s="27" t="s">
        <v>764</v>
      </c>
      <c r="C238" s="27" t="s">
        <v>765</v>
      </c>
      <c r="D238" s="27" t="s">
        <v>766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1125.5</f>
        <v>1125.5</v>
      </c>
      <c r="L238" s="34" t="s">
        <v>80</v>
      </c>
      <c r="M238" s="33" t="n">
        <f>1146</f>
        <v>1146.0</v>
      </c>
      <c r="N238" s="34" t="s">
        <v>258</v>
      </c>
      <c r="O238" s="33" t="n">
        <f>1114.5</f>
        <v>1114.5</v>
      </c>
      <c r="P238" s="34" t="s">
        <v>104</v>
      </c>
      <c r="Q238" s="33" t="n">
        <f>1132.5</f>
        <v>1132.5</v>
      </c>
      <c r="R238" s="34" t="s">
        <v>50</v>
      </c>
      <c r="S238" s="35" t="n">
        <f>1132.44</f>
        <v>1132.44</v>
      </c>
      <c r="T238" s="32" t="n">
        <f>2920690</f>
        <v>2920690.0</v>
      </c>
      <c r="U238" s="32" t="n">
        <f>2412100</f>
        <v>2412100.0</v>
      </c>
      <c r="V238" s="32" t="n">
        <f>3309434260</f>
        <v>3.30943426E9</v>
      </c>
      <c r="W238" s="32" t="n">
        <f>2731030950</f>
        <v>2.73103095E9</v>
      </c>
      <c r="X238" s="36" t="n">
        <f>17</f>
        <v>17.0</v>
      </c>
    </row>
    <row r="239">
      <c r="A239" s="27" t="s">
        <v>42</v>
      </c>
      <c r="B239" s="27" t="s">
        <v>767</v>
      </c>
      <c r="C239" s="27" t="s">
        <v>768</v>
      </c>
      <c r="D239" s="27" t="s">
        <v>769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10.0</v>
      </c>
      <c r="K239" s="33" t="n">
        <f>1126</f>
        <v>1126.0</v>
      </c>
      <c r="L239" s="34" t="s">
        <v>48</v>
      </c>
      <c r="M239" s="33" t="n">
        <f>1131</f>
        <v>1131.0</v>
      </c>
      <c r="N239" s="34" t="s">
        <v>61</v>
      </c>
      <c r="O239" s="33" t="n">
        <f>1101</f>
        <v>1101.0</v>
      </c>
      <c r="P239" s="34" t="s">
        <v>104</v>
      </c>
      <c r="Q239" s="33" t="n">
        <f>1121.5</f>
        <v>1121.5</v>
      </c>
      <c r="R239" s="34" t="s">
        <v>50</v>
      </c>
      <c r="S239" s="35" t="n">
        <f>1118.15</f>
        <v>1118.15</v>
      </c>
      <c r="T239" s="32" t="n">
        <f>681760</f>
        <v>681760.0</v>
      </c>
      <c r="U239" s="32" t="n">
        <f>675000</f>
        <v>675000.0</v>
      </c>
      <c r="V239" s="32" t="n">
        <f>764274690</f>
        <v>7.6427469E8</v>
      </c>
      <c r="W239" s="32" t="n">
        <f>756687500</f>
        <v>7.566875E8</v>
      </c>
      <c r="X239" s="36" t="n">
        <f>20</f>
        <v>20.0</v>
      </c>
    </row>
    <row r="240">
      <c r="A240" s="27" t="s">
        <v>42</v>
      </c>
      <c r="B240" s="27" t="s">
        <v>770</v>
      </c>
      <c r="C240" s="27" t="s">
        <v>771</v>
      </c>
      <c r="D240" s="27" t="s">
        <v>772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1296</f>
        <v>1296.0</v>
      </c>
      <c r="L240" s="34" t="s">
        <v>48</v>
      </c>
      <c r="M240" s="33" t="n">
        <f>1366</f>
        <v>1366.0</v>
      </c>
      <c r="N240" s="34" t="s">
        <v>70</v>
      </c>
      <c r="O240" s="33" t="n">
        <f>1289</f>
        <v>1289.0</v>
      </c>
      <c r="P240" s="34" t="s">
        <v>48</v>
      </c>
      <c r="Q240" s="33" t="n">
        <f>1325</f>
        <v>1325.0</v>
      </c>
      <c r="R240" s="34" t="s">
        <v>50</v>
      </c>
      <c r="S240" s="35" t="n">
        <f>1322.15</f>
        <v>1322.15</v>
      </c>
      <c r="T240" s="32" t="n">
        <f>397537</f>
        <v>397537.0</v>
      </c>
      <c r="U240" s="32" t="n">
        <f>122000</f>
        <v>122000.0</v>
      </c>
      <c r="V240" s="32" t="n">
        <f>524504835</f>
        <v>5.24504835E8</v>
      </c>
      <c r="W240" s="32" t="n">
        <f>159000400</f>
        <v>1.590004E8</v>
      </c>
      <c r="X240" s="36" t="n">
        <f>20</f>
        <v>20.0</v>
      </c>
    </row>
    <row r="241">
      <c r="A241" s="27" t="s">
        <v>42</v>
      </c>
      <c r="B241" s="27" t="s">
        <v>773</v>
      </c>
      <c r="C241" s="27" t="s">
        <v>774</v>
      </c>
      <c r="D241" s="27" t="s">
        <v>775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13400</f>
        <v>13400.0</v>
      </c>
      <c r="L241" s="34" t="s">
        <v>48</v>
      </c>
      <c r="M241" s="33" t="n">
        <f>13745</f>
        <v>13745.0</v>
      </c>
      <c r="N241" s="34" t="s">
        <v>61</v>
      </c>
      <c r="O241" s="33" t="n">
        <f>12600</f>
        <v>12600.0</v>
      </c>
      <c r="P241" s="34" t="s">
        <v>50</v>
      </c>
      <c r="Q241" s="33" t="n">
        <f>12600</f>
        <v>12600.0</v>
      </c>
      <c r="R241" s="34" t="s">
        <v>50</v>
      </c>
      <c r="S241" s="35" t="n">
        <f>13168.5</f>
        <v>13168.5</v>
      </c>
      <c r="T241" s="32" t="n">
        <f>909</f>
        <v>909.0</v>
      </c>
      <c r="U241" s="32" t="str">
        <f>"－"</f>
        <v>－</v>
      </c>
      <c r="V241" s="32" t="n">
        <f>11740330</f>
        <v>1.174033E7</v>
      </c>
      <c r="W241" s="32" t="str">
        <f>"－"</f>
        <v>－</v>
      </c>
      <c r="X241" s="36" t="n">
        <f>20</f>
        <v>20.0</v>
      </c>
    </row>
    <row r="242">
      <c r="A242" s="27" t="s">
        <v>42</v>
      </c>
      <c r="B242" s="27" t="s">
        <v>776</v>
      </c>
      <c r="C242" s="27" t="s">
        <v>777</v>
      </c>
      <c r="D242" s="27" t="s">
        <v>778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2017</f>
        <v>2017.0</v>
      </c>
      <c r="L242" s="34" t="s">
        <v>48</v>
      </c>
      <c r="M242" s="33" t="n">
        <f>2024</f>
        <v>2024.0</v>
      </c>
      <c r="N242" s="34" t="s">
        <v>61</v>
      </c>
      <c r="O242" s="33" t="n">
        <f>1967</f>
        <v>1967.0</v>
      </c>
      <c r="P242" s="34" t="s">
        <v>104</v>
      </c>
      <c r="Q242" s="33" t="n">
        <f>2003</f>
        <v>2003.0</v>
      </c>
      <c r="R242" s="34" t="s">
        <v>50</v>
      </c>
      <c r="S242" s="35" t="n">
        <f>1998.9</f>
        <v>1998.9</v>
      </c>
      <c r="T242" s="32" t="n">
        <f>554070</f>
        <v>554070.0</v>
      </c>
      <c r="U242" s="32" t="n">
        <f>499002</f>
        <v>499002.0</v>
      </c>
      <c r="V242" s="32" t="n">
        <f>1110966591</f>
        <v>1.110966591E9</v>
      </c>
      <c r="W242" s="32" t="n">
        <f>1000790874</f>
        <v>1.000790874E9</v>
      </c>
      <c r="X242" s="36" t="n">
        <f>20</f>
        <v>20.0</v>
      </c>
    </row>
    <row r="243">
      <c r="A243" s="27" t="s">
        <v>42</v>
      </c>
      <c r="B243" s="27" t="s">
        <v>779</v>
      </c>
      <c r="C243" s="27" t="s">
        <v>780</v>
      </c>
      <c r="D243" s="27" t="s">
        <v>781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1642.5</f>
        <v>1642.5</v>
      </c>
      <c r="L243" s="34" t="s">
        <v>48</v>
      </c>
      <c r="M243" s="33" t="n">
        <f>1651.5</f>
        <v>1651.5</v>
      </c>
      <c r="N243" s="34" t="s">
        <v>258</v>
      </c>
      <c r="O243" s="33" t="n">
        <f>1592</f>
        <v>1592.0</v>
      </c>
      <c r="P243" s="34" t="s">
        <v>411</v>
      </c>
      <c r="Q243" s="33" t="n">
        <f>1605.5</f>
        <v>1605.5</v>
      </c>
      <c r="R243" s="34" t="s">
        <v>70</v>
      </c>
      <c r="S243" s="35" t="n">
        <f>1622</f>
        <v>1622.0</v>
      </c>
      <c r="T243" s="32" t="n">
        <f>220</f>
        <v>220.0</v>
      </c>
      <c r="U243" s="32" t="str">
        <f>"－"</f>
        <v>－</v>
      </c>
      <c r="V243" s="32" t="n">
        <f>353975</f>
        <v>353975.0</v>
      </c>
      <c r="W243" s="32" t="str">
        <f>"－"</f>
        <v>－</v>
      </c>
      <c r="X243" s="36" t="n">
        <f>8</f>
        <v>8.0</v>
      </c>
    </row>
    <row r="244">
      <c r="A244" s="27" t="s">
        <v>42</v>
      </c>
      <c r="B244" s="27" t="s">
        <v>782</v>
      </c>
      <c r="C244" s="27" t="s">
        <v>783</v>
      </c>
      <c r="D244" s="27" t="s">
        <v>784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851.7</f>
        <v>851.7</v>
      </c>
      <c r="L244" s="34" t="s">
        <v>48</v>
      </c>
      <c r="M244" s="33" t="n">
        <f>852</f>
        <v>852.0</v>
      </c>
      <c r="N244" s="34" t="s">
        <v>54</v>
      </c>
      <c r="O244" s="33" t="n">
        <f>833</f>
        <v>833.0</v>
      </c>
      <c r="P244" s="34" t="s">
        <v>168</v>
      </c>
      <c r="Q244" s="33" t="n">
        <f>837.6</f>
        <v>837.6</v>
      </c>
      <c r="R244" s="34" t="s">
        <v>50</v>
      </c>
      <c r="S244" s="35" t="n">
        <f>842.73</f>
        <v>842.73</v>
      </c>
      <c r="T244" s="32" t="n">
        <f>198140</f>
        <v>198140.0</v>
      </c>
      <c r="U244" s="32" t="n">
        <f>169980</f>
        <v>169980.0</v>
      </c>
      <c r="V244" s="32" t="n">
        <f>166553182</f>
        <v>1.66553182E8</v>
      </c>
      <c r="W244" s="32" t="n">
        <f>142866234</f>
        <v>1.42866234E8</v>
      </c>
      <c r="X244" s="36" t="n">
        <f>20</f>
        <v>20.0</v>
      </c>
    </row>
    <row r="245">
      <c r="A245" s="27" t="s">
        <v>42</v>
      </c>
      <c r="B245" s="27" t="s">
        <v>785</v>
      </c>
      <c r="C245" s="27" t="s">
        <v>786</v>
      </c>
      <c r="D245" s="27" t="s">
        <v>787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1924.5</f>
        <v>1924.5</v>
      </c>
      <c r="L245" s="34" t="s">
        <v>48</v>
      </c>
      <c r="M245" s="33" t="n">
        <f>1935</f>
        <v>1935.0</v>
      </c>
      <c r="N245" s="34" t="s">
        <v>411</v>
      </c>
      <c r="O245" s="33" t="n">
        <f>1885</f>
        <v>1885.0</v>
      </c>
      <c r="P245" s="34" t="s">
        <v>168</v>
      </c>
      <c r="Q245" s="33" t="n">
        <f>1910.5</f>
        <v>1910.5</v>
      </c>
      <c r="R245" s="34" t="s">
        <v>50</v>
      </c>
      <c r="S245" s="35" t="n">
        <f>1912.48</f>
        <v>1912.48</v>
      </c>
      <c r="T245" s="32" t="n">
        <f>15430</f>
        <v>15430.0</v>
      </c>
      <c r="U245" s="32" t="str">
        <f>"－"</f>
        <v>－</v>
      </c>
      <c r="V245" s="32" t="n">
        <f>29496500</f>
        <v>2.94965E7</v>
      </c>
      <c r="W245" s="32" t="str">
        <f>"－"</f>
        <v>－</v>
      </c>
      <c r="X245" s="36" t="n">
        <f>20</f>
        <v>20.0</v>
      </c>
    </row>
    <row r="246">
      <c r="A246" s="27" t="s">
        <v>42</v>
      </c>
      <c r="B246" s="27" t="s">
        <v>788</v>
      </c>
      <c r="C246" s="27" t="s">
        <v>789</v>
      </c>
      <c r="D246" s="27" t="s">
        <v>790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1911</f>
        <v>1911.0</v>
      </c>
      <c r="L246" s="34" t="s">
        <v>48</v>
      </c>
      <c r="M246" s="33" t="n">
        <f>1932</f>
        <v>1932.0</v>
      </c>
      <c r="N246" s="34" t="s">
        <v>61</v>
      </c>
      <c r="O246" s="33" t="n">
        <f>1875</f>
        <v>1875.0</v>
      </c>
      <c r="P246" s="34" t="s">
        <v>104</v>
      </c>
      <c r="Q246" s="33" t="n">
        <f>1907</f>
        <v>1907.0</v>
      </c>
      <c r="R246" s="34" t="s">
        <v>50</v>
      </c>
      <c r="S246" s="35" t="n">
        <f>1907.1</f>
        <v>1907.1</v>
      </c>
      <c r="T246" s="32" t="n">
        <f>2881110</f>
        <v>2881110.0</v>
      </c>
      <c r="U246" s="32" t="n">
        <f>1666000</f>
        <v>1666000.0</v>
      </c>
      <c r="V246" s="32" t="n">
        <f>5498535570</f>
        <v>5.49853557E9</v>
      </c>
      <c r="W246" s="32" t="n">
        <f>3182279780</f>
        <v>3.18227978E9</v>
      </c>
      <c r="X246" s="36" t="n">
        <f>20</f>
        <v>20.0</v>
      </c>
    </row>
    <row r="247">
      <c r="A247" s="27" t="s">
        <v>42</v>
      </c>
      <c r="B247" s="27" t="s">
        <v>791</v>
      </c>
      <c r="C247" s="27" t="s">
        <v>792</v>
      </c>
      <c r="D247" s="27" t="s">
        <v>793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2087.5</f>
        <v>2087.5</v>
      </c>
      <c r="L247" s="34" t="s">
        <v>48</v>
      </c>
      <c r="M247" s="33" t="n">
        <f>2206</f>
        <v>2206.0</v>
      </c>
      <c r="N247" s="34" t="s">
        <v>49</v>
      </c>
      <c r="O247" s="33" t="n">
        <f>2086</f>
        <v>2086.0</v>
      </c>
      <c r="P247" s="34" t="s">
        <v>80</v>
      </c>
      <c r="Q247" s="33" t="n">
        <f>2162.5</f>
        <v>2162.5</v>
      </c>
      <c r="R247" s="34" t="s">
        <v>50</v>
      </c>
      <c r="S247" s="35" t="n">
        <f>2144.83</f>
        <v>2144.83</v>
      </c>
      <c r="T247" s="32" t="n">
        <f>541850</f>
        <v>541850.0</v>
      </c>
      <c r="U247" s="32" t="str">
        <f>"－"</f>
        <v>－</v>
      </c>
      <c r="V247" s="32" t="n">
        <f>1168012420</f>
        <v>1.16801242E9</v>
      </c>
      <c r="W247" s="32" t="str">
        <f>"－"</f>
        <v>－</v>
      </c>
      <c r="X247" s="36" t="n">
        <f>20</f>
        <v>20.0</v>
      </c>
    </row>
    <row r="248">
      <c r="A248" s="27" t="s">
        <v>42</v>
      </c>
      <c r="B248" s="27" t="s">
        <v>794</v>
      </c>
      <c r="C248" s="27" t="s">
        <v>795</v>
      </c>
      <c r="D248" s="27" t="s">
        <v>796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16375</f>
        <v>16375.0</v>
      </c>
      <c r="L248" s="34" t="s">
        <v>48</v>
      </c>
      <c r="M248" s="33" t="n">
        <f>17190</f>
        <v>17190.0</v>
      </c>
      <c r="N248" s="34" t="s">
        <v>70</v>
      </c>
      <c r="O248" s="33" t="n">
        <f>16015</f>
        <v>16015.0</v>
      </c>
      <c r="P248" s="34" t="s">
        <v>66</v>
      </c>
      <c r="Q248" s="33" t="n">
        <f>16890</f>
        <v>16890.0</v>
      </c>
      <c r="R248" s="34" t="s">
        <v>50</v>
      </c>
      <c r="S248" s="35" t="n">
        <f>16492.75</f>
        <v>16492.75</v>
      </c>
      <c r="T248" s="32" t="n">
        <f>878010</f>
        <v>878010.0</v>
      </c>
      <c r="U248" s="32" t="n">
        <f>20018</f>
        <v>20018.0</v>
      </c>
      <c r="V248" s="32" t="n">
        <f>14505192320</f>
        <v>1.450519232E10</v>
      </c>
      <c r="W248" s="32" t="n">
        <f>322647270</f>
        <v>3.2264727E8</v>
      </c>
      <c r="X248" s="36" t="n">
        <f>20</f>
        <v>20.0</v>
      </c>
    </row>
    <row r="249">
      <c r="A249" s="27" t="s">
        <v>42</v>
      </c>
      <c r="B249" s="27" t="s">
        <v>797</v>
      </c>
      <c r="C249" s="27" t="s">
        <v>798</v>
      </c>
      <c r="D249" s="27" t="s">
        <v>799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14710</f>
        <v>14710.0</v>
      </c>
      <c r="L249" s="34" t="s">
        <v>48</v>
      </c>
      <c r="M249" s="33" t="n">
        <f>15285</f>
        <v>15285.0</v>
      </c>
      <c r="N249" s="34" t="s">
        <v>70</v>
      </c>
      <c r="O249" s="33" t="n">
        <f>14495</f>
        <v>14495.0</v>
      </c>
      <c r="P249" s="34" t="s">
        <v>66</v>
      </c>
      <c r="Q249" s="33" t="n">
        <f>15010</f>
        <v>15010.0</v>
      </c>
      <c r="R249" s="34" t="s">
        <v>50</v>
      </c>
      <c r="S249" s="35" t="n">
        <f>14822.25</f>
        <v>14822.25</v>
      </c>
      <c r="T249" s="32" t="n">
        <f>203087</f>
        <v>203087.0</v>
      </c>
      <c r="U249" s="32" t="str">
        <f>"－"</f>
        <v>－</v>
      </c>
      <c r="V249" s="32" t="n">
        <f>3017738050</f>
        <v>3.01773805E9</v>
      </c>
      <c r="W249" s="32" t="str">
        <f>"－"</f>
        <v>－</v>
      </c>
      <c r="X249" s="36" t="n">
        <f>20</f>
        <v>20.0</v>
      </c>
    </row>
    <row r="250">
      <c r="A250" s="27" t="s">
        <v>42</v>
      </c>
      <c r="B250" s="27" t="s">
        <v>800</v>
      </c>
      <c r="C250" s="27" t="s">
        <v>801</v>
      </c>
      <c r="D250" s="27" t="s">
        <v>802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27725</f>
        <v>27725.0</v>
      </c>
      <c r="L250" s="34" t="s">
        <v>48</v>
      </c>
      <c r="M250" s="33" t="n">
        <f>29105</f>
        <v>29105.0</v>
      </c>
      <c r="N250" s="34" t="s">
        <v>49</v>
      </c>
      <c r="O250" s="33" t="n">
        <f>27690</f>
        <v>27690.0</v>
      </c>
      <c r="P250" s="34" t="s">
        <v>66</v>
      </c>
      <c r="Q250" s="33" t="n">
        <f>28550</f>
        <v>28550.0</v>
      </c>
      <c r="R250" s="34" t="s">
        <v>50</v>
      </c>
      <c r="S250" s="35" t="n">
        <f>28328.16</f>
        <v>28328.16</v>
      </c>
      <c r="T250" s="32" t="n">
        <f>104</f>
        <v>104.0</v>
      </c>
      <c r="U250" s="32" t="str">
        <f>"－"</f>
        <v>－</v>
      </c>
      <c r="V250" s="32" t="n">
        <f>2969715</f>
        <v>2969715.0</v>
      </c>
      <c r="W250" s="32" t="str">
        <f>"－"</f>
        <v>－</v>
      </c>
      <c r="X250" s="36" t="n">
        <f>19</f>
        <v>19.0</v>
      </c>
    </row>
    <row r="251">
      <c r="A251" s="27" t="s">
        <v>42</v>
      </c>
      <c r="B251" s="27" t="s">
        <v>803</v>
      </c>
      <c r="C251" s="27" t="s">
        <v>804</v>
      </c>
      <c r="D251" s="27" t="s">
        <v>805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2552</f>
        <v>2552.0</v>
      </c>
      <c r="L251" s="34" t="s">
        <v>48</v>
      </c>
      <c r="M251" s="33" t="n">
        <f>2570</f>
        <v>2570.0</v>
      </c>
      <c r="N251" s="34" t="s">
        <v>157</v>
      </c>
      <c r="O251" s="33" t="n">
        <f>2538</f>
        <v>2538.0</v>
      </c>
      <c r="P251" s="34" t="s">
        <v>168</v>
      </c>
      <c r="Q251" s="33" t="n">
        <f>2558</f>
        <v>2558.0</v>
      </c>
      <c r="R251" s="34" t="s">
        <v>50</v>
      </c>
      <c r="S251" s="35" t="n">
        <f>2555.6</f>
        <v>2555.6</v>
      </c>
      <c r="T251" s="32" t="n">
        <f>235367</f>
        <v>235367.0</v>
      </c>
      <c r="U251" s="32" t="n">
        <f>140778</f>
        <v>140778.0</v>
      </c>
      <c r="V251" s="32" t="n">
        <f>601549408</f>
        <v>6.01549408E8</v>
      </c>
      <c r="W251" s="32" t="n">
        <f>359853271</f>
        <v>3.59853271E8</v>
      </c>
      <c r="X251" s="36" t="n">
        <f>20</f>
        <v>20.0</v>
      </c>
    </row>
    <row r="252">
      <c r="A252" s="27" t="s">
        <v>42</v>
      </c>
      <c r="B252" s="27" t="s">
        <v>806</v>
      </c>
      <c r="C252" s="27" t="s">
        <v>807</v>
      </c>
      <c r="D252" s="27" t="s">
        <v>808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2803.5</f>
        <v>2803.5</v>
      </c>
      <c r="L252" s="34" t="s">
        <v>48</v>
      </c>
      <c r="M252" s="33" t="n">
        <f>2828</f>
        <v>2828.0</v>
      </c>
      <c r="N252" s="34" t="s">
        <v>347</v>
      </c>
      <c r="O252" s="33" t="n">
        <f>2682.5</f>
        <v>2682.5</v>
      </c>
      <c r="P252" s="34" t="s">
        <v>168</v>
      </c>
      <c r="Q252" s="33" t="n">
        <f>2701.5</f>
        <v>2701.5</v>
      </c>
      <c r="R252" s="34" t="s">
        <v>50</v>
      </c>
      <c r="S252" s="35" t="n">
        <f>2743.15</f>
        <v>2743.15</v>
      </c>
      <c r="T252" s="32" t="n">
        <f>653650</f>
        <v>653650.0</v>
      </c>
      <c r="U252" s="32" t="n">
        <f>256030</f>
        <v>256030.0</v>
      </c>
      <c r="V252" s="32" t="n">
        <f>1783488540</f>
        <v>1.78348854E9</v>
      </c>
      <c r="W252" s="32" t="n">
        <f>695717360</f>
        <v>6.9571736E8</v>
      </c>
      <c r="X252" s="36" t="n">
        <f>20</f>
        <v>20.0</v>
      </c>
    </row>
    <row r="253">
      <c r="A253" s="27" t="s">
        <v>42</v>
      </c>
      <c r="B253" s="27" t="s">
        <v>809</v>
      </c>
      <c r="C253" s="27" t="s">
        <v>810</v>
      </c>
      <c r="D253" s="27" t="s">
        <v>811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257.4</f>
        <v>257.4</v>
      </c>
      <c r="L253" s="34" t="s">
        <v>48</v>
      </c>
      <c r="M253" s="33" t="n">
        <f>260.9</f>
        <v>260.9</v>
      </c>
      <c r="N253" s="34" t="s">
        <v>70</v>
      </c>
      <c r="O253" s="33" t="n">
        <f>253.9</f>
        <v>253.9</v>
      </c>
      <c r="P253" s="34" t="s">
        <v>411</v>
      </c>
      <c r="Q253" s="33" t="n">
        <f>258.5</f>
        <v>258.5</v>
      </c>
      <c r="R253" s="34" t="s">
        <v>50</v>
      </c>
      <c r="S253" s="35" t="n">
        <f>256.84</f>
        <v>256.84</v>
      </c>
      <c r="T253" s="32" t="n">
        <f>44353910</f>
        <v>4.435391E7</v>
      </c>
      <c r="U253" s="32" t="n">
        <f>10264930</f>
        <v>1.026493E7</v>
      </c>
      <c r="V253" s="32" t="n">
        <f>11402010304</f>
        <v>1.1402010304E10</v>
      </c>
      <c r="W253" s="32" t="n">
        <f>2657370332</f>
        <v>2.657370332E9</v>
      </c>
      <c r="X253" s="36" t="n">
        <f>20</f>
        <v>20.0</v>
      </c>
    </row>
    <row r="254">
      <c r="A254" s="27" t="s">
        <v>42</v>
      </c>
      <c r="B254" s="27" t="s">
        <v>812</v>
      </c>
      <c r="C254" s="27" t="s">
        <v>813</v>
      </c>
      <c r="D254" s="27" t="s">
        <v>814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2218</f>
        <v>2218.0</v>
      </c>
      <c r="L254" s="34" t="s">
        <v>48</v>
      </c>
      <c r="M254" s="33" t="n">
        <f>2254</f>
        <v>2254.0</v>
      </c>
      <c r="N254" s="34" t="s">
        <v>90</v>
      </c>
      <c r="O254" s="33" t="n">
        <f>2151</f>
        <v>2151.0</v>
      </c>
      <c r="P254" s="34" t="s">
        <v>50</v>
      </c>
      <c r="Q254" s="33" t="n">
        <f>2202</f>
        <v>2202.0</v>
      </c>
      <c r="R254" s="34" t="s">
        <v>50</v>
      </c>
      <c r="S254" s="35" t="n">
        <f>2202.15</f>
        <v>2202.15</v>
      </c>
      <c r="T254" s="32" t="n">
        <f>4471134</f>
        <v>4471134.0</v>
      </c>
      <c r="U254" s="32" t="n">
        <f>650002</f>
        <v>650002.0</v>
      </c>
      <c r="V254" s="32" t="n">
        <f>9844297282</f>
        <v>9.844297282E9</v>
      </c>
      <c r="W254" s="32" t="n">
        <f>1425415408</f>
        <v>1.425415408E9</v>
      </c>
      <c r="X254" s="36" t="n">
        <f>20</f>
        <v>20.0</v>
      </c>
    </row>
    <row r="255">
      <c r="A255" s="27" t="s">
        <v>42</v>
      </c>
      <c r="B255" s="27" t="s">
        <v>815</v>
      </c>
      <c r="C255" s="27" t="s">
        <v>816</v>
      </c>
      <c r="D255" s="27" t="s">
        <v>817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1026</f>
        <v>1026.0</v>
      </c>
      <c r="L255" s="34" t="s">
        <v>48</v>
      </c>
      <c r="M255" s="33" t="n">
        <f>1046</f>
        <v>1046.0</v>
      </c>
      <c r="N255" s="34" t="s">
        <v>411</v>
      </c>
      <c r="O255" s="33" t="n">
        <f>998</f>
        <v>998.0</v>
      </c>
      <c r="P255" s="34" t="s">
        <v>104</v>
      </c>
      <c r="Q255" s="33" t="n">
        <f>1015</f>
        <v>1015.0</v>
      </c>
      <c r="R255" s="34" t="s">
        <v>50</v>
      </c>
      <c r="S255" s="35" t="n">
        <f>1019.9</f>
        <v>1019.9</v>
      </c>
      <c r="T255" s="32" t="n">
        <f>1467193</f>
        <v>1467193.0</v>
      </c>
      <c r="U255" s="32" t="n">
        <f>1364804</f>
        <v>1364804.0</v>
      </c>
      <c r="V255" s="32" t="n">
        <f>1482326674</f>
        <v>1.482326674E9</v>
      </c>
      <c r="W255" s="32" t="n">
        <f>1377339928</f>
        <v>1.377339928E9</v>
      </c>
      <c r="X255" s="36" t="n">
        <f>20</f>
        <v>20.0</v>
      </c>
    </row>
    <row r="256">
      <c r="A256" s="27" t="s">
        <v>42</v>
      </c>
      <c r="B256" s="27" t="s">
        <v>818</v>
      </c>
      <c r="C256" s="27" t="s">
        <v>819</v>
      </c>
      <c r="D256" s="27" t="s">
        <v>820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1052.5</f>
        <v>1052.5</v>
      </c>
      <c r="L256" s="34" t="s">
        <v>48</v>
      </c>
      <c r="M256" s="33" t="n">
        <f>1062.5</f>
        <v>1062.5</v>
      </c>
      <c r="N256" s="34" t="s">
        <v>61</v>
      </c>
      <c r="O256" s="33" t="n">
        <f>1033.5</f>
        <v>1033.5</v>
      </c>
      <c r="P256" s="34" t="s">
        <v>104</v>
      </c>
      <c r="Q256" s="33" t="n">
        <f>1050</f>
        <v>1050.0</v>
      </c>
      <c r="R256" s="34" t="s">
        <v>50</v>
      </c>
      <c r="S256" s="35" t="n">
        <f>1048.5</f>
        <v>1048.5</v>
      </c>
      <c r="T256" s="32" t="n">
        <f>990830</f>
        <v>990830.0</v>
      </c>
      <c r="U256" s="32" t="n">
        <f>880000</f>
        <v>880000.0</v>
      </c>
      <c r="V256" s="32" t="n">
        <f>1035278537</f>
        <v>1.035278537E9</v>
      </c>
      <c r="W256" s="32" t="n">
        <f>918340847</f>
        <v>9.18340847E8</v>
      </c>
      <c r="X256" s="36" t="n">
        <f>20</f>
        <v>20.0</v>
      </c>
    </row>
    <row r="257">
      <c r="A257" s="27" t="s">
        <v>42</v>
      </c>
      <c r="B257" s="27" t="s">
        <v>821</v>
      </c>
      <c r="C257" s="27" t="s">
        <v>822</v>
      </c>
      <c r="D257" s="27" t="s">
        <v>823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259.9</f>
        <v>259.9</v>
      </c>
      <c r="L257" s="34" t="s">
        <v>48</v>
      </c>
      <c r="M257" s="33" t="n">
        <f>270.5</f>
        <v>270.5</v>
      </c>
      <c r="N257" s="34" t="s">
        <v>157</v>
      </c>
      <c r="O257" s="33" t="n">
        <f>245</f>
        <v>245.0</v>
      </c>
      <c r="P257" s="34" t="s">
        <v>66</v>
      </c>
      <c r="Q257" s="33" t="n">
        <f>262.5</f>
        <v>262.5</v>
      </c>
      <c r="R257" s="34" t="s">
        <v>50</v>
      </c>
      <c r="S257" s="35" t="n">
        <f>258.14</f>
        <v>258.14</v>
      </c>
      <c r="T257" s="32" t="n">
        <f>26110</f>
        <v>26110.0</v>
      </c>
      <c r="U257" s="32" t="str">
        <f>"－"</f>
        <v>－</v>
      </c>
      <c r="V257" s="32" t="n">
        <f>6698515</f>
        <v>6698515.0</v>
      </c>
      <c r="W257" s="32" t="str">
        <f>"－"</f>
        <v>－</v>
      </c>
      <c r="X257" s="36" t="n">
        <f>20</f>
        <v>20.0</v>
      </c>
    </row>
    <row r="258">
      <c r="A258" s="27" t="s">
        <v>42</v>
      </c>
      <c r="B258" s="27" t="s">
        <v>824</v>
      </c>
      <c r="C258" s="27" t="s">
        <v>825</v>
      </c>
      <c r="D258" s="27" t="s">
        <v>826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3103</f>
        <v>3103.0</v>
      </c>
      <c r="L258" s="34" t="s">
        <v>48</v>
      </c>
      <c r="M258" s="33" t="n">
        <f>3492</f>
        <v>3492.0</v>
      </c>
      <c r="N258" s="34" t="s">
        <v>70</v>
      </c>
      <c r="O258" s="33" t="n">
        <f>3070</f>
        <v>3070.0</v>
      </c>
      <c r="P258" s="34" t="s">
        <v>54</v>
      </c>
      <c r="Q258" s="33" t="n">
        <f>3433</f>
        <v>3433.0</v>
      </c>
      <c r="R258" s="34" t="s">
        <v>50</v>
      </c>
      <c r="S258" s="35" t="n">
        <f>3225.05</f>
        <v>3225.05</v>
      </c>
      <c r="T258" s="32" t="n">
        <f>1570080</f>
        <v>1570080.0</v>
      </c>
      <c r="U258" s="32" t="n">
        <f>10000</f>
        <v>10000.0</v>
      </c>
      <c r="V258" s="32" t="n">
        <f>5060921680</f>
        <v>5.06092168E9</v>
      </c>
      <c r="W258" s="32" t="n">
        <f>32626600</f>
        <v>3.26266E7</v>
      </c>
      <c r="X258" s="36" t="n">
        <f>20</f>
        <v>20.0</v>
      </c>
    </row>
    <row r="259">
      <c r="A259" s="27" t="s">
        <v>42</v>
      </c>
      <c r="B259" s="27" t="s">
        <v>827</v>
      </c>
      <c r="C259" s="27" t="s">
        <v>828</v>
      </c>
      <c r="D259" s="27" t="s">
        <v>829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2242</f>
        <v>2242.0</v>
      </c>
      <c r="L259" s="34" t="s">
        <v>48</v>
      </c>
      <c r="M259" s="33" t="n">
        <f>2439</f>
        <v>2439.0</v>
      </c>
      <c r="N259" s="34" t="s">
        <v>70</v>
      </c>
      <c r="O259" s="33" t="n">
        <f>2232</f>
        <v>2232.0</v>
      </c>
      <c r="P259" s="34" t="s">
        <v>90</v>
      </c>
      <c r="Q259" s="33" t="n">
        <f>2418</f>
        <v>2418.0</v>
      </c>
      <c r="R259" s="34" t="s">
        <v>50</v>
      </c>
      <c r="S259" s="35" t="n">
        <f>2308.65</f>
        <v>2308.65</v>
      </c>
      <c r="T259" s="32" t="n">
        <f>4556240</f>
        <v>4556240.0</v>
      </c>
      <c r="U259" s="32" t="n">
        <f>2513540</f>
        <v>2513540.0</v>
      </c>
      <c r="V259" s="32" t="n">
        <f>10567631099</f>
        <v>1.0567631099E10</v>
      </c>
      <c r="W259" s="32" t="n">
        <f>5834143469</f>
        <v>5.834143469E9</v>
      </c>
      <c r="X259" s="36" t="n">
        <f>20</f>
        <v>20.0</v>
      </c>
    </row>
    <row r="260">
      <c r="A260" s="27" t="s">
        <v>42</v>
      </c>
      <c r="B260" s="27" t="s">
        <v>830</v>
      </c>
      <c r="C260" s="27" t="s">
        <v>831</v>
      </c>
      <c r="D260" s="27" t="s">
        <v>832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304.7</f>
        <v>304.7</v>
      </c>
      <c r="L260" s="34" t="s">
        <v>48</v>
      </c>
      <c r="M260" s="33" t="n">
        <f>313.8</f>
        <v>313.8</v>
      </c>
      <c r="N260" s="34" t="s">
        <v>70</v>
      </c>
      <c r="O260" s="33" t="n">
        <f>301.7</f>
        <v>301.7</v>
      </c>
      <c r="P260" s="34" t="s">
        <v>66</v>
      </c>
      <c r="Q260" s="33" t="n">
        <f>311.6</f>
        <v>311.6</v>
      </c>
      <c r="R260" s="34" t="s">
        <v>50</v>
      </c>
      <c r="S260" s="35" t="n">
        <f>308.12</f>
        <v>308.12</v>
      </c>
      <c r="T260" s="32" t="n">
        <f>80990000</f>
        <v>8.099E7</v>
      </c>
      <c r="U260" s="32" t="n">
        <f>77375460</f>
        <v>7.737546E7</v>
      </c>
      <c r="V260" s="32" t="n">
        <f>24960543711</f>
        <v>2.4960543711E10</v>
      </c>
      <c r="W260" s="32" t="n">
        <f>23842356707</f>
        <v>2.3842356707E10</v>
      </c>
      <c r="X260" s="36" t="n">
        <f>20</f>
        <v>20.0</v>
      </c>
    </row>
    <row r="261">
      <c r="A261" s="27" t="s">
        <v>42</v>
      </c>
      <c r="B261" s="27" t="s">
        <v>833</v>
      </c>
      <c r="C261" s="27" t="s">
        <v>834</v>
      </c>
      <c r="D261" s="27" t="s">
        <v>835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1507</f>
        <v>1507.0</v>
      </c>
      <c r="L261" s="34" t="s">
        <v>48</v>
      </c>
      <c r="M261" s="33" t="n">
        <f>1508</f>
        <v>1508.0</v>
      </c>
      <c r="N261" s="34" t="s">
        <v>48</v>
      </c>
      <c r="O261" s="33" t="n">
        <f>1417</f>
        <v>1417.0</v>
      </c>
      <c r="P261" s="34" t="s">
        <v>168</v>
      </c>
      <c r="Q261" s="33" t="n">
        <f>1453</f>
        <v>1453.0</v>
      </c>
      <c r="R261" s="34" t="s">
        <v>50</v>
      </c>
      <c r="S261" s="35" t="n">
        <f>1461.4</f>
        <v>1461.4</v>
      </c>
      <c r="T261" s="32" t="n">
        <f>12192098</f>
        <v>1.2192098E7</v>
      </c>
      <c r="U261" s="32" t="n">
        <f>57706</f>
        <v>57706.0</v>
      </c>
      <c r="V261" s="32" t="n">
        <f>17780666629</f>
        <v>1.7780666629E10</v>
      </c>
      <c r="W261" s="32" t="n">
        <f>84656647</f>
        <v>8.4656647E7</v>
      </c>
      <c r="X261" s="36" t="n">
        <f>20</f>
        <v>20.0</v>
      </c>
    </row>
    <row r="262">
      <c r="A262" s="27" t="s">
        <v>42</v>
      </c>
      <c r="B262" s="27" t="s">
        <v>836</v>
      </c>
      <c r="C262" s="27" t="s">
        <v>837</v>
      </c>
      <c r="D262" s="27" t="s">
        <v>838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1813</f>
        <v>1813.0</v>
      </c>
      <c r="L262" s="34" t="s">
        <v>48</v>
      </c>
      <c r="M262" s="33" t="n">
        <f>1825</f>
        <v>1825.0</v>
      </c>
      <c r="N262" s="34" t="s">
        <v>347</v>
      </c>
      <c r="O262" s="33" t="n">
        <f>1771</f>
        <v>1771.0</v>
      </c>
      <c r="P262" s="34" t="s">
        <v>168</v>
      </c>
      <c r="Q262" s="33" t="n">
        <f>1791</f>
        <v>1791.0</v>
      </c>
      <c r="R262" s="34" t="s">
        <v>50</v>
      </c>
      <c r="S262" s="35" t="n">
        <f>1794.9</f>
        <v>1794.9</v>
      </c>
      <c r="T262" s="32" t="n">
        <f>41338</f>
        <v>41338.0</v>
      </c>
      <c r="U262" s="32" t="str">
        <f>"－"</f>
        <v>－</v>
      </c>
      <c r="V262" s="32" t="n">
        <f>74065888</f>
        <v>7.4065888E7</v>
      </c>
      <c r="W262" s="32" t="str">
        <f>"－"</f>
        <v>－</v>
      </c>
      <c r="X262" s="36" t="n">
        <f>20</f>
        <v>20.0</v>
      </c>
    </row>
    <row r="263">
      <c r="A263" s="27" t="s">
        <v>42</v>
      </c>
      <c r="B263" s="27" t="s">
        <v>839</v>
      </c>
      <c r="C263" s="27" t="s">
        <v>840</v>
      </c>
      <c r="D263" s="27" t="s">
        <v>841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2109</f>
        <v>2109.0</v>
      </c>
      <c r="L263" s="34" t="s">
        <v>48</v>
      </c>
      <c r="M263" s="33" t="n">
        <f>2122</f>
        <v>2122.0</v>
      </c>
      <c r="N263" s="34" t="s">
        <v>80</v>
      </c>
      <c r="O263" s="33" t="n">
        <f>2070</f>
        <v>2070.0</v>
      </c>
      <c r="P263" s="34" t="s">
        <v>168</v>
      </c>
      <c r="Q263" s="33" t="n">
        <f>2098</f>
        <v>2098.0</v>
      </c>
      <c r="R263" s="34" t="s">
        <v>50</v>
      </c>
      <c r="S263" s="35" t="n">
        <f>2093.5</f>
        <v>2093.5</v>
      </c>
      <c r="T263" s="32" t="n">
        <f>2565</f>
        <v>2565.0</v>
      </c>
      <c r="U263" s="32" t="str">
        <f>"－"</f>
        <v>－</v>
      </c>
      <c r="V263" s="32" t="n">
        <f>5368742</f>
        <v>5368742.0</v>
      </c>
      <c r="W263" s="32" t="str">
        <f>"－"</f>
        <v>－</v>
      </c>
      <c r="X263" s="36" t="n">
        <f>20</f>
        <v>20.0</v>
      </c>
    </row>
    <row r="264">
      <c r="A264" s="27" t="s">
        <v>42</v>
      </c>
      <c r="B264" s="27" t="s">
        <v>842</v>
      </c>
      <c r="C264" s="27" t="s">
        <v>843</v>
      </c>
      <c r="D264" s="27" t="s">
        <v>844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2912</f>
        <v>2912.0</v>
      </c>
      <c r="L264" s="34" t="s">
        <v>48</v>
      </c>
      <c r="M264" s="33" t="n">
        <f>3170</f>
        <v>3170.0</v>
      </c>
      <c r="N264" s="34" t="s">
        <v>70</v>
      </c>
      <c r="O264" s="33" t="n">
        <f>2903</f>
        <v>2903.0</v>
      </c>
      <c r="P264" s="34" t="s">
        <v>54</v>
      </c>
      <c r="Q264" s="33" t="n">
        <f>3100</f>
        <v>3100.0</v>
      </c>
      <c r="R264" s="34" t="s">
        <v>50</v>
      </c>
      <c r="S264" s="35" t="n">
        <f>3024.75</f>
        <v>3024.75</v>
      </c>
      <c r="T264" s="32" t="n">
        <f>605995</f>
        <v>605995.0</v>
      </c>
      <c r="U264" s="32" t="n">
        <f>348360</f>
        <v>348360.0</v>
      </c>
      <c r="V264" s="32" t="n">
        <f>1852778597</f>
        <v>1.852778597E9</v>
      </c>
      <c r="W264" s="32" t="n">
        <f>1073679712</f>
        <v>1.073679712E9</v>
      </c>
      <c r="X264" s="36" t="n">
        <f>20</f>
        <v>20.0</v>
      </c>
    </row>
    <row r="265">
      <c r="A265" s="27" t="s">
        <v>42</v>
      </c>
      <c r="B265" s="27" t="s">
        <v>845</v>
      </c>
      <c r="C265" s="27" t="s">
        <v>846</v>
      </c>
      <c r="D265" s="27" t="s">
        <v>847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2074</f>
        <v>2074.0</v>
      </c>
      <c r="L265" s="34" t="s">
        <v>48</v>
      </c>
      <c r="M265" s="33" t="n">
        <f>2190</f>
        <v>2190.0</v>
      </c>
      <c r="N265" s="34" t="s">
        <v>49</v>
      </c>
      <c r="O265" s="33" t="n">
        <f>2070</f>
        <v>2070.0</v>
      </c>
      <c r="P265" s="34" t="s">
        <v>54</v>
      </c>
      <c r="Q265" s="33" t="n">
        <f>2134</f>
        <v>2134.0</v>
      </c>
      <c r="R265" s="34" t="s">
        <v>50</v>
      </c>
      <c r="S265" s="35" t="n">
        <f>2129.1</f>
        <v>2129.1</v>
      </c>
      <c r="T265" s="32" t="n">
        <f>961182</f>
        <v>961182.0</v>
      </c>
      <c r="U265" s="32" t="n">
        <f>173000</f>
        <v>173000.0</v>
      </c>
      <c r="V265" s="32" t="n">
        <f>2057660260</f>
        <v>2.05766026E9</v>
      </c>
      <c r="W265" s="32" t="n">
        <f>369817500</f>
        <v>3.698175E8</v>
      </c>
      <c r="X265" s="36" t="n">
        <f>20</f>
        <v>20.0</v>
      </c>
    </row>
    <row r="266">
      <c r="A266" s="27" t="s">
        <v>42</v>
      </c>
      <c r="B266" s="27" t="s">
        <v>848</v>
      </c>
      <c r="C266" s="27" t="s">
        <v>849</v>
      </c>
      <c r="D266" s="27" t="s">
        <v>850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1933</f>
        <v>1933.0</v>
      </c>
      <c r="L266" s="34" t="s">
        <v>48</v>
      </c>
      <c r="M266" s="33" t="n">
        <f>2030</f>
        <v>2030.0</v>
      </c>
      <c r="N266" s="34" t="s">
        <v>49</v>
      </c>
      <c r="O266" s="33" t="n">
        <f>1906</f>
        <v>1906.0</v>
      </c>
      <c r="P266" s="34" t="s">
        <v>91</v>
      </c>
      <c r="Q266" s="33" t="n">
        <f>1969</f>
        <v>1969.0</v>
      </c>
      <c r="R266" s="34" t="s">
        <v>50</v>
      </c>
      <c r="S266" s="35" t="n">
        <f>1970.6</f>
        <v>1970.6</v>
      </c>
      <c r="T266" s="32" t="n">
        <f>43300</f>
        <v>43300.0</v>
      </c>
      <c r="U266" s="32" t="str">
        <f>"－"</f>
        <v>－</v>
      </c>
      <c r="V266" s="32" t="n">
        <f>85233133</f>
        <v>8.5233133E7</v>
      </c>
      <c r="W266" s="32" t="str">
        <f>"－"</f>
        <v>－</v>
      </c>
      <c r="X266" s="36" t="n">
        <f>20</f>
        <v>20.0</v>
      </c>
    </row>
    <row r="267">
      <c r="A267" s="27" t="s">
        <v>42</v>
      </c>
      <c r="B267" s="27" t="s">
        <v>851</v>
      </c>
      <c r="C267" s="27" t="s">
        <v>852</v>
      </c>
      <c r="D267" s="27" t="s">
        <v>853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1390</f>
        <v>1390.0</v>
      </c>
      <c r="L267" s="34" t="s">
        <v>48</v>
      </c>
      <c r="M267" s="33" t="n">
        <f>1427</f>
        <v>1427.0</v>
      </c>
      <c r="N267" s="34" t="s">
        <v>347</v>
      </c>
      <c r="O267" s="33" t="n">
        <f>1325</f>
        <v>1325.0</v>
      </c>
      <c r="P267" s="34" t="s">
        <v>168</v>
      </c>
      <c r="Q267" s="33" t="n">
        <f>1339</f>
        <v>1339.0</v>
      </c>
      <c r="R267" s="34" t="s">
        <v>50</v>
      </c>
      <c r="S267" s="35" t="n">
        <f>1382.1</f>
        <v>1382.1</v>
      </c>
      <c r="T267" s="32" t="n">
        <f>70444</f>
        <v>70444.0</v>
      </c>
      <c r="U267" s="32" t="str">
        <f>"－"</f>
        <v>－</v>
      </c>
      <c r="V267" s="32" t="n">
        <f>97905118</f>
        <v>9.7905118E7</v>
      </c>
      <c r="W267" s="32" t="str">
        <f>"－"</f>
        <v>－</v>
      </c>
      <c r="X267" s="36" t="n">
        <f>20</f>
        <v>20.0</v>
      </c>
    </row>
    <row r="268">
      <c r="A268" s="27" t="s">
        <v>42</v>
      </c>
      <c r="B268" s="27" t="s">
        <v>854</v>
      </c>
      <c r="C268" s="27" t="s">
        <v>855</v>
      </c>
      <c r="D268" s="27" t="s">
        <v>856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2156</f>
        <v>2156.0</v>
      </c>
      <c r="L268" s="34" t="s">
        <v>48</v>
      </c>
      <c r="M268" s="33" t="n">
        <f>2170</f>
        <v>2170.0</v>
      </c>
      <c r="N268" s="34" t="s">
        <v>80</v>
      </c>
      <c r="O268" s="33" t="n">
        <f>1994</f>
        <v>1994.0</v>
      </c>
      <c r="P268" s="34" t="s">
        <v>91</v>
      </c>
      <c r="Q268" s="33" t="n">
        <f>2080</f>
        <v>2080.0</v>
      </c>
      <c r="R268" s="34" t="s">
        <v>50</v>
      </c>
      <c r="S268" s="35" t="n">
        <f>2056.7</f>
        <v>2056.7</v>
      </c>
      <c r="T268" s="32" t="n">
        <f>10174</f>
        <v>10174.0</v>
      </c>
      <c r="U268" s="32" t="str">
        <f>"－"</f>
        <v>－</v>
      </c>
      <c r="V268" s="32" t="n">
        <f>20822503</f>
        <v>2.0822503E7</v>
      </c>
      <c r="W268" s="32" t="str">
        <f>"－"</f>
        <v>－</v>
      </c>
      <c r="X268" s="36" t="n">
        <f>20</f>
        <v>20.0</v>
      </c>
    </row>
    <row r="269">
      <c r="A269" s="27" t="s">
        <v>42</v>
      </c>
      <c r="B269" s="27" t="s">
        <v>857</v>
      </c>
      <c r="C269" s="27" t="s">
        <v>858</v>
      </c>
      <c r="D269" s="27" t="s">
        <v>859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2458</f>
        <v>2458.0</v>
      </c>
      <c r="L269" s="34" t="s">
        <v>48</v>
      </c>
      <c r="M269" s="33" t="n">
        <f>2480</f>
        <v>2480.0</v>
      </c>
      <c r="N269" s="34" t="s">
        <v>80</v>
      </c>
      <c r="O269" s="33" t="n">
        <f>2301</f>
        <v>2301.0</v>
      </c>
      <c r="P269" s="34" t="s">
        <v>50</v>
      </c>
      <c r="Q269" s="33" t="n">
        <f>2304</f>
        <v>2304.0</v>
      </c>
      <c r="R269" s="34" t="s">
        <v>50</v>
      </c>
      <c r="S269" s="35" t="n">
        <f>2386.37</f>
        <v>2386.37</v>
      </c>
      <c r="T269" s="32" t="n">
        <f>913</f>
        <v>913.0</v>
      </c>
      <c r="U269" s="32" t="str">
        <f>"－"</f>
        <v>－</v>
      </c>
      <c r="V269" s="32" t="n">
        <f>2165137</f>
        <v>2165137.0</v>
      </c>
      <c r="W269" s="32" t="str">
        <f>"－"</f>
        <v>－</v>
      </c>
      <c r="X269" s="36" t="n">
        <f>19</f>
        <v>19.0</v>
      </c>
    </row>
    <row r="270">
      <c r="A270" s="27" t="s">
        <v>42</v>
      </c>
      <c r="B270" s="27" t="s">
        <v>860</v>
      </c>
      <c r="C270" s="27" t="s">
        <v>861</v>
      </c>
      <c r="D270" s="27" t="s">
        <v>862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10225</f>
        <v>10225.0</v>
      </c>
      <c r="L270" s="34" t="s">
        <v>48</v>
      </c>
      <c r="M270" s="33" t="n">
        <f>10395</f>
        <v>10395.0</v>
      </c>
      <c r="N270" s="34" t="s">
        <v>62</v>
      </c>
      <c r="O270" s="33" t="n">
        <f>10090</f>
        <v>10090.0</v>
      </c>
      <c r="P270" s="34" t="s">
        <v>347</v>
      </c>
      <c r="Q270" s="33" t="n">
        <f>10290</f>
        <v>10290.0</v>
      </c>
      <c r="R270" s="34" t="s">
        <v>50</v>
      </c>
      <c r="S270" s="35" t="n">
        <f>10204.25</f>
        <v>10204.25</v>
      </c>
      <c r="T270" s="32" t="n">
        <f>503178</f>
        <v>503178.0</v>
      </c>
      <c r="U270" s="32" t="n">
        <f>157201</f>
        <v>157201.0</v>
      </c>
      <c r="V270" s="32" t="n">
        <f>5144620222</f>
        <v>5.144620222E9</v>
      </c>
      <c r="W270" s="32" t="n">
        <f>1613465427</f>
        <v>1.613465427E9</v>
      </c>
      <c r="X270" s="36" t="n">
        <f>20</f>
        <v>20.0</v>
      </c>
    </row>
    <row r="271">
      <c r="A271" s="27" t="s">
        <v>42</v>
      </c>
      <c r="B271" s="27" t="s">
        <v>863</v>
      </c>
      <c r="C271" s="27" t="s">
        <v>864</v>
      </c>
      <c r="D271" s="27" t="s">
        <v>865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12985</f>
        <v>12985.0</v>
      </c>
      <c r="L271" s="34" t="s">
        <v>48</v>
      </c>
      <c r="M271" s="33" t="n">
        <f>14610</f>
        <v>14610.0</v>
      </c>
      <c r="N271" s="34" t="s">
        <v>70</v>
      </c>
      <c r="O271" s="33" t="n">
        <f>12840</f>
        <v>12840.0</v>
      </c>
      <c r="P271" s="34" t="s">
        <v>90</v>
      </c>
      <c r="Q271" s="33" t="n">
        <f>14380</f>
        <v>14380.0</v>
      </c>
      <c r="R271" s="34" t="s">
        <v>50</v>
      </c>
      <c r="S271" s="35" t="n">
        <f>13494.25</f>
        <v>13494.25</v>
      </c>
      <c r="T271" s="32" t="n">
        <f>716833</f>
        <v>716833.0</v>
      </c>
      <c r="U271" s="32" t="n">
        <f>46008</f>
        <v>46008.0</v>
      </c>
      <c r="V271" s="32" t="n">
        <f>9647791550</f>
        <v>9.64779155E9</v>
      </c>
      <c r="W271" s="32" t="n">
        <f>603395680</f>
        <v>6.0339568E8</v>
      </c>
      <c r="X271" s="36" t="n">
        <f>20</f>
        <v>20.0</v>
      </c>
    </row>
    <row r="272">
      <c r="A272" s="27" t="s">
        <v>42</v>
      </c>
      <c r="B272" s="27" t="s">
        <v>866</v>
      </c>
      <c r="C272" s="27" t="s">
        <v>867</v>
      </c>
      <c r="D272" s="27" t="s">
        <v>868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9411</f>
        <v>9411.0</v>
      </c>
      <c r="L272" s="34" t="s">
        <v>48</v>
      </c>
      <c r="M272" s="33" t="n">
        <f>10255</f>
        <v>10255.0</v>
      </c>
      <c r="N272" s="34" t="s">
        <v>70</v>
      </c>
      <c r="O272" s="33" t="n">
        <f>9375</f>
        <v>9375.0</v>
      </c>
      <c r="P272" s="34" t="s">
        <v>90</v>
      </c>
      <c r="Q272" s="33" t="n">
        <f>10195</f>
        <v>10195.0</v>
      </c>
      <c r="R272" s="34" t="s">
        <v>50</v>
      </c>
      <c r="S272" s="35" t="n">
        <f>9692.65</f>
        <v>9692.65</v>
      </c>
      <c r="T272" s="32" t="n">
        <f>604865</f>
        <v>604865.0</v>
      </c>
      <c r="U272" s="32" t="n">
        <f>264104</f>
        <v>264104.0</v>
      </c>
      <c r="V272" s="32" t="n">
        <f>5911323446</f>
        <v>5.911323446E9</v>
      </c>
      <c r="W272" s="32" t="n">
        <f>2589429916</f>
        <v>2.589429916E9</v>
      </c>
      <c r="X272" s="36" t="n">
        <f>20</f>
        <v>20.0</v>
      </c>
    </row>
    <row r="273">
      <c r="A273" s="27" t="s">
        <v>42</v>
      </c>
      <c r="B273" s="27" t="s">
        <v>869</v>
      </c>
      <c r="C273" s="27" t="s">
        <v>870</v>
      </c>
      <c r="D273" s="27" t="s">
        <v>871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2617.5</f>
        <v>2617.5</v>
      </c>
      <c r="L273" s="34" t="s">
        <v>48</v>
      </c>
      <c r="M273" s="33" t="n">
        <f>2746.5</f>
        <v>2746.5</v>
      </c>
      <c r="N273" s="34" t="s">
        <v>70</v>
      </c>
      <c r="O273" s="33" t="n">
        <f>2561</f>
        <v>2561.0</v>
      </c>
      <c r="P273" s="34" t="s">
        <v>66</v>
      </c>
      <c r="Q273" s="33" t="n">
        <f>2698</f>
        <v>2698.0</v>
      </c>
      <c r="R273" s="34" t="s">
        <v>50</v>
      </c>
      <c r="S273" s="35" t="n">
        <f>2636.58</f>
        <v>2636.58</v>
      </c>
      <c r="T273" s="32" t="n">
        <f>618840</f>
        <v>618840.0</v>
      </c>
      <c r="U273" s="32" t="str">
        <f>"－"</f>
        <v>－</v>
      </c>
      <c r="V273" s="32" t="n">
        <f>1618720545</f>
        <v>1.618720545E9</v>
      </c>
      <c r="W273" s="32" t="str">
        <f>"－"</f>
        <v>－</v>
      </c>
      <c r="X273" s="36" t="n">
        <f>20</f>
        <v>20.0</v>
      </c>
    </row>
    <row r="274">
      <c r="A274" s="27" t="s">
        <v>42</v>
      </c>
      <c r="B274" s="27" t="s">
        <v>872</v>
      </c>
      <c r="C274" s="27" t="s">
        <v>873</v>
      </c>
      <c r="D274" s="27" t="s">
        <v>874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2002</f>
        <v>2002.0</v>
      </c>
      <c r="L274" s="34" t="s">
        <v>48</v>
      </c>
      <c r="M274" s="33" t="n">
        <f>2030</f>
        <v>2030.0</v>
      </c>
      <c r="N274" s="34" t="s">
        <v>70</v>
      </c>
      <c r="O274" s="33" t="n">
        <f>1975.5</f>
        <v>1975.5</v>
      </c>
      <c r="P274" s="34" t="s">
        <v>347</v>
      </c>
      <c r="Q274" s="33" t="n">
        <f>2012</f>
        <v>2012.0</v>
      </c>
      <c r="R274" s="34" t="s">
        <v>50</v>
      </c>
      <c r="S274" s="35" t="n">
        <f>1998.55</f>
        <v>1998.55</v>
      </c>
      <c r="T274" s="32" t="n">
        <f>4619960</f>
        <v>4619960.0</v>
      </c>
      <c r="U274" s="32" t="n">
        <f>2134030</f>
        <v>2134030.0</v>
      </c>
      <c r="V274" s="32" t="n">
        <f>9255276402</f>
        <v>9.255276402E9</v>
      </c>
      <c r="W274" s="32" t="n">
        <f>4299809772</f>
        <v>4.299809772E9</v>
      </c>
      <c r="X274" s="36" t="n">
        <f>20</f>
        <v>20.0</v>
      </c>
    </row>
    <row r="275">
      <c r="A275" s="27" t="s">
        <v>42</v>
      </c>
      <c r="B275" s="27" t="s">
        <v>875</v>
      </c>
      <c r="C275" s="27" t="s">
        <v>876</v>
      </c>
      <c r="D275" s="27" t="s">
        <v>877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10.0</v>
      </c>
      <c r="K275" s="33" t="n">
        <f>2702</f>
        <v>2702.0</v>
      </c>
      <c r="L275" s="34" t="s">
        <v>48</v>
      </c>
      <c r="M275" s="33" t="n">
        <f>2864.5</f>
        <v>2864.5</v>
      </c>
      <c r="N275" s="34" t="s">
        <v>70</v>
      </c>
      <c r="O275" s="33" t="n">
        <f>2656</f>
        <v>2656.0</v>
      </c>
      <c r="P275" s="34" t="s">
        <v>66</v>
      </c>
      <c r="Q275" s="33" t="n">
        <f>2813</f>
        <v>2813.0</v>
      </c>
      <c r="R275" s="34" t="s">
        <v>50</v>
      </c>
      <c r="S275" s="35" t="n">
        <f>2745.78</f>
        <v>2745.78</v>
      </c>
      <c r="T275" s="32" t="n">
        <f>34320</f>
        <v>34320.0</v>
      </c>
      <c r="U275" s="32" t="n">
        <f>40</f>
        <v>40.0</v>
      </c>
      <c r="V275" s="32" t="n">
        <f>94626590</f>
        <v>9.462659E7</v>
      </c>
      <c r="W275" s="32" t="n">
        <f>110025</f>
        <v>110025.0</v>
      </c>
      <c r="X275" s="36" t="n">
        <f>20</f>
        <v>20.0</v>
      </c>
    </row>
    <row r="276">
      <c r="A276" s="27" t="s">
        <v>42</v>
      </c>
      <c r="B276" s="27" t="s">
        <v>878</v>
      </c>
      <c r="C276" s="27" t="s">
        <v>879</v>
      </c>
      <c r="D276" s="27" t="s">
        <v>880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2567</f>
        <v>2567.0</v>
      </c>
      <c r="L276" s="34" t="s">
        <v>48</v>
      </c>
      <c r="M276" s="33" t="n">
        <f>2753</f>
        <v>2753.0</v>
      </c>
      <c r="N276" s="34" t="s">
        <v>49</v>
      </c>
      <c r="O276" s="33" t="n">
        <f>2550</f>
        <v>2550.0</v>
      </c>
      <c r="P276" s="34" t="s">
        <v>91</v>
      </c>
      <c r="Q276" s="33" t="n">
        <f>2684</f>
        <v>2684.0</v>
      </c>
      <c r="R276" s="34" t="s">
        <v>50</v>
      </c>
      <c r="S276" s="35" t="n">
        <f>2653.25</f>
        <v>2653.25</v>
      </c>
      <c r="T276" s="32" t="n">
        <f>50344</f>
        <v>50344.0</v>
      </c>
      <c r="U276" s="32" t="n">
        <f>42000</f>
        <v>42000.0</v>
      </c>
      <c r="V276" s="32" t="n">
        <f>135204985</f>
        <v>1.35204985E8</v>
      </c>
      <c r="W276" s="32" t="n">
        <f>113366400</f>
        <v>1.133664E8</v>
      </c>
      <c r="X276" s="36" t="n">
        <f>20</f>
        <v>20.0</v>
      </c>
    </row>
    <row r="277">
      <c r="A277" s="27" t="s">
        <v>42</v>
      </c>
      <c r="B277" s="27" t="s">
        <v>881</v>
      </c>
      <c r="C277" s="27" t="s">
        <v>882</v>
      </c>
      <c r="D277" s="27" t="s">
        <v>883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1596</f>
        <v>1596.0</v>
      </c>
      <c r="L277" s="34" t="s">
        <v>48</v>
      </c>
      <c r="M277" s="33" t="n">
        <f>1644</f>
        <v>1644.0</v>
      </c>
      <c r="N277" s="34" t="s">
        <v>49</v>
      </c>
      <c r="O277" s="33" t="n">
        <f>1548</f>
        <v>1548.0</v>
      </c>
      <c r="P277" s="34" t="s">
        <v>50</v>
      </c>
      <c r="Q277" s="33" t="n">
        <f>1548</f>
        <v>1548.0</v>
      </c>
      <c r="R277" s="34" t="s">
        <v>50</v>
      </c>
      <c r="S277" s="35" t="n">
        <f>1597.75</f>
        <v>1597.75</v>
      </c>
      <c r="T277" s="32" t="n">
        <f>52378</f>
        <v>52378.0</v>
      </c>
      <c r="U277" s="32" t="str">
        <f>"－"</f>
        <v>－</v>
      </c>
      <c r="V277" s="32" t="n">
        <f>83557270</f>
        <v>8.355727E7</v>
      </c>
      <c r="W277" s="32" t="str">
        <f>"－"</f>
        <v>－</v>
      </c>
      <c r="X277" s="36" t="n">
        <f>20</f>
        <v>20.0</v>
      </c>
    </row>
    <row r="278">
      <c r="A278" s="27" t="s">
        <v>42</v>
      </c>
      <c r="B278" s="27" t="s">
        <v>884</v>
      </c>
      <c r="C278" s="27" t="s">
        <v>885</v>
      </c>
      <c r="D278" s="27" t="s">
        <v>886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2068</f>
        <v>2068.0</v>
      </c>
      <c r="L278" s="34" t="s">
        <v>48</v>
      </c>
      <c r="M278" s="33" t="n">
        <f>2151</f>
        <v>2151.0</v>
      </c>
      <c r="N278" s="34" t="s">
        <v>49</v>
      </c>
      <c r="O278" s="33" t="n">
        <f>2040</f>
        <v>2040.0</v>
      </c>
      <c r="P278" s="34" t="s">
        <v>91</v>
      </c>
      <c r="Q278" s="33" t="n">
        <f>2126</f>
        <v>2126.0</v>
      </c>
      <c r="R278" s="34" t="s">
        <v>50</v>
      </c>
      <c r="S278" s="35" t="n">
        <f>2104</f>
        <v>2104.0</v>
      </c>
      <c r="T278" s="32" t="n">
        <f>138241</f>
        <v>138241.0</v>
      </c>
      <c r="U278" s="32" t="str">
        <f>"－"</f>
        <v>－</v>
      </c>
      <c r="V278" s="32" t="n">
        <f>292531019</f>
        <v>2.92531019E8</v>
      </c>
      <c r="W278" s="32" t="str">
        <f>"－"</f>
        <v>－</v>
      </c>
      <c r="X278" s="36" t="n">
        <f>20</f>
        <v>20.0</v>
      </c>
    </row>
    <row r="279">
      <c r="A279" s="27" t="s">
        <v>42</v>
      </c>
      <c r="B279" s="27" t="s">
        <v>887</v>
      </c>
      <c r="C279" s="27" t="s">
        <v>888</v>
      </c>
      <c r="D279" s="27" t="s">
        <v>889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1597</f>
        <v>1597.0</v>
      </c>
      <c r="L279" s="34" t="s">
        <v>48</v>
      </c>
      <c r="M279" s="33" t="n">
        <f>1674</f>
        <v>1674.0</v>
      </c>
      <c r="N279" s="34" t="s">
        <v>49</v>
      </c>
      <c r="O279" s="33" t="n">
        <f>1558</f>
        <v>1558.0</v>
      </c>
      <c r="P279" s="34" t="s">
        <v>91</v>
      </c>
      <c r="Q279" s="33" t="n">
        <f>1608</f>
        <v>1608.0</v>
      </c>
      <c r="R279" s="34" t="s">
        <v>50</v>
      </c>
      <c r="S279" s="35" t="n">
        <f>1617.45</f>
        <v>1617.45</v>
      </c>
      <c r="T279" s="32" t="n">
        <f>36163</f>
        <v>36163.0</v>
      </c>
      <c r="U279" s="32" t="str">
        <f>"－"</f>
        <v>－</v>
      </c>
      <c r="V279" s="32" t="n">
        <f>58380923</f>
        <v>5.8380923E7</v>
      </c>
      <c r="W279" s="32" t="str">
        <f>"－"</f>
        <v>－</v>
      </c>
      <c r="X279" s="36" t="n">
        <f>20</f>
        <v>20.0</v>
      </c>
    </row>
    <row r="280">
      <c r="A280" s="27" t="s">
        <v>42</v>
      </c>
      <c r="B280" s="27" t="s">
        <v>890</v>
      </c>
      <c r="C280" s="27" t="s">
        <v>891</v>
      </c>
      <c r="D280" s="27" t="s">
        <v>892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2824</f>
        <v>2824.0</v>
      </c>
      <c r="L280" s="34" t="s">
        <v>48</v>
      </c>
      <c r="M280" s="33" t="n">
        <f>2982</f>
        <v>2982.0</v>
      </c>
      <c r="N280" s="34" t="s">
        <v>178</v>
      </c>
      <c r="O280" s="33" t="n">
        <f>2740</f>
        <v>2740.0</v>
      </c>
      <c r="P280" s="34" t="s">
        <v>91</v>
      </c>
      <c r="Q280" s="33" t="n">
        <f>2835</f>
        <v>2835.0</v>
      </c>
      <c r="R280" s="34" t="s">
        <v>50</v>
      </c>
      <c r="S280" s="35" t="n">
        <f>2862.4</f>
        <v>2862.4</v>
      </c>
      <c r="T280" s="32" t="n">
        <f>63463</f>
        <v>63463.0</v>
      </c>
      <c r="U280" s="32" t="n">
        <f>272</f>
        <v>272.0</v>
      </c>
      <c r="V280" s="32" t="n">
        <f>181655233</f>
        <v>1.81655233E8</v>
      </c>
      <c r="W280" s="32" t="n">
        <f>802980</f>
        <v>802980.0</v>
      </c>
      <c r="X280" s="36" t="n">
        <f>20</f>
        <v>20.0</v>
      </c>
    </row>
    <row r="281">
      <c r="A281" s="27" t="s">
        <v>42</v>
      </c>
      <c r="B281" s="27" t="s">
        <v>893</v>
      </c>
      <c r="C281" s="27" t="s">
        <v>894</v>
      </c>
      <c r="D281" s="27" t="s">
        <v>895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2179</f>
        <v>2179.0</v>
      </c>
      <c r="L281" s="34" t="s">
        <v>48</v>
      </c>
      <c r="M281" s="33" t="n">
        <f>2372</f>
        <v>2372.0</v>
      </c>
      <c r="N281" s="34" t="s">
        <v>70</v>
      </c>
      <c r="O281" s="33" t="n">
        <f>2175</f>
        <v>2175.0</v>
      </c>
      <c r="P281" s="34" t="s">
        <v>48</v>
      </c>
      <c r="Q281" s="33" t="n">
        <f>2308</f>
        <v>2308.0</v>
      </c>
      <c r="R281" s="34" t="s">
        <v>50</v>
      </c>
      <c r="S281" s="35" t="n">
        <f>2274.75</f>
        <v>2274.75</v>
      </c>
      <c r="T281" s="32" t="n">
        <f>129797</f>
        <v>129797.0</v>
      </c>
      <c r="U281" s="32" t="n">
        <f>2</f>
        <v>2.0</v>
      </c>
      <c r="V281" s="32" t="n">
        <f>299947001</f>
        <v>2.99947001E8</v>
      </c>
      <c r="W281" s="32" t="n">
        <f>4392</f>
        <v>4392.0</v>
      </c>
      <c r="X281" s="36" t="n">
        <f>20</f>
        <v>20.0</v>
      </c>
    </row>
    <row r="282">
      <c r="A282" s="27" t="s">
        <v>42</v>
      </c>
      <c r="B282" s="27" t="s">
        <v>896</v>
      </c>
      <c r="C282" s="27" t="s">
        <v>897</v>
      </c>
      <c r="D282" s="27" t="s">
        <v>898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27480</f>
        <v>27480.0</v>
      </c>
      <c r="L282" s="34" t="s">
        <v>48</v>
      </c>
      <c r="M282" s="33" t="n">
        <f>29115</f>
        <v>29115.0</v>
      </c>
      <c r="N282" s="34" t="s">
        <v>49</v>
      </c>
      <c r="O282" s="33" t="n">
        <f>27480</f>
        <v>27480.0</v>
      </c>
      <c r="P282" s="34" t="s">
        <v>48</v>
      </c>
      <c r="Q282" s="33" t="n">
        <f>28680</f>
        <v>28680.0</v>
      </c>
      <c r="R282" s="34" t="s">
        <v>62</v>
      </c>
      <c r="S282" s="35" t="n">
        <f>28499.09</f>
        <v>28499.09</v>
      </c>
      <c r="T282" s="32" t="n">
        <f>28</f>
        <v>28.0</v>
      </c>
      <c r="U282" s="32" t="str">
        <f>"－"</f>
        <v>－</v>
      </c>
      <c r="V282" s="32" t="n">
        <f>802650</f>
        <v>802650.0</v>
      </c>
      <c r="W282" s="32" t="str">
        <f>"－"</f>
        <v>－</v>
      </c>
      <c r="X282" s="36" t="n">
        <f>11</f>
        <v>11.0</v>
      </c>
    </row>
    <row r="283">
      <c r="A283" s="27" t="s">
        <v>42</v>
      </c>
      <c r="B283" s="27" t="s">
        <v>899</v>
      </c>
      <c r="C283" s="27" t="s">
        <v>900</v>
      </c>
      <c r="D283" s="27" t="s">
        <v>901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2107</f>
        <v>2107.0</v>
      </c>
      <c r="L283" s="34" t="s">
        <v>48</v>
      </c>
      <c r="M283" s="33" t="n">
        <f>2240</f>
        <v>2240.0</v>
      </c>
      <c r="N283" s="34" t="s">
        <v>49</v>
      </c>
      <c r="O283" s="33" t="n">
        <f>2105</f>
        <v>2105.0</v>
      </c>
      <c r="P283" s="34" t="s">
        <v>54</v>
      </c>
      <c r="Q283" s="33" t="n">
        <f>2185</f>
        <v>2185.0</v>
      </c>
      <c r="R283" s="34" t="s">
        <v>50</v>
      </c>
      <c r="S283" s="35" t="n">
        <f>2174.4</f>
        <v>2174.4</v>
      </c>
      <c r="T283" s="32" t="n">
        <f>67765</f>
        <v>67765.0</v>
      </c>
      <c r="U283" s="32" t="str">
        <f>"－"</f>
        <v>－</v>
      </c>
      <c r="V283" s="32" t="n">
        <f>148293961</f>
        <v>1.48293961E8</v>
      </c>
      <c r="W283" s="32" t="str">
        <f>"－"</f>
        <v>－</v>
      </c>
      <c r="X283" s="36" t="n">
        <f>20</f>
        <v>20.0</v>
      </c>
    </row>
    <row r="284">
      <c r="A284" s="27" t="s">
        <v>42</v>
      </c>
      <c r="B284" s="27" t="s">
        <v>902</v>
      </c>
      <c r="C284" s="27" t="s">
        <v>903</v>
      </c>
      <c r="D284" s="27" t="s">
        <v>904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2396</f>
        <v>2396.0</v>
      </c>
      <c r="L284" s="34" t="s">
        <v>48</v>
      </c>
      <c r="M284" s="33" t="n">
        <f>3130</f>
        <v>3130.0</v>
      </c>
      <c r="N284" s="34" t="s">
        <v>70</v>
      </c>
      <c r="O284" s="33" t="n">
        <f>2377</f>
        <v>2377.0</v>
      </c>
      <c r="P284" s="34" t="s">
        <v>48</v>
      </c>
      <c r="Q284" s="33" t="n">
        <f>2956</f>
        <v>2956.0</v>
      </c>
      <c r="R284" s="34" t="s">
        <v>50</v>
      </c>
      <c r="S284" s="35" t="n">
        <f>2685.8</f>
        <v>2685.8</v>
      </c>
      <c r="T284" s="32" t="n">
        <f>2748766</f>
        <v>2748766.0</v>
      </c>
      <c r="U284" s="32" t="n">
        <f>12001</f>
        <v>12001.0</v>
      </c>
      <c r="V284" s="32" t="n">
        <f>7611214915</f>
        <v>7.611214915E9</v>
      </c>
      <c r="W284" s="32" t="n">
        <f>29911150</f>
        <v>2.991115E7</v>
      </c>
      <c r="X284" s="36" t="n">
        <f>20</f>
        <v>20.0</v>
      </c>
    </row>
    <row r="285">
      <c r="A285" s="27" t="s">
        <v>42</v>
      </c>
      <c r="B285" s="27" t="s">
        <v>905</v>
      </c>
      <c r="C285" s="27" t="s">
        <v>906</v>
      </c>
      <c r="D285" s="27" t="s">
        <v>907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1925</f>
        <v>1925.0</v>
      </c>
      <c r="L285" s="34" t="s">
        <v>48</v>
      </c>
      <c r="M285" s="33" t="n">
        <f>1990</f>
        <v>1990.0</v>
      </c>
      <c r="N285" s="34" t="s">
        <v>49</v>
      </c>
      <c r="O285" s="33" t="n">
        <f>1883</f>
        <v>1883.0</v>
      </c>
      <c r="P285" s="34" t="s">
        <v>50</v>
      </c>
      <c r="Q285" s="33" t="n">
        <f>1894</f>
        <v>1894.0</v>
      </c>
      <c r="R285" s="34" t="s">
        <v>50</v>
      </c>
      <c r="S285" s="35" t="n">
        <f>1931.8</f>
        <v>1931.8</v>
      </c>
      <c r="T285" s="32" t="n">
        <f>20034</f>
        <v>20034.0</v>
      </c>
      <c r="U285" s="32" t="str">
        <f>"－"</f>
        <v>－</v>
      </c>
      <c r="V285" s="32" t="n">
        <f>38787225</f>
        <v>3.8787225E7</v>
      </c>
      <c r="W285" s="32" t="str">
        <f>"－"</f>
        <v>－</v>
      </c>
      <c r="X285" s="36" t="n">
        <f>20</f>
        <v>20.0</v>
      </c>
    </row>
    <row r="286">
      <c r="A286" s="27" t="s">
        <v>42</v>
      </c>
      <c r="B286" s="27" t="s">
        <v>908</v>
      </c>
      <c r="C286" s="27" t="s">
        <v>909</v>
      </c>
      <c r="D286" s="27" t="s">
        <v>910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1530</f>
        <v>1530.0</v>
      </c>
      <c r="L286" s="34" t="s">
        <v>48</v>
      </c>
      <c r="M286" s="33" t="n">
        <f>1569</f>
        <v>1569.0</v>
      </c>
      <c r="N286" s="34" t="s">
        <v>49</v>
      </c>
      <c r="O286" s="33" t="n">
        <f>1505</f>
        <v>1505.0</v>
      </c>
      <c r="P286" s="34" t="s">
        <v>91</v>
      </c>
      <c r="Q286" s="33" t="n">
        <f>1519</f>
        <v>1519.0</v>
      </c>
      <c r="R286" s="34" t="s">
        <v>50</v>
      </c>
      <c r="S286" s="35" t="n">
        <f>1544.1</f>
        <v>1544.1</v>
      </c>
      <c r="T286" s="32" t="n">
        <f>8164</f>
        <v>8164.0</v>
      </c>
      <c r="U286" s="32" t="str">
        <f>"－"</f>
        <v>－</v>
      </c>
      <c r="V286" s="32" t="n">
        <f>12580109</f>
        <v>1.2580109E7</v>
      </c>
      <c r="W286" s="32" t="str">
        <f>"－"</f>
        <v>－</v>
      </c>
      <c r="X286" s="36" t="n">
        <f>20</f>
        <v>20.0</v>
      </c>
    </row>
    <row r="287">
      <c r="A287" s="27" t="s">
        <v>42</v>
      </c>
      <c r="B287" s="27" t="s">
        <v>911</v>
      </c>
      <c r="C287" s="27" t="s">
        <v>912</v>
      </c>
      <c r="D287" s="27" t="s">
        <v>913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5294</f>
        <v>5294.0</v>
      </c>
      <c r="L287" s="34" t="s">
        <v>48</v>
      </c>
      <c r="M287" s="33" t="n">
        <f>5327</f>
        <v>5327.0</v>
      </c>
      <c r="N287" s="34" t="s">
        <v>50</v>
      </c>
      <c r="O287" s="33" t="n">
        <f>5207</f>
        <v>5207.0</v>
      </c>
      <c r="P287" s="34" t="s">
        <v>66</v>
      </c>
      <c r="Q287" s="33" t="n">
        <f>5327</f>
        <v>5327.0</v>
      </c>
      <c r="R287" s="34" t="s">
        <v>50</v>
      </c>
      <c r="S287" s="35" t="n">
        <f>5274.2</f>
        <v>5274.2</v>
      </c>
      <c r="T287" s="32" t="n">
        <f>73520</f>
        <v>73520.0</v>
      </c>
      <c r="U287" s="32" t="n">
        <f>5700</f>
        <v>5700.0</v>
      </c>
      <c r="V287" s="32" t="n">
        <f>387088070</f>
        <v>3.8708807E8</v>
      </c>
      <c r="W287" s="32" t="n">
        <f>29947800</f>
        <v>2.99478E7</v>
      </c>
      <c r="X287" s="36" t="n">
        <f>15</f>
        <v>15.0</v>
      </c>
    </row>
    <row r="288">
      <c r="A288" s="27" t="s">
        <v>42</v>
      </c>
      <c r="B288" s="27" t="s">
        <v>914</v>
      </c>
      <c r="C288" s="27" t="s">
        <v>915</v>
      </c>
      <c r="D288" s="27" t="s">
        <v>916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4171</f>
        <v>4171.0</v>
      </c>
      <c r="L288" s="34" t="s">
        <v>48</v>
      </c>
      <c r="M288" s="33" t="n">
        <f>4198</f>
        <v>4198.0</v>
      </c>
      <c r="N288" s="34" t="s">
        <v>91</v>
      </c>
      <c r="O288" s="33" t="n">
        <f>4044</f>
        <v>4044.0</v>
      </c>
      <c r="P288" s="34" t="s">
        <v>70</v>
      </c>
      <c r="Q288" s="33" t="n">
        <f>4091</f>
        <v>4091.0</v>
      </c>
      <c r="R288" s="34" t="s">
        <v>50</v>
      </c>
      <c r="S288" s="35" t="n">
        <f>4125</f>
        <v>4125.0</v>
      </c>
      <c r="T288" s="32" t="n">
        <f>509070</f>
        <v>509070.0</v>
      </c>
      <c r="U288" s="32" t="n">
        <f>505390</f>
        <v>505390.0</v>
      </c>
      <c r="V288" s="32" t="n">
        <f>2108603732</f>
        <v>2.108603732E9</v>
      </c>
      <c r="W288" s="32" t="n">
        <f>2093535112</f>
        <v>2.093535112E9</v>
      </c>
      <c r="X288" s="36" t="n">
        <f>18</f>
        <v>18.0</v>
      </c>
    </row>
    <row r="289">
      <c r="A289" s="27" t="s">
        <v>42</v>
      </c>
      <c r="B289" s="27" t="s">
        <v>917</v>
      </c>
      <c r="C289" s="27" t="s">
        <v>918</v>
      </c>
      <c r="D289" s="27" t="s">
        <v>919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699</f>
        <v>699.0</v>
      </c>
      <c r="L289" s="34" t="s">
        <v>48</v>
      </c>
      <c r="M289" s="33" t="n">
        <f>726.3</f>
        <v>726.3</v>
      </c>
      <c r="N289" s="34" t="s">
        <v>91</v>
      </c>
      <c r="O289" s="33" t="n">
        <f>671.5</f>
        <v>671.5</v>
      </c>
      <c r="P289" s="34" t="s">
        <v>70</v>
      </c>
      <c r="Q289" s="33" t="n">
        <f>680.5</f>
        <v>680.5</v>
      </c>
      <c r="R289" s="34" t="s">
        <v>50</v>
      </c>
      <c r="S289" s="35" t="n">
        <f>682.34</f>
        <v>682.34</v>
      </c>
      <c r="T289" s="32" t="n">
        <f>40330</f>
        <v>40330.0</v>
      </c>
      <c r="U289" s="32" t="str">
        <f>"－"</f>
        <v>－</v>
      </c>
      <c r="V289" s="32" t="n">
        <f>27665108</f>
        <v>2.7665108E7</v>
      </c>
      <c r="W289" s="32" t="str">
        <f>"－"</f>
        <v>－</v>
      </c>
      <c r="X289" s="36" t="n">
        <f>18</f>
        <v>18.0</v>
      </c>
    </row>
    <row r="290">
      <c r="A290" s="27" t="s">
        <v>42</v>
      </c>
      <c r="B290" s="27" t="s">
        <v>920</v>
      </c>
      <c r="C290" s="27" t="s">
        <v>921</v>
      </c>
      <c r="D290" s="27" t="s">
        <v>922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2199</f>
        <v>2199.0</v>
      </c>
      <c r="L290" s="34" t="s">
        <v>48</v>
      </c>
      <c r="M290" s="33" t="n">
        <f>2252</f>
        <v>2252.0</v>
      </c>
      <c r="N290" s="34" t="s">
        <v>49</v>
      </c>
      <c r="O290" s="33" t="n">
        <f>2150</f>
        <v>2150.0</v>
      </c>
      <c r="P290" s="34" t="s">
        <v>50</v>
      </c>
      <c r="Q290" s="33" t="n">
        <f>2163</f>
        <v>2163.0</v>
      </c>
      <c r="R290" s="34" t="s">
        <v>50</v>
      </c>
      <c r="S290" s="35" t="n">
        <f>2202.35</f>
        <v>2202.35</v>
      </c>
      <c r="T290" s="32" t="n">
        <f>3044</f>
        <v>3044.0</v>
      </c>
      <c r="U290" s="32" t="str">
        <f>"－"</f>
        <v>－</v>
      </c>
      <c r="V290" s="32" t="n">
        <f>6706747</f>
        <v>6706747.0</v>
      </c>
      <c r="W290" s="32" t="str">
        <f>"－"</f>
        <v>－</v>
      </c>
      <c r="X290" s="36" t="n">
        <f>20</f>
        <v>20.0</v>
      </c>
    </row>
    <row r="291">
      <c r="A291" s="27" t="s">
        <v>42</v>
      </c>
      <c r="B291" s="27" t="s">
        <v>923</v>
      </c>
      <c r="C291" s="27" t="s">
        <v>924</v>
      </c>
      <c r="D291" s="27" t="s">
        <v>925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1956</f>
        <v>1956.0</v>
      </c>
      <c r="L291" s="34" t="s">
        <v>48</v>
      </c>
      <c r="M291" s="33" t="n">
        <f>2074</f>
        <v>2074.0</v>
      </c>
      <c r="N291" s="34" t="s">
        <v>49</v>
      </c>
      <c r="O291" s="33" t="n">
        <f>1942</f>
        <v>1942.0</v>
      </c>
      <c r="P291" s="34" t="s">
        <v>80</v>
      </c>
      <c r="Q291" s="33" t="n">
        <f>2005</f>
        <v>2005.0</v>
      </c>
      <c r="R291" s="34" t="s">
        <v>50</v>
      </c>
      <c r="S291" s="35" t="n">
        <f>2009.84</f>
        <v>2009.84</v>
      </c>
      <c r="T291" s="32" t="n">
        <f>3439</f>
        <v>3439.0</v>
      </c>
      <c r="U291" s="32" t="str">
        <f>"－"</f>
        <v>－</v>
      </c>
      <c r="V291" s="32" t="n">
        <f>6938066</f>
        <v>6938066.0</v>
      </c>
      <c r="W291" s="32" t="str">
        <f>"－"</f>
        <v>－</v>
      </c>
      <c r="X291" s="36" t="n">
        <f>19</f>
        <v>19.0</v>
      </c>
    </row>
    <row r="292">
      <c r="A292" s="27" t="s">
        <v>42</v>
      </c>
      <c r="B292" s="27" t="s">
        <v>926</v>
      </c>
      <c r="C292" s="27" t="s">
        <v>927</v>
      </c>
      <c r="D292" s="27" t="s">
        <v>928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7898</f>
        <v>7898.0</v>
      </c>
      <c r="L292" s="34" t="s">
        <v>48</v>
      </c>
      <c r="M292" s="33" t="n">
        <f>7924</f>
        <v>7924.0</v>
      </c>
      <c r="N292" s="34" t="s">
        <v>80</v>
      </c>
      <c r="O292" s="33" t="n">
        <f>7737</f>
        <v>7737.0</v>
      </c>
      <c r="P292" s="34" t="s">
        <v>66</v>
      </c>
      <c r="Q292" s="33" t="n">
        <f>7916</f>
        <v>7916.0</v>
      </c>
      <c r="R292" s="34" t="s">
        <v>50</v>
      </c>
      <c r="S292" s="35" t="n">
        <f>7839.9</f>
        <v>7839.9</v>
      </c>
      <c r="T292" s="32" t="n">
        <f>33695</f>
        <v>33695.0</v>
      </c>
      <c r="U292" s="32" t="str">
        <f>"－"</f>
        <v>－</v>
      </c>
      <c r="V292" s="32" t="n">
        <f>263135744</f>
        <v>2.63135744E8</v>
      </c>
      <c r="W292" s="32" t="str">
        <f>"－"</f>
        <v>－</v>
      </c>
      <c r="X292" s="36" t="n">
        <f>20</f>
        <v>20.0</v>
      </c>
    </row>
    <row r="293">
      <c r="A293" s="27" t="s">
        <v>42</v>
      </c>
      <c r="B293" s="27" t="s">
        <v>929</v>
      </c>
      <c r="C293" s="27" t="s">
        <v>930</v>
      </c>
      <c r="D293" s="27" t="s">
        <v>931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6237</f>
        <v>6237.0</v>
      </c>
      <c r="L293" s="34" t="s">
        <v>48</v>
      </c>
      <c r="M293" s="33" t="n">
        <f>6399</f>
        <v>6399.0</v>
      </c>
      <c r="N293" s="34" t="s">
        <v>91</v>
      </c>
      <c r="O293" s="33" t="n">
        <f>5969</f>
        <v>5969.0</v>
      </c>
      <c r="P293" s="34" t="s">
        <v>70</v>
      </c>
      <c r="Q293" s="33" t="n">
        <f>6065</f>
        <v>6065.0</v>
      </c>
      <c r="R293" s="34" t="s">
        <v>50</v>
      </c>
      <c r="S293" s="35" t="n">
        <f>6127.1</f>
        <v>6127.1</v>
      </c>
      <c r="T293" s="32" t="n">
        <f>126556</f>
        <v>126556.0</v>
      </c>
      <c r="U293" s="32" t="n">
        <f>46000</f>
        <v>46000.0</v>
      </c>
      <c r="V293" s="32" t="n">
        <f>779315284</f>
        <v>7.79315284E8</v>
      </c>
      <c r="W293" s="32" t="n">
        <f>283805600</f>
        <v>2.838056E8</v>
      </c>
      <c r="X293" s="36" t="n">
        <f>20</f>
        <v>20.0</v>
      </c>
    </row>
    <row r="294">
      <c r="A294" s="27" t="s">
        <v>42</v>
      </c>
      <c r="B294" s="27" t="s">
        <v>932</v>
      </c>
      <c r="C294" s="27" t="s">
        <v>933</v>
      </c>
      <c r="D294" s="27" t="s">
        <v>934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16915</f>
        <v>16915.0</v>
      </c>
      <c r="L294" s="34" t="s">
        <v>48</v>
      </c>
      <c r="M294" s="33" t="n">
        <f>18980</f>
        <v>18980.0</v>
      </c>
      <c r="N294" s="34" t="s">
        <v>70</v>
      </c>
      <c r="O294" s="33" t="n">
        <f>16695</f>
        <v>16695.0</v>
      </c>
      <c r="P294" s="34" t="s">
        <v>90</v>
      </c>
      <c r="Q294" s="33" t="n">
        <f>18655</f>
        <v>18655.0</v>
      </c>
      <c r="R294" s="34" t="s">
        <v>50</v>
      </c>
      <c r="S294" s="35" t="n">
        <f>17537.75</f>
        <v>17537.75</v>
      </c>
      <c r="T294" s="32" t="n">
        <f>234202</f>
        <v>234202.0</v>
      </c>
      <c r="U294" s="32" t="str">
        <f>"－"</f>
        <v>－</v>
      </c>
      <c r="V294" s="32" t="n">
        <f>4102079870</f>
        <v>4.10207987E9</v>
      </c>
      <c r="W294" s="32" t="str">
        <f>"－"</f>
        <v>－</v>
      </c>
      <c r="X294" s="36" t="n">
        <f>20</f>
        <v>20.0</v>
      </c>
    </row>
    <row r="295">
      <c r="A295" s="27" t="s">
        <v>42</v>
      </c>
      <c r="B295" s="27" t="s">
        <v>935</v>
      </c>
      <c r="C295" s="27" t="s">
        <v>936</v>
      </c>
      <c r="D295" s="27" t="s">
        <v>937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8858</f>
        <v>8858.0</v>
      </c>
      <c r="L295" s="34" t="s">
        <v>48</v>
      </c>
      <c r="M295" s="33" t="n">
        <f>9646</f>
        <v>9646.0</v>
      </c>
      <c r="N295" s="34" t="s">
        <v>70</v>
      </c>
      <c r="O295" s="33" t="n">
        <f>8823</f>
        <v>8823.0</v>
      </c>
      <c r="P295" s="34" t="s">
        <v>90</v>
      </c>
      <c r="Q295" s="33" t="n">
        <f>9572</f>
        <v>9572.0</v>
      </c>
      <c r="R295" s="34" t="s">
        <v>50</v>
      </c>
      <c r="S295" s="35" t="n">
        <f>9120.4</f>
        <v>9120.4</v>
      </c>
      <c r="T295" s="32" t="n">
        <f>462225</f>
        <v>462225.0</v>
      </c>
      <c r="U295" s="32" t="str">
        <f>"－"</f>
        <v>－</v>
      </c>
      <c r="V295" s="32" t="n">
        <f>4244177862</f>
        <v>4.244177862E9</v>
      </c>
      <c r="W295" s="32" t="str">
        <f>"－"</f>
        <v>－</v>
      </c>
      <c r="X295" s="36" t="n">
        <f>20</f>
        <v>20.0</v>
      </c>
    </row>
    <row r="296">
      <c r="A296" s="27" t="s">
        <v>42</v>
      </c>
      <c r="B296" s="27" t="s">
        <v>938</v>
      </c>
      <c r="C296" s="27" t="s">
        <v>939</v>
      </c>
      <c r="D296" s="27" t="s">
        <v>940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27480</f>
        <v>27480.0</v>
      </c>
      <c r="L296" s="34" t="s">
        <v>48</v>
      </c>
      <c r="M296" s="33" t="n">
        <f>27550</f>
        <v>27550.0</v>
      </c>
      <c r="N296" s="34" t="s">
        <v>80</v>
      </c>
      <c r="O296" s="33" t="n">
        <f>25195</f>
        <v>25195.0</v>
      </c>
      <c r="P296" s="34" t="s">
        <v>70</v>
      </c>
      <c r="Q296" s="33" t="n">
        <f>25365</f>
        <v>25365.0</v>
      </c>
      <c r="R296" s="34" t="s">
        <v>50</v>
      </c>
      <c r="S296" s="35" t="n">
        <f>26663</f>
        <v>26663.0</v>
      </c>
      <c r="T296" s="32" t="n">
        <f>256501</f>
        <v>256501.0</v>
      </c>
      <c r="U296" s="32" t="n">
        <f>3000</f>
        <v>3000.0</v>
      </c>
      <c r="V296" s="32" t="n">
        <f>6810593825</f>
        <v>6.810593825E9</v>
      </c>
      <c r="W296" s="32" t="n">
        <f>82611000</f>
        <v>8.2611E7</v>
      </c>
      <c r="X296" s="36" t="n">
        <f>20</f>
        <v>20.0</v>
      </c>
    </row>
    <row r="297">
      <c r="A297" s="27" t="s">
        <v>42</v>
      </c>
      <c r="B297" s="27" t="s">
        <v>941</v>
      </c>
      <c r="C297" s="27" t="s">
        <v>942</v>
      </c>
      <c r="D297" s="27" t="s">
        <v>943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10.0</v>
      </c>
      <c r="K297" s="33" t="n">
        <f>4421</f>
        <v>4421.0</v>
      </c>
      <c r="L297" s="34" t="s">
        <v>54</v>
      </c>
      <c r="M297" s="33" t="n">
        <f>4491</f>
        <v>4491.0</v>
      </c>
      <c r="N297" s="34" t="s">
        <v>54</v>
      </c>
      <c r="O297" s="33" t="n">
        <f>4368</f>
        <v>4368.0</v>
      </c>
      <c r="P297" s="34" t="s">
        <v>168</v>
      </c>
      <c r="Q297" s="33" t="n">
        <f>4397</f>
        <v>4397.0</v>
      </c>
      <c r="R297" s="34" t="s">
        <v>62</v>
      </c>
      <c r="S297" s="35" t="n">
        <f>4415.5</f>
        <v>4415.5</v>
      </c>
      <c r="T297" s="32" t="n">
        <f>306370</f>
        <v>306370.0</v>
      </c>
      <c r="U297" s="32" t="n">
        <f>306000</f>
        <v>306000.0</v>
      </c>
      <c r="V297" s="32" t="n">
        <f>1369729037</f>
        <v>1.369729037E9</v>
      </c>
      <c r="W297" s="32" t="n">
        <f>1368095507</f>
        <v>1.368095507E9</v>
      </c>
      <c r="X297" s="36" t="n">
        <f>8</f>
        <v>8.0</v>
      </c>
    </row>
    <row r="298">
      <c r="A298" s="27" t="s">
        <v>42</v>
      </c>
      <c r="B298" s="27" t="s">
        <v>944</v>
      </c>
      <c r="C298" s="27" t="s">
        <v>945</v>
      </c>
      <c r="D298" s="27" t="s">
        <v>946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10.0</v>
      </c>
      <c r="K298" s="33" t="n">
        <f>5065</f>
        <v>5065.0</v>
      </c>
      <c r="L298" s="34" t="s">
        <v>48</v>
      </c>
      <c r="M298" s="33" t="n">
        <f>5234</f>
        <v>5234.0</v>
      </c>
      <c r="N298" s="34" t="s">
        <v>54</v>
      </c>
      <c r="O298" s="33" t="n">
        <f>4910</f>
        <v>4910.0</v>
      </c>
      <c r="P298" s="34" t="s">
        <v>168</v>
      </c>
      <c r="Q298" s="33" t="n">
        <f>4962</f>
        <v>4962.0</v>
      </c>
      <c r="R298" s="34" t="s">
        <v>50</v>
      </c>
      <c r="S298" s="35" t="n">
        <f>5019.33</f>
        <v>5019.33</v>
      </c>
      <c r="T298" s="32" t="n">
        <f>106930</f>
        <v>106930.0</v>
      </c>
      <c r="U298" s="32" t="n">
        <f>59600</f>
        <v>59600.0</v>
      </c>
      <c r="V298" s="32" t="n">
        <f>539259435</f>
        <v>5.39259435E8</v>
      </c>
      <c r="W298" s="32" t="n">
        <f>300264815</f>
        <v>3.00264815E8</v>
      </c>
      <c r="X298" s="36" t="n">
        <f>15</f>
        <v>15.0</v>
      </c>
    </row>
    <row r="299">
      <c r="A299" s="27" t="s">
        <v>42</v>
      </c>
      <c r="B299" s="27" t="s">
        <v>947</v>
      </c>
      <c r="C299" s="27" t="s">
        <v>948</v>
      </c>
      <c r="D299" s="27" t="s">
        <v>949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1849.5</f>
        <v>1849.5</v>
      </c>
      <c r="L299" s="34" t="s">
        <v>48</v>
      </c>
      <c r="M299" s="33" t="n">
        <f>2014.5</f>
        <v>2014.5</v>
      </c>
      <c r="N299" s="34" t="s">
        <v>70</v>
      </c>
      <c r="O299" s="33" t="n">
        <f>1844.5</f>
        <v>1844.5</v>
      </c>
      <c r="P299" s="34" t="s">
        <v>80</v>
      </c>
      <c r="Q299" s="33" t="n">
        <f>1998.5</f>
        <v>1998.5</v>
      </c>
      <c r="R299" s="34" t="s">
        <v>50</v>
      </c>
      <c r="S299" s="35" t="n">
        <f>1905.1</f>
        <v>1905.1</v>
      </c>
      <c r="T299" s="32" t="n">
        <f>1796880</f>
        <v>1796880.0</v>
      </c>
      <c r="U299" s="32" t="n">
        <f>250010</f>
        <v>250010.0</v>
      </c>
      <c r="V299" s="32" t="n">
        <f>3480060125</f>
        <v>3.480060125E9</v>
      </c>
      <c r="W299" s="32" t="n">
        <f>503523525</f>
        <v>5.03523525E8</v>
      </c>
      <c r="X299" s="36" t="n">
        <f>20</f>
        <v>20.0</v>
      </c>
    </row>
    <row r="300">
      <c r="A300" s="27" t="s">
        <v>42</v>
      </c>
      <c r="B300" s="27" t="s">
        <v>950</v>
      </c>
      <c r="C300" s="27" t="s">
        <v>951</v>
      </c>
      <c r="D300" s="27" t="s">
        <v>952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1928</f>
        <v>1928.0</v>
      </c>
      <c r="L300" s="34" t="s">
        <v>48</v>
      </c>
      <c r="M300" s="33" t="n">
        <f>1933</f>
        <v>1933.0</v>
      </c>
      <c r="N300" s="34" t="s">
        <v>48</v>
      </c>
      <c r="O300" s="33" t="n">
        <f>1845</f>
        <v>1845.0</v>
      </c>
      <c r="P300" s="34" t="s">
        <v>168</v>
      </c>
      <c r="Q300" s="33" t="n">
        <f>1859.5</f>
        <v>1859.5</v>
      </c>
      <c r="R300" s="34" t="s">
        <v>50</v>
      </c>
      <c r="S300" s="35" t="n">
        <f>1885.28</f>
        <v>1885.28</v>
      </c>
      <c r="T300" s="32" t="n">
        <f>568650</f>
        <v>568650.0</v>
      </c>
      <c r="U300" s="32" t="n">
        <f>160630</f>
        <v>160630.0</v>
      </c>
      <c r="V300" s="32" t="n">
        <f>1067862673</f>
        <v>1.067862673E9</v>
      </c>
      <c r="W300" s="32" t="n">
        <f>300247788</f>
        <v>3.00247788E8</v>
      </c>
      <c r="X300" s="36" t="n">
        <f>20</f>
        <v>20.0</v>
      </c>
    </row>
    <row r="301">
      <c r="A301" s="27" t="s">
        <v>42</v>
      </c>
      <c r="B301" s="27" t="s">
        <v>953</v>
      </c>
      <c r="C301" s="27" t="s">
        <v>954</v>
      </c>
      <c r="D301" s="27" t="s">
        <v>955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1636</f>
        <v>1636.0</v>
      </c>
      <c r="L301" s="34" t="s">
        <v>48</v>
      </c>
      <c r="M301" s="33" t="n">
        <f>1699</f>
        <v>1699.0</v>
      </c>
      <c r="N301" s="34" t="s">
        <v>49</v>
      </c>
      <c r="O301" s="33" t="n">
        <f>1619</f>
        <v>1619.0</v>
      </c>
      <c r="P301" s="34" t="s">
        <v>48</v>
      </c>
      <c r="Q301" s="33" t="n">
        <f>1641</f>
        <v>1641.0</v>
      </c>
      <c r="R301" s="34" t="s">
        <v>50</v>
      </c>
      <c r="S301" s="35" t="n">
        <f>1657.35</f>
        <v>1657.35</v>
      </c>
      <c r="T301" s="32" t="n">
        <f>1553</f>
        <v>1553.0</v>
      </c>
      <c r="U301" s="32" t="str">
        <f>"－"</f>
        <v>－</v>
      </c>
      <c r="V301" s="32" t="n">
        <f>2566257</f>
        <v>2566257.0</v>
      </c>
      <c r="W301" s="32" t="str">
        <f>"－"</f>
        <v>－</v>
      </c>
      <c r="X301" s="36" t="n">
        <f>20</f>
        <v>20.0</v>
      </c>
    </row>
    <row r="302">
      <c r="A302" s="27" t="s">
        <v>42</v>
      </c>
      <c r="B302" s="27" t="s">
        <v>956</v>
      </c>
      <c r="C302" s="27" t="s">
        <v>957</v>
      </c>
      <c r="D302" s="27" t="s">
        <v>958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1620</f>
        <v>1620.0</v>
      </c>
      <c r="L302" s="34" t="s">
        <v>48</v>
      </c>
      <c r="M302" s="33" t="n">
        <f>1750</f>
        <v>1750.0</v>
      </c>
      <c r="N302" s="34" t="s">
        <v>161</v>
      </c>
      <c r="O302" s="33" t="n">
        <f>1606</f>
        <v>1606.0</v>
      </c>
      <c r="P302" s="34" t="s">
        <v>91</v>
      </c>
      <c r="Q302" s="33" t="n">
        <f>1704</f>
        <v>1704.0</v>
      </c>
      <c r="R302" s="34" t="s">
        <v>50</v>
      </c>
      <c r="S302" s="35" t="n">
        <f>1681.7</f>
        <v>1681.7</v>
      </c>
      <c r="T302" s="32" t="n">
        <f>18683</f>
        <v>18683.0</v>
      </c>
      <c r="U302" s="32" t="str">
        <f>"－"</f>
        <v>－</v>
      </c>
      <c r="V302" s="32" t="n">
        <f>31957342</f>
        <v>3.1957342E7</v>
      </c>
      <c r="W302" s="32" t="str">
        <f>"－"</f>
        <v>－</v>
      </c>
      <c r="X302" s="36" t="n">
        <f>20</f>
        <v>20.0</v>
      </c>
    </row>
    <row r="303">
      <c r="A303" s="27" t="s">
        <v>42</v>
      </c>
      <c r="B303" s="27" t="s">
        <v>959</v>
      </c>
      <c r="C303" s="27" t="s">
        <v>960</v>
      </c>
      <c r="D303" s="27" t="s">
        <v>961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3450</f>
        <v>3450.0</v>
      </c>
      <c r="L303" s="34" t="s">
        <v>48</v>
      </c>
      <c r="M303" s="33" t="n">
        <f>3595</f>
        <v>3595.0</v>
      </c>
      <c r="N303" s="34" t="s">
        <v>49</v>
      </c>
      <c r="O303" s="33" t="n">
        <f>3385</f>
        <v>3385.0</v>
      </c>
      <c r="P303" s="34" t="s">
        <v>91</v>
      </c>
      <c r="Q303" s="33" t="n">
        <f>3500</f>
        <v>3500.0</v>
      </c>
      <c r="R303" s="34" t="s">
        <v>50</v>
      </c>
      <c r="S303" s="35" t="n">
        <f>3500.5</f>
        <v>3500.5</v>
      </c>
      <c r="T303" s="32" t="n">
        <f>36534</f>
        <v>36534.0</v>
      </c>
      <c r="U303" s="32" t="n">
        <f>1</f>
        <v>1.0</v>
      </c>
      <c r="V303" s="32" t="n">
        <f>129329030</f>
        <v>1.2932903E8</v>
      </c>
      <c r="W303" s="32" t="n">
        <f>3450</f>
        <v>3450.0</v>
      </c>
      <c r="X303" s="36" t="n">
        <f>20</f>
        <v>20.0</v>
      </c>
    </row>
    <row r="304">
      <c r="A304" s="27" t="s">
        <v>42</v>
      </c>
      <c r="B304" s="27" t="s">
        <v>962</v>
      </c>
      <c r="C304" s="27" t="s">
        <v>963</v>
      </c>
      <c r="D304" s="27" t="s">
        <v>964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2083.5</f>
        <v>2083.5</v>
      </c>
      <c r="L304" s="34" t="s">
        <v>48</v>
      </c>
      <c r="M304" s="33" t="n">
        <f>2252</f>
        <v>2252.0</v>
      </c>
      <c r="N304" s="34" t="s">
        <v>49</v>
      </c>
      <c r="O304" s="33" t="n">
        <f>2083.5</f>
        <v>2083.5</v>
      </c>
      <c r="P304" s="34" t="s">
        <v>48</v>
      </c>
      <c r="Q304" s="33" t="n">
        <f>2217</f>
        <v>2217.0</v>
      </c>
      <c r="R304" s="34" t="s">
        <v>161</v>
      </c>
      <c r="S304" s="35" t="n">
        <f>2143.93</f>
        <v>2143.93</v>
      </c>
      <c r="T304" s="32" t="n">
        <f>280</f>
        <v>280.0</v>
      </c>
      <c r="U304" s="32" t="str">
        <f>"－"</f>
        <v>－</v>
      </c>
      <c r="V304" s="32" t="n">
        <f>594195</f>
        <v>594195.0</v>
      </c>
      <c r="W304" s="32" t="str">
        <f>"－"</f>
        <v>－</v>
      </c>
      <c r="X304" s="36" t="n">
        <f>7</f>
        <v>7.0</v>
      </c>
    </row>
    <row r="305">
      <c r="A305" s="27" t="s">
        <v>42</v>
      </c>
      <c r="B305" s="27" t="s">
        <v>965</v>
      </c>
      <c r="C305" s="27" t="s">
        <v>966</v>
      </c>
      <c r="D305" s="27" t="s">
        <v>967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210</f>
        <v>210.0</v>
      </c>
      <c r="L305" s="34" t="s">
        <v>48</v>
      </c>
      <c r="M305" s="33" t="n">
        <f>292</f>
        <v>292.0</v>
      </c>
      <c r="N305" s="34" t="s">
        <v>80</v>
      </c>
      <c r="O305" s="33" t="n">
        <f>200</f>
        <v>200.0</v>
      </c>
      <c r="P305" s="34" t="s">
        <v>54</v>
      </c>
      <c r="Q305" s="33" t="n">
        <f>218</f>
        <v>218.0</v>
      </c>
      <c r="R305" s="34" t="s">
        <v>50</v>
      </c>
      <c r="S305" s="35" t="n">
        <f>217.42</f>
        <v>217.42</v>
      </c>
      <c r="T305" s="32" t="n">
        <f>134980</f>
        <v>134980.0</v>
      </c>
      <c r="U305" s="32" t="str">
        <f>"－"</f>
        <v>－</v>
      </c>
      <c r="V305" s="32" t="n">
        <f>31774039</f>
        <v>3.1774039E7</v>
      </c>
      <c r="W305" s="32" t="str">
        <f>"－"</f>
        <v>－</v>
      </c>
      <c r="X305" s="36" t="n">
        <f>19</f>
        <v>19.0</v>
      </c>
    </row>
    <row r="306">
      <c r="A306" s="27" t="s">
        <v>42</v>
      </c>
      <c r="B306" s="27" t="s">
        <v>968</v>
      </c>
      <c r="C306" s="27" t="s">
        <v>969</v>
      </c>
      <c r="D306" s="27" t="s">
        <v>970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189.5</f>
        <v>189.5</v>
      </c>
      <c r="L306" s="34" t="s">
        <v>48</v>
      </c>
      <c r="M306" s="33" t="n">
        <f>192</f>
        <v>192.0</v>
      </c>
      <c r="N306" s="34" t="s">
        <v>48</v>
      </c>
      <c r="O306" s="33" t="n">
        <f>185.7</f>
        <v>185.7</v>
      </c>
      <c r="P306" s="34" t="s">
        <v>104</v>
      </c>
      <c r="Q306" s="33" t="n">
        <f>188.9</f>
        <v>188.9</v>
      </c>
      <c r="R306" s="34" t="s">
        <v>50</v>
      </c>
      <c r="S306" s="35" t="n">
        <f>188.71</f>
        <v>188.71</v>
      </c>
      <c r="T306" s="32" t="n">
        <f>79200</f>
        <v>79200.0</v>
      </c>
      <c r="U306" s="32" t="n">
        <f>66830</f>
        <v>66830.0</v>
      </c>
      <c r="V306" s="32" t="n">
        <f>14774466</f>
        <v>1.4774466E7</v>
      </c>
      <c r="W306" s="32" t="n">
        <f>12448424</f>
        <v>1.2448424E7</v>
      </c>
      <c r="X306" s="36" t="n">
        <f>20</f>
        <v>20.0</v>
      </c>
    </row>
    <row r="307">
      <c r="A307" s="27" t="s">
        <v>42</v>
      </c>
      <c r="B307" s="27" t="s">
        <v>971</v>
      </c>
      <c r="C307" s="27" t="s">
        <v>972</v>
      </c>
      <c r="D307" s="27" t="s">
        <v>973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10.0</v>
      </c>
      <c r="K307" s="33" t="n">
        <f>709.8</f>
        <v>709.8</v>
      </c>
      <c r="L307" s="34" t="s">
        <v>80</v>
      </c>
      <c r="M307" s="33" t="n">
        <f>712.7</f>
        <v>712.7</v>
      </c>
      <c r="N307" s="34" t="s">
        <v>61</v>
      </c>
      <c r="O307" s="33" t="n">
        <f>692.5</f>
        <v>692.5</v>
      </c>
      <c r="P307" s="34" t="s">
        <v>161</v>
      </c>
      <c r="Q307" s="33" t="n">
        <f>701.4</f>
        <v>701.4</v>
      </c>
      <c r="R307" s="34" t="s">
        <v>50</v>
      </c>
      <c r="S307" s="35" t="n">
        <f>702.43</f>
        <v>702.43</v>
      </c>
      <c r="T307" s="32" t="n">
        <f>900</f>
        <v>900.0</v>
      </c>
      <c r="U307" s="32" t="str">
        <f>"－"</f>
        <v>－</v>
      </c>
      <c r="V307" s="32" t="n">
        <f>631407</f>
        <v>631407.0</v>
      </c>
      <c r="W307" s="32" t="str">
        <f>"－"</f>
        <v>－</v>
      </c>
      <c r="X307" s="36" t="n">
        <f>15</f>
        <v>15.0</v>
      </c>
    </row>
    <row r="308">
      <c r="A308" s="27" t="s">
        <v>42</v>
      </c>
      <c r="B308" s="27" t="s">
        <v>974</v>
      </c>
      <c r="C308" s="27" t="s">
        <v>975</v>
      </c>
      <c r="D308" s="27" t="s">
        <v>976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1082</f>
        <v>1082.0</v>
      </c>
      <c r="L308" s="34" t="s">
        <v>48</v>
      </c>
      <c r="M308" s="33" t="n">
        <f>1210</f>
        <v>1210.0</v>
      </c>
      <c r="N308" s="34" t="s">
        <v>70</v>
      </c>
      <c r="O308" s="33" t="n">
        <f>1058</f>
        <v>1058.0</v>
      </c>
      <c r="P308" s="34" t="s">
        <v>91</v>
      </c>
      <c r="Q308" s="33" t="n">
        <f>1177</f>
        <v>1177.0</v>
      </c>
      <c r="R308" s="34" t="s">
        <v>50</v>
      </c>
      <c r="S308" s="35" t="n">
        <f>1139.15</f>
        <v>1139.15</v>
      </c>
      <c r="T308" s="32" t="n">
        <f>207059</f>
        <v>207059.0</v>
      </c>
      <c r="U308" s="32" t="str">
        <f>"－"</f>
        <v>－</v>
      </c>
      <c r="V308" s="32" t="n">
        <f>238542963</f>
        <v>2.38542963E8</v>
      </c>
      <c r="W308" s="32" t="str">
        <f>"－"</f>
        <v>－</v>
      </c>
      <c r="X308" s="36" t="n">
        <f>20</f>
        <v>20.0</v>
      </c>
    </row>
    <row r="309">
      <c r="A309" s="27" t="s">
        <v>42</v>
      </c>
      <c r="B309" s="27" t="s">
        <v>977</v>
      </c>
      <c r="C309" s="27" t="s">
        <v>978</v>
      </c>
      <c r="D309" s="27" t="s">
        <v>979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969</f>
        <v>969.0</v>
      </c>
      <c r="L309" s="34" t="s">
        <v>48</v>
      </c>
      <c r="M309" s="33" t="n">
        <f>981</f>
        <v>981.0</v>
      </c>
      <c r="N309" s="34" t="s">
        <v>411</v>
      </c>
      <c r="O309" s="33" t="n">
        <f>948</f>
        <v>948.0</v>
      </c>
      <c r="P309" s="34" t="s">
        <v>104</v>
      </c>
      <c r="Q309" s="33" t="n">
        <f>961</f>
        <v>961.0</v>
      </c>
      <c r="R309" s="34" t="s">
        <v>50</v>
      </c>
      <c r="S309" s="35" t="n">
        <f>962.15</f>
        <v>962.15</v>
      </c>
      <c r="T309" s="32" t="n">
        <f>1558015</f>
        <v>1558015.0</v>
      </c>
      <c r="U309" s="32" t="n">
        <f>1553500</f>
        <v>1553500.0</v>
      </c>
      <c r="V309" s="32" t="n">
        <f>1511986629</f>
        <v>1.511986629E9</v>
      </c>
      <c r="W309" s="32" t="n">
        <f>1507647833</f>
        <v>1.507647833E9</v>
      </c>
      <c r="X309" s="36" t="n">
        <f>20</f>
        <v>20.0</v>
      </c>
    </row>
    <row r="310">
      <c r="A310" s="27" t="s">
        <v>42</v>
      </c>
      <c r="B310" s="27" t="s">
        <v>980</v>
      </c>
      <c r="C310" s="27" t="s">
        <v>981</v>
      </c>
      <c r="D310" s="27" t="s">
        <v>982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757.8</f>
        <v>757.8</v>
      </c>
      <c r="L310" s="34" t="s">
        <v>48</v>
      </c>
      <c r="M310" s="33" t="n">
        <f>764.5</f>
        <v>764.5</v>
      </c>
      <c r="N310" s="34" t="s">
        <v>54</v>
      </c>
      <c r="O310" s="33" t="n">
        <f>740.1</f>
        <v>740.1</v>
      </c>
      <c r="P310" s="34" t="s">
        <v>70</v>
      </c>
      <c r="Q310" s="33" t="n">
        <f>747</f>
        <v>747.0</v>
      </c>
      <c r="R310" s="34" t="s">
        <v>50</v>
      </c>
      <c r="S310" s="35" t="n">
        <f>754.03</f>
        <v>754.03</v>
      </c>
      <c r="T310" s="32" t="n">
        <f>339260</f>
        <v>339260.0</v>
      </c>
      <c r="U310" s="32" t="str">
        <f>"－"</f>
        <v>－</v>
      </c>
      <c r="V310" s="32" t="n">
        <f>255550407</f>
        <v>2.55550407E8</v>
      </c>
      <c r="W310" s="32" t="str">
        <f>"－"</f>
        <v>－</v>
      </c>
      <c r="X310" s="36" t="n">
        <f>20</f>
        <v>20.0</v>
      </c>
    </row>
    <row r="311">
      <c r="A311" s="27" t="s">
        <v>42</v>
      </c>
      <c r="B311" s="27" t="s">
        <v>983</v>
      </c>
      <c r="C311" s="27" t="s">
        <v>984</v>
      </c>
      <c r="D311" s="27" t="s">
        <v>985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10.0</v>
      </c>
      <c r="K311" s="33" t="n">
        <f>720</f>
        <v>720.0</v>
      </c>
      <c r="L311" s="34" t="s">
        <v>48</v>
      </c>
      <c r="M311" s="33" t="n">
        <f>724.1</f>
        <v>724.1</v>
      </c>
      <c r="N311" s="34" t="s">
        <v>66</v>
      </c>
      <c r="O311" s="33" t="n">
        <f>705</f>
        <v>705.0</v>
      </c>
      <c r="P311" s="34" t="s">
        <v>168</v>
      </c>
      <c r="Q311" s="33" t="n">
        <f>715.9</f>
        <v>715.9</v>
      </c>
      <c r="R311" s="34" t="s">
        <v>50</v>
      </c>
      <c r="S311" s="35" t="n">
        <f>713.35</f>
        <v>713.35</v>
      </c>
      <c r="T311" s="32" t="n">
        <f>1372070</f>
        <v>1372070.0</v>
      </c>
      <c r="U311" s="32" t="n">
        <f>1178270</f>
        <v>1178270.0</v>
      </c>
      <c r="V311" s="32" t="n">
        <f>973973845</f>
        <v>9.73973845E8</v>
      </c>
      <c r="W311" s="32" t="n">
        <f>836570448</f>
        <v>8.36570448E8</v>
      </c>
      <c r="X311" s="36" t="n">
        <f>19</f>
        <v>19.0</v>
      </c>
    </row>
    <row r="312">
      <c r="A312" s="27" t="s">
        <v>42</v>
      </c>
      <c r="B312" s="27" t="s">
        <v>986</v>
      </c>
      <c r="C312" s="27" t="s">
        <v>987</v>
      </c>
      <c r="D312" s="27" t="s">
        <v>988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1065</f>
        <v>1065.0</v>
      </c>
      <c r="L312" s="34" t="s">
        <v>48</v>
      </c>
      <c r="M312" s="33" t="n">
        <f>1108</f>
        <v>1108.0</v>
      </c>
      <c r="N312" s="34" t="s">
        <v>49</v>
      </c>
      <c r="O312" s="33" t="n">
        <f>1063</f>
        <v>1063.0</v>
      </c>
      <c r="P312" s="34" t="s">
        <v>54</v>
      </c>
      <c r="Q312" s="33" t="n">
        <f>1087</f>
        <v>1087.0</v>
      </c>
      <c r="R312" s="34" t="s">
        <v>50</v>
      </c>
      <c r="S312" s="35" t="n">
        <f>1078.1</f>
        <v>1078.1</v>
      </c>
      <c r="T312" s="32" t="n">
        <f>963922</f>
        <v>963922.0</v>
      </c>
      <c r="U312" s="32" t="n">
        <f>937400</f>
        <v>937400.0</v>
      </c>
      <c r="V312" s="32" t="n">
        <f>1030144281</f>
        <v>1.030144281E9</v>
      </c>
      <c r="W312" s="32" t="n">
        <f>1001753451</f>
        <v>1.001753451E9</v>
      </c>
      <c r="X312" s="36" t="n">
        <f>20</f>
        <v>20.0</v>
      </c>
    </row>
    <row r="313">
      <c r="A313" s="27" t="s">
        <v>42</v>
      </c>
      <c r="B313" s="27" t="s">
        <v>989</v>
      </c>
      <c r="C313" s="27" t="s">
        <v>990</v>
      </c>
      <c r="D313" s="27" t="s">
        <v>991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10.0</v>
      </c>
      <c r="K313" s="33" t="n">
        <f>2429</f>
        <v>2429.0</v>
      </c>
      <c r="L313" s="34" t="s">
        <v>48</v>
      </c>
      <c r="M313" s="33" t="n">
        <f>2504.5</f>
        <v>2504.5</v>
      </c>
      <c r="N313" s="34" t="s">
        <v>157</v>
      </c>
      <c r="O313" s="33" t="n">
        <f>2384</f>
        <v>2384.0</v>
      </c>
      <c r="P313" s="34" t="s">
        <v>104</v>
      </c>
      <c r="Q313" s="33" t="n">
        <f>2393</f>
        <v>2393.0</v>
      </c>
      <c r="R313" s="34" t="s">
        <v>50</v>
      </c>
      <c r="S313" s="35" t="n">
        <f>2422.33</f>
        <v>2422.33</v>
      </c>
      <c r="T313" s="32" t="n">
        <f>207040</f>
        <v>207040.0</v>
      </c>
      <c r="U313" s="32" t="str">
        <f>"－"</f>
        <v>－</v>
      </c>
      <c r="V313" s="32" t="n">
        <f>502309810</f>
        <v>5.0230981E8</v>
      </c>
      <c r="W313" s="32" t="str">
        <f>"－"</f>
        <v>－</v>
      </c>
      <c r="X313" s="36" t="n">
        <f>20</f>
        <v>20.0</v>
      </c>
    </row>
    <row r="314">
      <c r="A314" s="27" t="s">
        <v>42</v>
      </c>
      <c r="B314" s="27" t="s">
        <v>992</v>
      </c>
      <c r="C314" s="27" t="s">
        <v>993</v>
      </c>
      <c r="D314" s="27" t="s">
        <v>994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10.0</v>
      </c>
      <c r="K314" s="33" t="n">
        <f>2424.5</f>
        <v>2424.5</v>
      </c>
      <c r="L314" s="34" t="s">
        <v>48</v>
      </c>
      <c r="M314" s="33" t="n">
        <f>2472.5</f>
        <v>2472.5</v>
      </c>
      <c r="N314" s="34" t="s">
        <v>80</v>
      </c>
      <c r="O314" s="33" t="n">
        <f>2362.5</f>
        <v>2362.5</v>
      </c>
      <c r="P314" s="34" t="s">
        <v>168</v>
      </c>
      <c r="Q314" s="33" t="n">
        <f>2365.5</f>
        <v>2365.5</v>
      </c>
      <c r="R314" s="34" t="s">
        <v>50</v>
      </c>
      <c r="S314" s="35" t="n">
        <f>2401.78</f>
        <v>2401.78</v>
      </c>
      <c r="T314" s="32" t="n">
        <f>636710</f>
        <v>636710.0</v>
      </c>
      <c r="U314" s="32" t="n">
        <f>403200</f>
        <v>403200.0</v>
      </c>
      <c r="V314" s="32" t="n">
        <f>1531059618</f>
        <v>1.531059618E9</v>
      </c>
      <c r="W314" s="32" t="n">
        <f>965797548</f>
        <v>9.65797548E8</v>
      </c>
      <c r="X314" s="36" t="n">
        <f>18</f>
        <v>18.0</v>
      </c>
    </row>
    <row r="315">
      <c r="A315" s="27" t="s">
        <v>42</v>
      </c>
      <c r="B315" s="27" t="s">
        <v>995</v>
      </c>
      <c r="C315" s="27" t="s">
        <v>996</v>
      </c>
      <c r="D315" s="27" t="s">
        <v>997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10.0</v>
      </c>
      <c r="K315" s="33" t="n">
        <f>4971</f>
        <v>4971.0</v>
      </c>
      <c r="L315" s="34" t="s">
        <v>48</v>
      </c>
      <c r="M315" s="33" t="n">
        <f>5007</f>
        <v>5007.0</v>
      </c>
      <c r="N315" s="34" t="s">
        <v>80</v>
      </c>
      <c r="O315" s="33" t="n">
        <f>4900</f>
        <v>4900.0</v>
      </c>
      <c r="P315" s="34" t="s">
        <v>62</v>
      </c>
      <c r="Q315" s="33" t="n">
        <f>4900</f>
        <v>4900.0</v>
      </c>
      <c r="R315" s="34" t="s">
        <v>62</v>
      </c>
      <c r="S315" s="35" t="n">
        <f>4936.29</f>
        <v>4936.29</v>
      </c>
      <c r="T315" s="32" t="n">
        <f>114680</f>
        <v>114680.0</v>
      </c>
      <c r="U315" s="32" t="n">
        <f>105000</f>
        <v>105000.0</v>
      </c>
      <c r="V315" s="32" t="n">
        <f>569342460</f>
        <v>5.6934246E8</v>
      </c>
      <c r="W315" s="32" t="n">
        <f>520953700</f>
        <v>5.209537E8</v>
      </c>
      <c r="X315" s="36" t="n">
        <f>7</f>
        <v>7.0</v>
      </c>
    </row>
    <row r="316">
      <c r="A316" s="27" t="s">
        <v>42</v>
      </c>
      <c r="B316" s="27" t="s">
        <v>998</v>
      </c>
      <c r="C316" s="27" t="s">
        <v>999</v>
      </c>
      <c r="D316" s="27" t="s">
        <v>1000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10.0</v>
      </c>
      <c r="K316" s="33" t="n">
        <f>4426</f>
        <v>4426.0</v>
      </c>
      <c r="L316" s="34" t="s">
        <v>80</v>
      </c>
      <c r="M316" s="33" t="n">
        <f>4429</f>
        <v>4429.0</v>
      </c>
      <c r="N316" s="34" t="s">
        <v>80</v>
      </c>
      <c r="O316" s="33" t="n">
        <f>4389</f>
        <v>4389.0</v>
      </c>
      <c r="P316" s="34" t="s">
        <v>62</v>
      </c>
      <c r="Q316" s="33" t="n">
        <f>4389</f>
        <v>4389.0</v>
      </c>
      <c r="R316" s="34" t="s">
        <v>62</v>
      </c>
      <c r="S316" s="35" t="n">
        <f>4409</f>
        <v>4409.0</v>
      </c>
      <c r="T316" s="32" t="n">
        <f>8160</f>
        <v>8160.0</v>
      </c>
      <c r="U316" s="32" t="str">
        <f>"－"</f>
        <v>－</v>
      </c>
      <c r="V316" s="32" t="n">
        <f>36127200</f>
        <v>3.61272E7</v>
      </c>
      <c r="W316" s="32" t="str">
        <f>"－"</f>
        <v>－</v>
      </c>
      <c r="X316" s="36" t="n">
        <f>5</f>
        <v>5.0</v>
      </c>
    </row>
    <row r="317">
      <c r="A317" s="27" t="s">
        <v>42</v>
      </c>
      <c r="B317" s="27" t="s">
        <v>1001</v>
      </c>
      <c r="C317" s="27" t="s">
        <v>1002</v>
      </c>
      <c r="D317" s="27" t="s">
        <v>1003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10.0</v>
      </c>
      <c r="K317" s="33" t="n">
        <f>1972.5</f>
        <v>1972.5</v>
      </c>
      <c r="L317" s="34" t="s">
        <v>54</v>
      </c>
      <c r="M317" s="33" t="n">
        <f>2006.5</f>
        <v>2006.5</v>
      </c>
      <c r="N317" s="34" t="s">
        <v>262</v>
      </c>
      <c r="O317" s="33" t="n">
        <f>1939.5</f>
        <v>1939.5</v>
      </c>
      <c r="P317" s="34" t="s">
        <v>104</v>
      </c>
      <c r="Q317" s="33" t="n">
        <f>1952.5</f>
        <v>1952.5</v>
      </c>
      <c r="R317" s="34" t="s">
        <v>50</v>
      </c>
      <c r="S317" s="35" t="n">
        <f>1962.55</f>
        <v>1962.55</v>
      </c>
      <c r="T317" s="32" t="n">
        <f>1140</f>
        <v>1140.0</v>
      </c>
      <c r="U317" s="32" t="str">
        <f>"－"</f>
        <v>－</v>
      </c>
      <c r="V317" s="32" t="n">
        <f>2240715</f>
        <v>2240715.0</v>
      </c>
      <c r="W317" s="32" t="str">
        <f>"－"</f>
        <v>－</v>
      </c>
      <c r="X317" s="36" t="n">
        <f>10</f>
        <v>10.0</v>
      </c>
    </row>
    <row r="318">
      <c r="A318" s="27" t="s">
        <v>42</v>
      </c>
      <c r="B318" s="27" t="s">
        <v>1004</v>
      </c>
      <c r="C318" s="27" t="s">
        <v>1005</v>
      </c>
      <c r="D318" s="27" t="s">
        <v>1006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1100</f>
        <v>1100.0</v>
      </c>
      <c r="L318" s="34" t="s">
        <v>48</v>
      </c>
      <c r="M318" s="33" t="n">
        <f>1141</f>
        <v>1141.0</v>
      </c>
      <c r="N318" s="34" t="s">
        <v>161</v>
      </c>
      <c r="O318" s="33" t="n">
        <f>1100</f>
        <v>1100.0</v>
      </c>
      <c r="P318" s="34" t="s">
        <v>48</v>
      </c>
      <c r="Q318" s="33" t="n">
        <f>1115</f>
        <v>1115.0</v>
      </c>
      <c r="R318" s="34" t="s">
        <v>50</v>
      </c>
      <c r="S318" s="35" t="n">
        <f>1118.8</f>
        <v>1118.8</v>
      </c>
      <c r="T318" s="32" t="n">
        <f>3952</f>
        <v>3952.0</v>
      </c>
      <c r="U318" s="32" t="str">
        <f>"－"</f>
        <v>－</v>
      </c>
      <c r="V318" s="32" t="n">
        <f>4427195</f>
        <v>4427195.0</v>
      </c>
      <c r="W318" s="32" t="str">
        <f>"－"</f>
        <v>－</v>
      </c>
      <c r="X318" s="36" t="n">
        <f>20</f>
        <v>20.0</v>
      </c>
    </row>
    <row r="319">
      <c r="A319" s="27" t="s">
        <v>42</v>
      </c>
      <c r="B319" s="27" t="s">
        <v>1007</v>
      </c>
      <c r="C319" s="27" t="s">
        <v>1008</v>
      </c>
      <c r="D319" s="27" t="s">
        <v>1009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1018</f>
        <v>1018.0</v>
      </c>
      <c r="L319" s="34" t="s">
        <v>48</v>
      </c>
      <c r="M319" s="33" t="n">
        <f>1078</f>
        <v>1078.0</v>
      </c>
      <c r="N319" s="34" t="s">
        <v>70</v>
      </c>
      <c r="O319" s="33" t="n">
        <f>1006</f>
        <v>1006.0</v>
      </c>
      <c r="P319" s="34" t="s">
        <v>66</v>
      </c>
      <c r="Q319" s="33" t="n">
        <f>1067</f>
        <v>1067.0</v>
      </c>
      <c r="R319" s="34" t="s">
        <v>50</v>
      </c>
      <c r="S319" s="35" t="n">
        <f>1037.85</f>
        <v>1037.85</v>
      </c>
      <c r="T319" s="32" t="n">
        <f>523179</f>
        <v>523179.0</v>
      </c>
      <c r="U319" s="32" t="n">
        <f>3</f>
        <v>3.0</v>
      </c>
      <c r="V319" s="32" t="n">
        <f>542227839</f>
        <v>5.42227839E8</v>
      </c>
      <c r="W319" s="32" t="n">
        <f>3216</f>
        <v>3216.0</v>
      </c>
      <c r="X319" s="36" t="n">
        <f>20</f>
        <v>20.0</v>
      </c>
    </row>
    <row r="320">
      <c r="A320" s="27" t="s">
        <v>42</v>
      </c>
      <c r="B320" s="27" t="s">
        <v>1010</v>
      </c>
      <c r="C320" s="27" t="s">
        <v>1011</v>
      </c>
      <c r="D320" s="27" t="s">
        <v>1012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912</f>
        <v>912.0</v>
      </c>
      <c r="L320" s="34" t="s">
        <v>48</v>
      </c>
      <c r="M320" s="33" t="n">
        <f>916</f>
        <v>916.0</v>
      </c>
      <c r="N320" s="34" t="s">
        <v>48</v>
      </c>
      <c r="O320" s="33" t="n">
        <f>857</f>
        <v>857.0</v>
      </c>
      <c r="P320" s="34" t="s">
        <v>411</v>
      </c>
      <c r="Q320" s="33" t="n">
        <f>897</f>
        <v>897.0</v>
      </c>
      <c r="R320" s="34" t="s">
        <v>50</v>
      </c>
      <c r="S320" s="35" t="n">
        <f>883.7</f>
        <v>883.7</v>
      </c>
      <c r="T320" s="32" t="n">
        <f>2301137</f>
        <v>2301137.0</v>
      </c>
      <c r="U320" s="32" t="n">
        <f>12</f>
        <v>12.0</v>
      </c>
      <c r="V320" s="32" t="n">
        <f>2017664857</f>
        <v>2.017664857E9</v>
      </c>
      <c r="W320" s="32" t="n">
        <f>9693</f>
        <v>9693.0</v>
      </c>
      <c r="X320" s="36" t="n">
        <f>20</f>
        <v>20.0</v>
      </c>
    </row>
    <row r="321">
      <c r="A321" s="27" t="s">
        <v>42</v>
      </c>
      <c r="B321" s="27" t="s">
        <v>1013</v>
      </c>
      <c r="C321" s="27" t="s">
        <v>1014</v>
      </c>
      <c r="D321" s="27" t="s">
        <v>1015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965</f>
        <v>965.0</v>
      </c>
      <c r="L321" s="34" t="s">
        <v>48</v>
      </c>
      <c r="M321" s="33" t="n">
        <f>1060</f>
        <v>1060.0</v>
      </c>
      <c r="N321" s="34" t="s">
        <v>70</v>
      </c>
      <c r="O321" s="33" t="n">
        <f>957</f>
        <v>957.0</v>
      </c>
      <c r="P321" s="34" t="s">
        <v>48</v>
      </c>
      <c r="Q321" s="33" t="n">
        <f>1042</f>
        <v>1042.0</v>
      </c>
      <c r="R321" s="34" t="s">
        <v>50</v>
      </c>
      <c r="S321" s="35" t="n">
        <f>1002.55</f>
        <v>1002.55</v>
      </c>
      <c r="T321" s="32" t="n">
        <f>45716</f>
        <v>45716.0</v>
      </c>
      <c r="U321" s="32" t="str">
        <f>"－"</f>
        <v>－</v>
      </c>
      <c r="V321" s="32" t="n">
        <f>46618508</f>
        <v>4.6618508E7</v>
      </c>
      <c r="W321" s="32" t="str">
        <f>"－"</f>
        <v>－</v>
      </c>
      <c r="X321" s="36" t="n">
        <f>20</f>
        <v>20.0</v>
      </c>
    </row>
    <row r="322">
      <c r="A322" s="27" t="s">
        <v>42</v>
      </c>
      <c r="B322" s="27" t="s">
        <v>1016</v>
      </c>
      <c r="C322" s="27" t="s">
        <v>1017</v>
      </c>
      <c r="D322" s="27" t="s">
        <v>1018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952</f>
        <v>952.0</v>
      </c>
      <c r="L322" s="34" t="s">
        <v>48</v>
      </c>
      <c r="M322" s="33" t="n">
        <f>988</f>
        <v>988.0</v>
      </c>
      <c r="N322" s="34" t="s">
        <v>70</v>
      </c>
      <c r="O322" s="33" t="n">
        <f>936</f>
        <v>936.0</v>
      </c>
      <c r="P322" s="34" t="s">
        <v>66</v>
      </c>
      <c r="Q322" s="33" t="n">
        <f>978</f>
        <v>978.0</v>
      </c>
      <c r="R322" s="34" t="s">
        <v>50</v>
      </c>
      <c r="S322" s="35" t="n">
        <f>961.1</f>
        <v>961.1</v>
      </c>
      <c r="T322" s="32" t="n">
        <f>601423</f>
        <v>601423.0</v>
      </c>
      <c r="U322" s="32" t="n">
        <f>10</f>
        <v>10.0</v>
      </c>
      <c r="V322" s="32" t="n">
        <f>579040863</f>
        <v>5.79040863E8</v>
      </c>
      <c r="W322" s="32" t="n">
        <f>10120</f>
        <v>10120.0</v>
      </c>
      <c r="X322" s="36" t="n">
        <f>20</f>
        <v>20.0</v>
      </c>
    </row>
    <row r="323">
      <c r="A323" s="27" t="s">
        <v>42</v>
      </c>
      <c r="B323" s="27" t="s">
        <v>1019</v>
      </c>
      <c r="C323" s="27" t="s">
        <v>1020</v>
      </c>
      <c r="D323" s="27" t="s">
        <v>1021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23630</f>
        <v>23630.0</v>
      </c>
      <c r="L323" s="34" t="s">
        <v>48</v>
      </c>
      <c r="M323" s="33" t="n">
        <f>27810</f>
        <v>27810.0</v>
      </c>
      <c r="N323" s="34" t="s">
        <v>70</v>
      </c>
      <c r="O323" s="33" t="n">
        <f>23485</f>
        <v>23485.0</v>
      </c>
      <c r="P323" s="34" t="s">
        <v>90</v>
      </c>
      <c r="Q323" s="33" t="n">
        <f>27435</f>
        <v>27435.0</v>
      </c>
      <c r="R323" s="34" t="s">
        <v>50</v>
      </c>
      <c r="S323" s="35" t="n">
        <f>25035.75</f>
        <v>25035.75</v>
      </c>
      <c r="T323" s="32" t="n">
        <f>338958</f>
        <v>338958.0</v>
      </c>
      <c r="U323" s="32" t="n">
        <f>4</f>
        <v>4.0</v>
      </c>
      <c r="V323" s="32" t="n">
        <f>8665421965</f>
        <v>8.665421965E9</v>
      </c>
      <c r="W323" s="32" t="n">
        <f>95100</f>
        <v>95100.0</v>
      </c>
      <c r="X323" s="36" t="n">
        <f>20</f>
        <v>20.0</v>
      </c>
    </row>
    <row r="324">
      <c r="A324" s="27" t="s">
        <v>42</v>
      </c>
      <c r="B324" s="27" t="s">
        <v>1022</v>
      </c>
      <c r="C324" s="27" t="s">
        <v>1023</v>
      </c>
      <c r="D324" s="27" t="s">
        <v>1024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44820</f>
        <v>44820.0</v>
      </c>
      <c r="L324" s="34" t="s">
        <v>48</v>
      </c>
      <c r="M324" s="33" t="n">
        <f>45070</f>
        <v>45070.0</v>
      </c>
      <c r="N324" s="34" t="s">
        <v>80</v>
      </c>
      <c r="O324" s="33" t="n">
        <f>37610</f>
        <v>37610.0</v>
      </c>
      <c r="P324" s="34" t="s">
        <v>70</v>
      </c>
      <c r="Q324" s="33" t="n">
        <f>38140</f>
        <v>38140.0</v>
      </c>
      <c r="R324" s="34" t="s">
        <v>50</v>
      </c>
      <c r="S324" s="35" t="n">
        <f>42230</f>
        <v>42230.0</v>
      </c>
      <c r="T324" s="32" t="n">
        <f>151996</f>
        <v>151996.0</v>
      </c>
      <c r="U324" s="32" t="n">
        <f>8</f>
        <v>8.0</v>
      </c>
      <c r="V324" s="32" t="n">
        <f>6363311030</f>
        <v>6.36331103E9</v>
      </c>
      <c r="W324" s="32" t="n">
        <f>330720</f>
        <v>330720.0</v>
      </c>
      <c r="X324" s="36" t="n">
        <f>20</f>
        <v>20.0</v>
      </c>
    </row>
    <row r="325">
      <c r="A325" s="27" t="s">
        <v>42</v>
      </c>
      <c r="B325" s="27" t="s">
        <v>1025</v>
      </c>
      <c r="C325" s="27" t="s">
        <v>1026</v>
      </c>
      <c r="D325" s="27" t="s">
        <v>1027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111900</f>
        <v>111900.0</v>
      </c>
      <c r="L325" s="34" t="s">
        <v>48</v>
      </c>
      <c r="M325" s="33" t="n">
        <f>116500</f>
        <v>116500.0</v>
      </c>
      <c r="N325" s="34" t="s">
        <v>62</v>
      </c>
      <c r="O325" s="33" t="n">
        <f>111100</f>
        <v>111100.0</v>
      </c>
      <c r="P325" s="34" t="s">
        <v>48</v>
      </c>
      <c r="Q325" s="33" t="n">
        <f>115800</f>
        <v>115800.0</v>
      </c>
      <c r="R325" s="34" t="s">
        <v>50</v>
      </c>
      <c r="S325" s="35" t="n">
        <f>114195</f>
        <v>114195.0</v>
      </c>
      <c r="T325" s="32" t="n">
        <f>14277</f>
        <v>14277.0</v>
      </c>
      <c r="U325" s="32" t="n">
        <f>2135</f>
        <v>2135.0</v>
      </c>
      <c r="V325" s="32" t="n">
        <f>1628722333</f>
        <v>1.628722333E9</v>
      </c>
      <c r="W325" s="32" t="n">
        <f>243826333</f>
        <v>2.43826333E8</v>
      </c>
      <c r="X325" s="36" t="n">
        <f>20</f>
        <v>20.0</v>
      </c>
    </row>
    <row r="326">
      <c r="A326" s="27" t="s">
        <v>42</v>
      </c>
      <c r="B326" s="27" t="s">
        <v>1028</v>
      </c>
      <c r="C326" s="27" t="s">
        <v>1029</v>
      </c>
      <c r="D326" s="27" t="s">
        <v>1030</v>
      </c>
      <c r="E326" s="28" t="s">
        <v>46</v>
      </c>
      <c r="F326" s="29" t="s">
        <v>46</v>
      </c>
      <c r="G326" s="30" t="s">
        <v>46</v>
      </c>
      <c r="H326" s="31"/>
      <c r="I326" s="31" t="s">
        <v>586</v>
      </c>
      <c r="J326" s="32" t="n">
        <v>1.0</v>
      </c>
      <c r="K326" s="33" t="n">
        <f>83800</f>
        <v>83800.0</v>
      </c>
      <c r="L326" s="34" t="s">
        <v>48</v>
      </c>
      <c r="M326" s="33" t="n">
        <f>86200</f>
        <v>86200.0</v>
      </c>
      <c r="N326" s="34" t="s">
        <v>62</v>
      </c>
      <c r="O326" s="33" t="n">
        <f>82800</f>
        <v>82800.0</v>
      </c>
      <c r="P326" s="34" t="s">
        <v>91</v>
      </c>
      <c r="Q326" s="33" t="n">
        <f>85400</f>
        <v>85400.0</v>
      </c>
      <c r="R326" s="34" t="s">
        <v>50</v>
      </c>
      <c r="S326" s="35" t="n">
        <f>84270</f>
        <v>84270.0</v>
      </c>
      <c r="T326" s="32" t="n">
        <f>38609</f>
        <v>38609.0</v>
      </c>
      <c r="U326" s="32" t="n">
        <f>11957</f>
        <v>11957.0</v>
      </c>
      <c r="V326" s="32" t="n">
        <f>3253007672</f>
        <v>3.253007672E9</v>
      </c>
      <c r="W326" s="32" t="n">
        <f>1006825972</f>
        <v>1.006825972E9</v>
      </c>
      <c r="X326" s="36" t="n">
        <f>20</f>
        <v>20.0</v>
      </c>
    </row>
    <row r="327">
      <c r="A327" s="27" t="s">
        <v>42</v>
      </c>
      <c r="B327" s="27" t="s">
        <v>1031</v>
      </c>
      <c r="C327" s="27" t="s">
        <v>1032</v>
      </c>
      <c r="D327" s="27" t="s">
        <v>1033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135500</f>
        <v>135500.0</v>
      </c>
      <c r="L327" s="34" t="s">
        <v>48</v>
      </c>
      <c r="M327" s="33" t="n">
        <f>138900</f>
        <v>138900.0</v>
      </c>
      <c r="N327" s="34" t="s">
        <v>258</v>
      </c>
      <c r="O327" s="33" t="n">
        <f>131800</f>
        <v>131800.0</v>
      </c>
      <c r="P327" s="34" t="s">
        <v>62</v>
      </c>
      <c r="Q327" s="33" t="n">
        <f>136000</f>
        <v>136000.0</v>
      </c>
      <c r="R327" s="34" t="s">
        <v>50</v>
      </c>
      <c r="S327" s="35" t="n">
        <f>135630</f>
        <v>135630.0</v>
      </c>
      <c r="T327" s="32" t="n">
        <f>32987</f>
        <v>32987.0</v>
      </c>
      <c r="U327" s="32" t="n">
        <f>5506</f>
        <v>5506.0</v>
      </c>
      <c r="V327" s="32" t="n">
        <f>4467485110</f>
        <v>4.46748511E9</v>
      </c>
      <c r="W327" s="32" t="n">
        <f>746841910</f>
        <v>7.4684191E8</v>
      </c>
      <c r="X327" s="36" t="n">
        <f>20</f>
        <v>20.0</v>
      </c>
    </row>
    <row r="328">
      <c r="A328" s="27" t="s">
        <v>42</v>
      </c>
      <c r="B328" s="27" t="s">
        <v>1034</v>
      </c>
      <c r="C328" s="27" t="s">
        <v>1035</v>
      </c>
      <c r="D328" s="27" t="s">
        <v>1036</v>
      </c>
      <c r="E328" s="28" t="s">
        <v>46</v>
      </c>
      <c r="F328" s="29" t="s">
        <v>46</v>
      </c>
      <c r="G328" s="30" t="s">
        <v>46</v>
      </c>
      <c r="H328" s="31"/>
      <c r="I328" s="31" t="s">
        <v>586</v>
      </c>
      <c r="J328" s="32" t="n">
        <v>1.0</v>
      </c>
      <c r="K328" s="33" t="n">
        <f>119000</f>
        <v>119000.0</v>
      </c>
      <c r="L328" s="34" t="s">
        <v>48</v>
      </c>
      <c r="M328" s="33" t="n">
        <f>120100</f>
        <v>120100.0</v>
      </c>
      <c r="N328" s="34" t="s">
        <v>50</v>
      </c>
      <c r="O328" s="33" t="n">
        <f>116700</f>
        <v>116700.0</v>
      </c>
      <c r="P328" s="34" t="s">
        <v>104</v>
      </c>
      <c r="Q328" s="33" t="n">
        <f>119100</f>
        <v>119100.0</v>
      </c>
      <c r="R328" s="34" t="s">
        <v>50</v>
      </c>
      <c r="S328" s="35" t="n">
        <f>118520</f>
        <v>118520.0</v>
      </c>
      <c r="T328" s="32" t="n">
        <f>23273</f>
        <v>23273.0</v>
      </c>
      <c r="U328" s="32" t="n">
        <f>2292</f>
        <v>2292.0</v>
      </c>
      <c r="V328" s="32" t="n">
        <f>2758241653</f>
        <v>2.758241653E9</v>
      </c>
      <c r="W328" s="32" t="n">
        <f>271982953</f>
        <v>2.71982953E8</v>
      </c>
      <c r="X328" s="36" t="n">
        <f>20</f>
        <v>20.0</v>
      </c>
    </row>
    <row r="329">
      <c r="A329" s="27" t="s">
        <v>42</v>
      </c>
      <c r="B329" s="27" t="s">
        <v>1037</v>
      </c>
      <c r="C329" s="27" t="s">
        <v>1038</v>
      </c>
      <c r="D329" s="27" t="s">
        <v>1039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653000</f>
        <v>653000.0</v>
      </c>
      <c r="L329" s="34" t="s">
        <v>48</v>
      </c>
      <c r="M329" s="33" t="n">
        <f>678000</f>
        <v>678000.0</v>
      </c>
      <c r="N329" s="34" t="s">
        <v>50</v>
      </c>
      <c r="O329" s="33" t="n">
        <f>637000</f>
        <v>637000.0</v>
      </c>
      <c r="P329" s="34" t="s">
        <v>104</v>
      </c>
      <c r="Q329" s="33" t="n">
        <f>678000</f>
        <v>678000.0</v>
      </c>
      <c r="R329" s="34" t="s">
        <v>50</v>
      </c>
      <c r="S329" s="35" t="n">
        <f>652700</f>
        <v>652700.0</v>
      </c>
      <c r="T329" s="32" t="n">
        <f>28076</f>
        <v>28076.0</v>
      </c>
      <c r="U329" s="32" t="n">
        <f>6088</f>
        <v>6088.0</v>
      </c>
      <c r="V329" s="32" t="n">
        <f>18336328054</f>
        <v>1.8336328054E10</v>
      </c>
      <c r="W329" s="32" t="n">
        <f>3983108054</f>
        <v>3.983108054E9</v>
      </c>
      <c r="X329" s="36" t="n">
        <f>20</f>
        <v>20.0</v>
      </c>
    </row>
    <row r="330">
      <c r="A330" s="27" t="s">
        <v>42</v>
      </c>
      <c r="B330" s="27" t="s">
        <v>1040</v>
      </c>
      <c r="C330" s="27" t="s">
        <v>1041</v>
      </c>
      <c r="D330" s="27" t="s">
        <v>1042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154000</f>
        <v>154000.0</v>
      </c>
      <c r="L330" s="34" t="s">
        <v>48</v>
      </c>
      <c r="M330" s="33" t="n">
        <f>155200</f>
        <v>155200.0</v>
      </c>
      <c r="N330" s="34" t="s">
        <v>54</v>
      </c>
      <c r="O330" s="33" t="n">
        <f>145300</f>
        <v>145300.0</v>
      </c>
      <c r="P330" s="34" t="s">
        <v>104</v>
      </c>
      <c r="Q330" s="33" t="n">
        <f>154100</f>
        <v>154100.0</v>
      </c>
      <c r="R330" s="34" t="s">
        <v>50</v>
      </c>
      <c r="S330" s="35" t="n">
        <f>150290</f>
        <v>150290.0</v>
      </c>
      <c r="T330" s="32" t="n">
        <f>78712</f>
        <v>78712.0</v>
      </c>
      <c r="U330" s="32" t="n">
        <f>15599</f>
        <v>15599.0</v>
      </c>
      <c r="V330" s="32" t="n">
        <f>11841372307</f>
        <v>1.1841372307E10</v>
      </c>
      <c r="W330" s="32" t="n">
        <f>2346845307</f>
        <v>2.346845307E9</v>
      </c>
      <c r="X330" s="36" t="n">
        <f>20</f>
        <v>20.0</v>
      </c>
    </row>
    <row r="331">
      <c r="A331" s="27" t="s">
        <v>42</v>
      </c>
      <c r="B331" s="27" t="s">
        <v>1043</v>
      </c>
      <c r="C331" s="27" t="s">
        <v>1044</v>
      </c>
      <c r="D331" s="27" t="s">
        <v>1045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156200</f>
        <v>156200.0</v>
      </c>
      <c r="L331" s="34" t="s">
        <v>48</v>
      </c>
      <c r="M331" s="33" t="n">
        <f>160100</f>
        <v>160100.0</v>
      </c>
      <c r="N331" s="34" t="s">
        <v>50</v>
      </c>
      <c r="O331" s="33" t="n">
        <f>150300</f>
        <v>150300.0</v>
      </c>
      <c r="P331" s="34" t="s">
        <v>104</v>
      </c>
      <c r="Q331" s="33" t="n">
        <f>160100</f>
        <v>160100.0</v>
      </c>
      <c r="R331" s="34" t="s">
        <v>50</v>
      </c>
      <c r="S331" s="35" t="n">
        <f>155305</f>
        <v>155305.0</v>
      </c>
      <c r="T331" s="32" t="n">
        <f>102517</f>
        <v>102517.0</v>
      </c>
      <c r="U331" s="32" t="n">
        <f>19661</f>
        <v>19661.0</v>
      </c>
      <c r="V331" s="32" t="n">
        <f>15949124959</f>
        <v>1.5949124959E10</v>
      </c>
      <c r="W331" s="32" t="n">
        <f>3056079859</f>
        <v>3.056079859E9</v>
      </c>
      <c r="X331" s="36" t="n">
        <f>20</f>
        <v>20.0</v>
      </c>
    </row>
    <row r="332">
      <c r="A332" s="27" t="s">
        <v>42</v>
      </c>
      <c r="B332" s="27" t="s">
        <v>1046</v>
      </c>
      <c r="C332" s="27" t="s">
        <v>1047</v>
      </c>
      <c r="D332" s="27" t="s">
        <v>1048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352500</f>
        <v>352500.0</v>
      </c>
      <c r="L332" s="34" t="s">
        <v>48</v>
      </c>
      <c r="M332" s="33" t="n">
        <f>358000</f>
        <v>358000.0</v>
      </c>
      <c r="N332" s="34" t="s">
        <v>50</v>
      </c>
      <c r="O332" s="33" t="n">
        <f>343000</f>
        <v>343000.0</v>
      </c>
      <c r="P332" s="34" t="s">
        <v>80</v>
      </c>
      <c r="Q332" s="33" t="n">
        <f>358000</f>
        <v>358000.0</v>
      </c>
      <c r="R332" s="34" t="s">
        <v>50</v>
      </c>
      <c r="S332" s="35" t="n">
        <f>350850</f>
        <v>350850.0</v>
      </c>
      <c r="T332" s="32" t="n">
        <f>83011</f>
        <v>83011.0</v>
      </c>
      <c r="U332" s="32" t="n">
        <f>19099</f>
        <v>19099.0</v>
      </c>
      <c r="V332" s="32" t="n">
        <f>29090210583</f>
        <v>2.9090210583E10</v>
      </c>
      <c r="W332" s="32" t="n">
        <f>6693239583</f>
        <v>6.693239583E9</v>
      </c>
      <c r="X332" s="36" t="n">
        <f>20</f>
        <v>20.0</v>
      </c>
    </row>
    <row r="333">
      <c r="A333" s="27" t="s">
        <v>42</v>
      </c>
      <c r="B333" s="27" t="s">
        <v>1049</v>
      </c>
      <c r="C333" s="27" t="s">
        <v>1050</v>
      </c>
      <c r="D333" s="27" t="s">
        <v>1051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213300</f>
        <v>213300.0</v>
      </c>
      <c r="L333" s="34" t="s">
        <v>48</v>
      </c>
      <c r="M333" s="33" t="n">
        <f>215000</f>
        <v>215000.0</v>
      </c>
      <c r="N333" s="34" t="s">
        <v>347</v>
      </c>
      <c r="O333" s="33" t="n">
        <f>206200</f>
        <v>206200.0</v>
      </c>
      <c r="P333" s="34" t="s">
        <v>168</v>
      </c>
      <c r="Q333" s="33" t="n">
        <f>213800</f>
        <v>213800.0</v>
      </c>
      <c r="R333" s="34" t="s">
        <v>50</v>
      </c>
      <c r="S333" s="35" t="n">
        <f>211105</f>
        <v>211105.0</v>
      </c>
      <c r="T333" s="32" t="n">
        <f>48345</f>
        <v>48345.0</v>
      </c>
      <c r="U333" s="32" t="n">
        <f>10505</f>
        <v>10505.0</v>
      </c>
      <c r="V333" s="32" t="n">
        <f>10202104767</f>
        <v>1.0202104767E10</v>
      </c>
      <c r="W333" s="32" t="n">
        <f>2219553467</f>
        <v>2.219553467E9</v>
      </c>
      <c r="X333" s="36" t="n">
        <f>20</f>
        <v>20.0</v>
      </c>
    </row>
    <row r="334">
      <c r="A334" s="27" t="s">
        <v>42</v>
      </c>
      <c r="B334" s="27" t="s">
        <v>1052</v>
      </c>
      <c r="C334" s="27" t="s">
        <v>1053</v>
      </c>
      <c r="D334" s="27" t="s">
        <v>1054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397500</f>
        <v>397500.0</v>
      </c>
      <c r="L334" s="34" t="s">
        <v>48</v>
      </c>
      <c r="M334" s="33" t="n">
        <f>411000</f>
        <v>411000.0</v>
      </c>
      <c r="N334" s="34" t="s">
        <v>50</v>
      </c>
      <c r="O334" s="33" t="n">
        <f>393500</f>
        <v>393500.0</v>
      </c>
      <c r="P334" s="34" t="s">
        <v>48</v>
      </c>
      <c r="Q334" s="33" t="n">
        <f>393500</f>
        <v>393500.0</v>
      </c>
      <c r="R334" s="34" t="s">
        <v>50</v>
      </c>
      <c r="S334" s="35" t="n">
        <f>401675</f>
        <v>401675.0</v>
      </c>
      <c r="T334" s="32" t="n">
        <f>53502</f>
        <v>53502.0</v>
      </c>
      <c r="U334" s="32" t="n">
        <f>9402</f>
        <v>9402.0</v>
      </c>
      <c r="V334" s="32" t="n">
        <f>21504853075</f>
        <v>2.1504853075E10</v>
      </c>
      <c r="W334" s="32" t="n">
        <f>3774358575</f>
        <v>3.774358575E9</v>
      </c>
      <c r="X334" s="36" t="n">
        <f>20</f>
        <v>20.0</v>
      </c>
    </row>
    <row r="335">
      <c r="A335" s="27" t="s">
        <v>42</v>
      </c>
      <c r="B335" s="27" t="s">
        <v>1055</v>
      </c>
      <c r="C335" s="27" t="s">
        <v>1056</v>
      </c>
      <c r="D335" s="27" t="s">
        <v>1057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155500</f>
        <v>155500.0</v>
      </c>
      <c r="L335" s="34" t="s">
        <v>48</v>
      </c>
      <c r="M335" s="33" t="n">
        <f>156900</f>
        <v>156900.0</v>
      </c>
      <c r="N335" s="34" t="s">
        <v>61</v>
      </c>
      <c r="O335" s="33" t="n">
        <f>143900</f>
        <v>143900.0</v>
      </c>
      <c r="P335" s="34" t="s">
        <v>168</v>
      </c>
      <c r="Q335" s="33" t="n">
        <f>147800</f>
        <v>147800.0</v>
      </c>
      <c r="R335" s="34" t="s">
        <v>50</v>
      </c>
      <c r="S335" s="35" t="n">
        <f>150080</f>
        <v>150080.0</v>
      </c>
      <c r="T335" s="32" t="n">
        <f>535050</f>
        <v>535050.0</v>
      </c>
      <c r="U335" s="32" t="n">
        <f>100678</f>
        <v>100678.0</v>
      </c>
      <c r="V335" s="32" t="n">
        <f>79398645310</f>
        <v>7.939864531E10</v>
      </c>
      <c r="W335" s="32" t="n">
        <f>14946702710</f>
        <v>1.494670271E10</v>
      </c>
      <c r="X335" s="36" t="n">
        <f>20</f>
        <v>20.0</v>
      </c>
    </row>
    <row r="336">
      <c r="A336" s="27" t="s">
        <v>42</v>
      </c>
      <c r="B336" s="27" t="s">
        <v>1058</v>
      </c>
      <c r="C336" s="27" t="s">
        <v>1059</v>
      </c>
      <c r="D336" s="27" t="s">
        <v>1060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339500</f>
        <v>339500.0</v>
      </c>
      <c r="L336" s="34" t="s">
        <v>48</v>
      </c>
      <c r="M336" s="33" t="n">
        <f>344500</f>
        <v>344500.0</v>
      </c>
      <c r="N336" s="34" t="s">
        <v>347</v>
      </c>
      <c r="O336" s="33" t="n">
        <f>327500</f>
        <v>327500.0</v>
      </c>
      <c r="P336" s="34" t="s">
        <v>104</v>
      </c>
      <c r="Q336" s="33" t="n">
        <f>338500</f>
        <v>338500.0</v>
      </c>
      <c r="R336" s="34" t="s">
        <v>50</v>
      </c>
      <c r="S336" s="35" t="n">
        <f>337025</f>
        <v>337025.0</v>
      </c>
      <c r="T336" s="32" t="n">
        <f>43397</f>
        <v>43397.0</v>
      </c>
      <c r="U336" s="32" t="n">
        <f>8065</f>
        <v>8065.0</v>
      </c>
      <c r="V336" s="32" t="n">
        <f>14611014506</f>
        <v>1.4611014506E10</v>
      </c>
      <c r="W336" s="32" t="n">
        <f>2713642506</f>
        <v>2.713642506E9</v>
      </c>
      <c r="X336" s="36" t="n">
        <f>20</f>
        <v>20.0</v>
      </c>
    </row>
    <row r="337">
      <c r="A337" s="27" t="s">
        <v>42</v>
      </c>
      <c r="B337" s="27" t="s">
        <v>1061</v>
      </c>
      <c r="C337" s="27" t="s">
        <v>1062</v>
      </c>
      <c r="D337" s="27" t="s">
        <v>1063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310000</f>
        <v>310000.0</v>
      </c>
      <c r="L337" s="34" t="s">
        <v>48</v>
      </c>
      <c r="M337" s="33" t="n">
        <f>323500</f>
        <v>323500.0</v>
      </c>
      <c r="N337" s="34" t="s">
        <v>411</v>
      </c>
      <c r="O337" s="33" t="n">
        <f>292200</f>
        <v>292200.0</v>
      </c>
      <c r="P337" s="34" t="s">
        <v>50</v>
      </c>
      <c r="Q337" s="33" t="n">
        <f>292200</f>
        <v>292200.0</v>
      </c>
      <c r="R337" s="34" t="s">
        <v>50</v>
      </c>
      <c r="S337" s="35" t="n">
        <f>308545</f>
        <v>308545.0</v>
      </c>
      <c r="T337" s="32" t="n">
        <f>228857</f>
        <v>228857.0</v>
      </c>
      <c r="U337" s="32" t="n">
        <f>34281</f>
        <v>34281.0</v>
      </c>
      <c r="V337" s="32" t="n">
        <f>69447652504</f>
        <v>6.9447652504E10</v>
      </c>
      <c r="W337" s="32" t="n">
        <f>10556739804</f>
        <v>1.0556739804E10</v>
      </c>
      <c r="X337" s="36" t="n">
        <f>20</f>
        <v>20.0</v>
      </c>
    </row>
    <row r="338">
      <c r="A338" s="27" t="s">
        <v>42</v>
      </c>
      <c r="B338" s="27" t="s">
        <v>1064</v>
      </c>
      <c r="C338" s="27" t="s">
        <v>1065</v>
      </c>
      <c r="D338" s="27" t="s">
        <v>1066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711000</f>
        <v>711000.0</v>
      </c>
      <c r="L338" s="34" t="s">
        <v>48</v>
      </c>
      <c r="M338" s="33" t="n">
        <f>733000</f>
        <v>733000.0</v>
      </c>
      <c r="N338" s="34" t="s">
        <v>61</v>
      </c>
      <c r="O338" s="33" t="n">
        <f>671000</f>
        <v>671000.0</v>
      </c>
      <c r="P338" s="34" t="s">
        <v>104</v>
      </c>
      <c r="Q338" s="33" t="n">
        <f>685000</f>
        <v>685000.0</v>
      </c>
      <c r="R338" s="34" t="s">
        <v>50</v>
      </c>
      <c r="S338" s="35" t="n">
        <f>704100</f>
        <v>704100.0</v>
      </c>
      <c r="T338" s="32" t="n">
        <f>21495</f>
        <v>21495.0</v>
      </c>
      <c r="U338" s="32" t="n">
        <f>3342</f>
        <v>3342.0</v>
      </c>
      <c r="V338" s="32" t="n">
        <f>15018102998</f>
        <v>1.5018102998E10</v>
      </c>
      <c r="W338" s="32" t="n">
        <f>2345796998</f>
        <v>2.345796998E9</v>
      </c>
      <c r="X338" s="36" t="n">
        <f>20</f>
        <v>20.0</v>
      </c>
    </row>
    <row r="339">
      <c r="A339" s="27" t="s">
        <v>42</v>
      </c>
      <c r="B339" s="27" t="s">
        <v>1067</v>
      </c>
      <c r="C339" s="27" t="s">
        <v>1068</v>
      </c>
      <c r="D339" s="27" t="s">
        <v>1069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240500</f>
        <v>240500.0</v>
      </c>
      <c r="L339" s="34" t="s">
        <v>48</v>
      </c>
      <c r="M339" s="33" t="n">
        <f>241300</f>
        <v>241300.0</v>
      </c>
      <c r="N339" s="34" t="s">
        <v>50</v>
      </c>
      <c r="O339" s="33" t="n">
        <f>230200</f>
        <v>230200.0</v>
      </c>
      <c r="P339" s="34" t="s">
        <v>70</v>
      </c>
      <c r="Q339" s="33" t="n">
        <f>241300</f>
        <v>241300.0</v>
      </c>
      <c r="R339" s="34" t="s">
        <v>50</v>
      </c>
      <c r="S339" s="35" t="n">
        <f>236685</f>
        <v>236685.0</v>
      </c>
      <c r="T339" s="32" t="n">
        <f>39212</f>
        <v>39212.0</v>
      </c>
      <c r="U339" s="32" t="n">
        <f>10277</f>
        <v>10277.0</v>
      </c>
      <c r="V339" s="32" t="n">
        <f>9260117394</f>
        <v>9.260117394E9</v>
      </c>
      <c r="W339" s="32" t="n">
        <f>2421519394</f>
        <v>2.421519394E9</v>
      </c>
      <c r="X339" s="36" t="n">
        <f>20</f>
        <v>20.0</v>
      </c>
    </row>
    <row r="340">
      <c r="A340" s="27" t="s">
        <v>42</v>
      </c>
      <c r="B340" s="27" t="s">
        <v>1070</v>
      </c>
      <c r="C340" s="27" t="s">
        <v>1071</v>
      </c>
      <c r="D340" s="27" t="s">
        <v>1072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155600</f>
        <v>155600.0</v>
      </c>
      <c r="L340" s="34" t="s">
        <v>48</v>
      </c>
      <c r="M340" s="33" t="n">
        <f>160600</f>
        <v>160600.0</v>
      </c>
      <c r="N340" s="34" t="s">
        <v>50</v>
      </c>
      <c r="O340" s="33" t="n">
        <f>154300</f>
        <v>154300.0</v>
      </c>
      <c r="P340" s="34" t="s">
        <v>80</v>
      </c>
      <c r="Q340" s="33" t="n">
        <f>160600</f>
        <v>160600.0</v>
      </c>
      <c r="R340" s="34" t="s">
        <v>50</v>
      </c>
      <c r="S340" s="35" t="n">
        <f>156755</f>
        <v>156755.0</v>
      </c>
      <c r="T340" s="32" t="n">
        <f>87022</f>
        <v>87022.0</v>
      </c>
      <c r="U340" s="32" t="n">
        <f>17632</f>
        <v>17632.0</v>
      </c>
      <c r="V340" s="32" t="n">
        <f>13648856260</f>
        <v>1.364885626E10</v>
      </c>
      <c r="W340" s="32" t="n">
        <f>2761159560</f>
        <v>2.76115956E9</v>
      </c>
      <c r="X340" s="36" t="n">
        <f>20</f>
        <v>20.0</v>
      </c>
    </row>
    <row r="341">
      <c r="A341" s="27" t="s">
        <v>42</v>
      </c>
      <c r="B341" s="27" t="s">
        <v>1073</v>
      </c>
      <c r="C341" s="27" t="s">
        <v>1074</v>
      </c>
      <c r="D341" s="27" t="s">
        <v>1075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156700</f>
        <v>156700.0</v>
      </c>
      <c r="L341" s="34" t="s">
        <v>48</v>
      </c>
      <c r="M341" s="33" t="n">
        <f>165400</f>
        <v>165400.0</v>
      </c>
      <c r="N341" s="34" t="s">
        <v>50</v>
      </c>
      <c r="O341" s="33" t="n">
        <f>152200</f>
        <v>152200.0</v>
      </c>
      <c r="P341" s="34" t="s">
        <v>91</v>
      </c>
      <c r="Q341" s="33" t="n">
        <f>158700</f>
        <v>158700.0</v>
      </c>
      <c r="R341" s="34" t="s">
        <v>50</v>
      </c>
      <c r="S341" s="35" t="n">
        <f>156860</f>
        <v>156860.0</v>
      </c>
      <c r="T341" s="32" t="n">
        <f>65707</f>
        <v>65707.0</v>
      </c>
      <c r="U341" s="32" t="n">
        <f>12275</f>
        <v>12275.0</v>
      </c>
      <c r="V341" s="32" t="n">
        <f>10350678125</f>
        <v>1.0350678125E10</v>
      </c>
      <c r="W341" s="32" t="n">
        <f>1930566625</f>
        <v>1.930566625E9</v>
      </c>
      <c r="X341" s="36" t="n">
        <f>20</f>
        <v>20.0</v>
      </c>
    </row>
    <row r="342">
      <c r="A342" s="27" t="s">
        <v>42</v>
      </c>
      <c r="B342" s="27" t="s">
        <v>1076</v>
      </c>
      <c r="C342" s="27" t="s">
        <v>1077</v>
      </c>
      <c r="D342" s="27" t="s">
        <v>1078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320000</f>
        <v>320000.0</v>
      </c>
      <c r="L342" s="34" t="s">
        <v>48</v>
      </c>
      <c r="M342" s="33" t="n">
        <f>339000</f>
        <v>339000.0</v>
      </c>
      <c r="N342" s="34" t="s">
        <v>62</v>
      </c>
      <c r="O342" s="33" t="n">
        <f>317500</f>
        <v>317500.0</v>
      </c>
      <c r="P342" s="34" t="s">
        <v>80</v>
      </c>
      <c r="Q342" s="33" t="n">
        <f>326000</f>
        <v>326000.0</v>
      </c>
      <c r="R342" s="34" t="s">
        <v>50</v>
      </c>
      <c r="S342" s="35" t="n">
        <f>328050</f>
        <v>328050.0</v>
      </c>
      <c r="T342" s="32" t="n">
        <f>33245</f>
        <v>33245.0</v>
      </c>
      <c r="U342" s="32" t="n">
        <f>6884</f>
        <v>6884.0</v>
      </c>
      <c r="V342" s="32" t="n">
        <f>10926830671</f>
        <v>1.0926830671E10</v>
      </c>
      <c r="W342" s="32" t="n">
        <f>2258317671</f>
        <v>2.258317671E9</v>
      </c>
      <c r="X342" s="36" t="n">
        <f>20</f>
        <v>20.0</v>
      </c>
    </row>
    <row r="343">
      <c r="A343" s="27" t="s">
        <v>42</v>
      </c>
      <c r="B343" s="27" t="s">
        <v>1079</v>
      </c>
      <c r="C343" s="27" t="s">
        <v>1080</v>
      </c>
      <c r="D343" s="27" t="s">
        <v>1081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77200</f>
        <v>77200.0</v>
      </c>
      <c r="L343" s="34" t="s">
        <v>48</v>
      </c>
      <c r="M343" s="33" t="n">
        <f>83400</f>
        <v>83400.0</v>
      </c>
      <c r="N343" s="34" t="s">
        <v>50</v>
      </c>
      <c r="O343" s="33" t="n">
        <f>76400</f>
        <v>76400.0</v>
      </c>
      <c r="P343" s="34" t="s">
        <v>80</v>
      </c>
      <c r="Q343" s="33" t="n">
        <f>79500</f>
        <v>79500.0</v>
      </c>
      <c r="R343" s="34" t="s">
        <v>50</v>
      </c>
      <c r="S343" s="35" t="n">
        <f>79565</f>
        <v>79565.0</v>
      </c>
      <c r="T343" s="32" t="n">
        <f>325972</f>
        <v>325972.0</v>
      </c>
      <c r="U343" s="32" t="n">
        <f>76675</f>
        <v>76675.0</v>
      </c>
      <c r="V343" s="32" t="n">
        <f>25952217639</f>
        <v>2.5952217639E10</v>
      </c>
      <c r="W343" s="32" t="n">
        <f>6100384839</f>
        <v>6.100384839E9</v>
      </c>
      <c r="X343" s="36" t="n">
        <f>20</f>
        <v>20.0</v>
      </c>
    </row>
    <row r="344">
      <c r="A344" s="27" t="s">
        <v>42</v>
      </c>
      <c r="B344" s="27" t="s">
        <v>1082</v>
      </c>
      <c r="C344" s="27" t="s">
        <v>1083</v>
      </c>
      <c r="D344" s="27" t="s">
        <v>1084</v>
      </c>
      <c r="E344" s="28" t="s">
        <v>46</v>
      </c>
      <c r="F344" s="29" t="s">
        <v>46</v>
      </c>
      <c r="G344" s="30" t="s">
        <v>46</v>
      </c>
      <c r="H344" s="31"/>
      <c r="I344" s="31" t="s">
        <v>586</v>
      </c>
      <c r="J344" s="32" t="n">
        <v>1.0</v>
      </c>
      <c r="K344" s="33" t="n">
        <f>129800</f>
        <v>129800.0</v>
      </c>
      <c r="L344" s="34" t="s">
        <v>48</v>
      </c>
      <c r="M344" s="33" t="n">
        <f>131600</f>
        <v>131600.0</v>
      </c>
      <c r="N344" s="34" t="s">
        <v>50</v>
      </c>
      <c r="O344" s="33" t="n">
        <f>128000</f>
        <v>128000.0</v>
      </c>
      <c r="P344" s="34" t="s">
        <v>49</v>
      </c>
      <c r="Q344" s="33" t="n">
        <f>131200</f>
        <v>131200.0</v>
      </c>
      <c r="R344" s="34" t="s">
        <v>50</v>
      </c>
      <c r="S344" s="35" t="n">
        <f>129945</f>
        <v>129945.0</v>
      </c>
      <c r="T344" s="32" t="n">
        <f>18344</f>
        <v>18344.0</v>
      </c>
      <c r="U344" s="32" t="n">
        <f>1772</f>
        <v>1772.0</v>
      </c>
      <c r="V344" s="32" t="n">
        <f>2384690823</f>
        <v>2.384690823E9</v>
      </c>
      <c r="W344" s="32" t="n">
        <f>230302523</f>
        <v>2.30302523E8</v>
      </c>
      <c r="X344" s="36" t="n">
        <f>20</f>
        <v>20.0</v>
      </c>
    </row>
    <row r="345">
      <c r="A345" s="27" t="s">
        <v>42</v>
      </c>
      <c r="B345" s="27" t="s">
        <v>1085</v>
      </c>
      <c r="C345" s="27" t="s">
        <v>1086</v>
      </c>
      <c r="D345" s="27" t="s">
        <v>1087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244700</f>
        <v>244700.0</v>
      </c>
      <c r="L345" s="34" t="s">
        <v>48</v>
      </c>
      <c r="M345" s="33" t="n">
        <f>251000</f>
        <v>251000.0</v>
      </c>
      <c r="N345" s="34" t="s">
        <v>50</v>
      </c>
      <c r="O345" s="33" t="n">
        <f>241300</f>
        <v>241300.0</v>
      </c>
      <c r="P345" s="34" t="s">
        <v>66</v>
      </c>
      <c r="Q345" s="33" t="n">
        <f>251000</f>
        <v>251000.0</v>
      </c>
      <c r="R345" s="34" t="s">
        <v>50</v>
      </c>
      <c r="S345" s="35" t="n">
        <f>245840</f>
        <v>245840.0</v>
      </c>
      <c r="T345" s="32" t="n">
        <f>35779</f>
        <v>35779.0</v>
      </c>
      <c r="U345" s="32" t="n">
        <f>5645</f>
        <v>5645.0</v>
      </c>
      <c r="V345" s="32" t="n">
        <f>8806438150</f>
        <v>8.80643815E9</v>
      </c>
      <c r="W345" s="32" t="n">
        <f>1387623950</f>
        <v>1.38762395E9</v>
      </c>
      <c r="X345" s="36" t="n">
        <f>20</f>
        <v>20.0</v>
      </c>
    </row>
    <row r="346">
      <c r="A346" s="27" t="s">
        <v>42</v>
      </c>
      <c r="B346" s="27" t="s">
        <v>1088</v>
      </c>
      <c r="C346" s="27" t="s">
        <v>1089</v>
      </c>
      <c r="D346" s="27" t="s">
        <v>1090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164100</f>
        <v>164100.0</v>
      </c>
      <c r="L346" s="34" t="s">
        <v>48</v>
      </c>
      <c r="M346" s="33" t="n">
        <f>168500</f>
        <v>168500.0</v>
      </c>
      <c r="N346" s="34" t="s">
        <v>258</v>
      </c>
      <c r="O346" s="33" t="n">
        <f>161600</f>
        <v>161600.0</v>
      </c>
      <c r="P346" s="34" t="s">
        <v>80</v>
      </c>
      <c r="Q346" s="33" t="n">
        <f>161700</f>
        <v>161700.0</v>
      </c>
      <c r="R346" s="34" t="s">
        <v>50</v>
      </c>
      <c r="S346" s="35" t="n">
        <f>164325</f>
        <v>164325.0</v>
      </c>
      <c r="T346" s="32" t="n">
        <f>13091</f>
        <v>13091.0</v>
      </c>
      <c r="U346" s="32" t="n">
        <f>2659</f>
        <v>2659.0</v>
      </c>
      <c r="V346" s="32" t="n">
        <f>2150897000</f>
        <v>2.150897E9</v>
      </c>
      <c r="W346" s="32" t="n">
        <f>436670200</f>
        <v>4.366702E8</v>
      </c>
      <c r="X346" s="36" t="n">
        <f>20</f>
        <v>20.0</v>
      </c>
    </row>
    <row r="347">
      <c r="A347" s="27" t="s">
        <v>42</v>
      </c>
      <c r="B347" s="27" t="s">
        <v>1091</v>
      </c>
      <c r="C347" s="27" t="s">
        <v>1092</v>
      </c>
      <c r="D347" s="27" t="s">
        <v>1093</v>
      </c>
      <c r="E347" s="28" t="s">
        <v>46</v>
      </c>
      <c r="F347" s="29" t="s">
        <v>46</v>
      </c>
      <c r="G347" s="30" t="s">
        <v>46</v>
      </c>
      <c r="H347" s="31"/>
      <c r="I347" s="31" t="s">
        <v>586</v>
      </c>
      <c r="J347" s="32" t="n">
        <v>1.0</v>
      </c>
      <c r="K347" s="33" t="n">
        <f>116000</f>
        <v>116000.0</v>
      </c>
      <c r="L347" s="34" t="s">
        <v>48</v>
      </c>
      <c r="M347" s="33" t="n">
        <f>120000</f>
        <v>120000.0</v>
      </c>
      <c r="N347" s="34" t="s">
        <v>50</v>
      </c>
      <c r="O347" s="33" t="n">
        <f>114100</f>
        <v>114100.0</v>
      </c>
      <c r="P347" s="34" t="s">
        <v>104</v>
      </c>
      <c r="Q347" s="33" t="n">
        <f>120000</f>
        <v>120000.0</v>
      </c>
      <c r="R347" s="34" t="s">
        <v>50</v>
      </c>
      <c r="S347" s="35" t="n">
        <f>116820</f>
        <v>116820.0</v>
      </c>
      <c r="T347" s="32" t="n">
        <f>18766</f>
        <v>18766.0</v>
      </c>
      <c r="U347" s="32" t="n">
        <f>2415</f>
        <v>2415.0</v>
      </c>
      <c r="V347" s="32" t="n">
        <f>2190474813</f>
        <v>2.190474813E9</v>
      </c>
      <c r="W347" s="32" t="n">
        <f>281958313</f>
        <v>2.81958313E8</v>
      </c>
      <c r="X347" s="36" t="n">
        <f>20</f>
        <v>20.0</v>
      </c>
    </row>
    <row r="348">
      <c r="A348" s="27" t="s">
        <v>42</v>
      </c>
      <c r="B348" s="27" t="s">
        <v>1094</v>
      </c>
      <c r="C348" s="27" t="s">
        <v>1095</v>
      </c>
      <c r="D348" s="27" t="s">
        <v>1096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159100</f>
        <v>159100.0</v>
      </c>
      <c r="L348" s="34" t="s">
        <v>48</v>
      </c>
      <c r="M348" s="33" t="n">
        <f>171300</f>
        <v>171300.0</v>
      </c>
      <c r="N348" s="34" t="s">
        <v>50</v>
      </c>
      <c r="O348" s="33" t="n">
        <f>157400</f>
        <v>157400.0</v>
      </c>
      <c r="P348" s="34" t="s">
        <v>80</v>
      </c>
      <c r="Q348" s="33" t="n">
        <f>163900</f>
        <v>163900.0</v>
      </c>
      <c r="R348" s="34" t="s">
        <v>50</v>
      </c>
      <c r="S348" s="35" t="n">
        <f>162320</f>
        <v>162320.0</v>
      </c>
      <c r="T348" s="32" t="n">
        <f>235859</f>
        <v>235859.0</v>
      </c>
      <c r="U348" s="32" t="n">
        <f>41354</f>
        <v>41354.0</v>
      </c>
      <c r="V348" s="32" t="n">
        <f>38472170912</f>
        <v>3.8472170912E10</v>
      </c>
      <c r="W348" s="32" t="n">
        <f>6738934212</f>
        <v>6.738934212E9</v>
      </c>
      <c r="X348" s="36" t="n">
        <f>20</f>
        <v>20.0</v>
      </c>
    </row>
    <row r="349">
      <c r="A349" s="27" t="s">
        <v>42</v>
      </c>
      <c r="B349" s="27" t="s">
        <v>1097</v>
      </c>
      <c r="C349" s="27" t="s">
        <v>1098</v>
      </c>
      <c r="D349" s="27" t="s">
        <v>1099</v>
      </c>
      <c r="E349" s="28" t="s">
        <v>46</v>
      </c>
      <c r="F349" s="29" t="s">
        <v>46</v>
      </c>
      <c r="G349" s="30" t="s">
        <v>46</v>
      </c>
      <c r="H349" s="31"/>
      <c r="I349" s="31" t="s">
        <v>586</v>
      </c>
      <c r="J349" s="32" t="n">
        <v>1.0</v>
      </c>
      <c r="K349" s="33" t="n">
        <f>106500</f>
        <v>106500.0</v>
      </c>
      <c r="L349" s="34" t="s">
        <v>48</v>
      </c>
      <c r="M349" s="33" t="n">
        <f>108600</f>
        <v>108600.0</v>
      </c>
      <c r="N349" s="34" t="s">
        <v>54</v>
      </c>
      <c r="O349" s="33" t="n">
        <f>99200</f>
        <v>99200.0</v>
      </c>
      <c r="P349" s="34" t="s">
        <v>104</v>
      </c>
      <c r="Q349" s="33" t="n">
        <f>100800</f>
        <v>100800.0</v>
      </c>
      <c r="R349" s="34" t="s">
        <v>50</v>
      </c>
      <c r="S349" s="35" t="n">
        <f>104385</f>
        <v>104385.0</v>
      </c>
      <c r="T349" s="32" t="n">
        <f>22211</f>
        <v>22211.0</v>
      </c>
      <c r="U349" s="32" t="n">
        <f>1496</f>
        <v>1496.0</v>
      </c>
      <c r="V349" s="32" t="n">
        <f>2314480689</f>
        <v>2.314480689E9</v>
      </c>
      <c r="W349" s="32" t="n">
        <f>156133989</f>
        <v>1.56133989E8</v>
      </c>
      <c r="X349" s="36" t="n">
        <f>20</f>
        <v>20.0</v>
      </c>
    </row>
    <row r="350">
      <c r="A350" s="27" t="s">
        <v>42</v>
      </c>
      <c r="B350" s="27" t="s">
        <v>1100</v>
      </c>
      <c r="C350" s="27" t="s">
        <v>1101</v>
      </c>
      <c r="D350" s="27" t="s">
        <v>1102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161500</f>
        <v>161500.0</v>
      </c>
      <c r="L350" s="34" t="s">
        <v>48</v>
      </c>
      <c r="M350" s="33" t="n">
        <f>167900</f>
        <v>167900.0</v>
      </c>
      <c r="N350" s="34" t="s">
        <v>50</v>
      </c>
      <c r="O350" s="33" t="n">
        <f>158100</f>
        <v>158100.0</v>
      </c>
      <c r="P350" s="34" t="s">
        <v>168</v>
      </c>
      <c r="Q350" s="33" t="n">
        <f>167900</f>
        <v>167900.0</v>
      </c>
      <c r="R350" s="34" t="s">
        <v>50</v>
      </c>
      <c r="S350" s="35" t="n">
        <f>162700</f>
        <v>162700.0</v>
      </c>
      <c r="T350" s="32" t="n">
        <f>75445</f>
        <v>75445.0</v>
      </c>
      <c r="U350" s="32" t="n">
        <f>14655</f>
        <v>14655.0</v>
      </c>
      <c r="V350" s="32" t="n">
        <f>12279296784</f>
        <v>1.2279296784E10</v>
      </c>
      <c r="W350" s="32" t="n">
        <f>2382606684</f>
        <v>2.382606684E9</v>
      </c>
      <c r="X350" s="36" t="n">
        <f>20</f>
        <v>20.0</v>
      </c>
    </row>
    <row r="351">
      <c r="A351" s="27" t="s">
        <v>42</v>
      </c>
      <c r="B351" s="27" t="s">
        <v>1103</v>
      </c>
      <c r="C351" s="27" t="s">
        <v>1104</v>
      </c>
      <c r="D351" s="27" t="s">
        <v>1105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56100</f>
        <v>56100.0</v>
      </c>
      <c r="L351" s="34" t="s">
        <v>48</v>
      </c>
      <c r="M351" s="33" t="n">
        <f>59700</f>
        <v>59700.0</v>
      </c>
      <c r="N351" s="34" t="s">
        <v>50</v>
      </c>
      <c r="O351" s="33" t="n">
        <f>55600</f>
        <v>55600.0</v>
      </c>
      <c r="P351" s="34" t="s">
        <v>80</v>
      </c>
      <c r="Q351" s="33" t="n">
        <f>57500</f>
        <v>57500.0</v>
      </c>
      <c r="R351" s="34" t="s">
        <v>50</v>
      </c>
      <c r="S351" s="35" t="n">
        <f>57265</f>
        <v>57265.0</v>
      </c>
      <c r="T351" s="32" t="n">
        <f>104436</f>
        <v>104436.0</v>
      </c>
      <c r="U351" s="32" t="n">
        <f>25750</f>
        <v>25750.0</v>
      </c>
      <c r="V351" s="32" t="n">
        <f>6006042259</f>
        <v>6.006042259E9</v>
      </c>
      <c r="W351" s="32" t="n">
        <f>1478688859</f>
        <v>1.478688859E9</v>
      </c>
      <c r="X351" s="36" t="n">
        <f>20</f>
        <v>20.0</v>
      </c>
    </row>
    <row r="352">
      <c r="A352" s="27" t="s">
        <v>42</v>
      </c>
      <c r="B352" s="27" t="s">
        <v>1106</v>
      </c>
      <c r="C352" s="27" t="s">
        <v>1107</v>
      </c>
      <c r="D352" s="27" t="s">
        <v>1108</v>
      </c>
      <c r="E352" s="28" t="s">
        <v>46</v>
      </c>
      <c r="F352" s="29" t="s">
        <v>46</v>
      </c>
      <c r="G352" s="30" t="s">
        <v>46</v>
      </c>
      <c r="H352" s="31"/>
      <c r="I352" s="31" t="s">
        <v>586</v>
      </c>
      <c r="J352" s="32" t="n">
        <v>1.0</v>
      </c>
      <c r="K352" s="33" t="n">
        <f>128900</f>
        <v>128900.0</v>
      </c>
      <c r="L352" s="34" t="s">
        <v>48</v>
      </c>
      <c r="M352" s="33" t="n">
        <f>131000</f>
        <v>131000.0</v>
      </c>
      <c r="N352" s="34" t="s">
        <v>50</v>
      </c>
      <c r="O352" s="33" t="n">
        <f>127400</f>
        <v>127400.0</v>
      </c>
      <c r="P352" s="34" t="s">
        <v>91</v>
      </c>
      <c r="Q352" s="33" t="n">
        <f>130400</f>
        <v>130400.0</v>
      </c>
      <c r="R352" s="34" t="s">
        <v>50</v>
      </c>
      <c r="S352" s="35" t="n">
        <f>128880</f>
        <v>128880.0</v>
      </c>
      <c r="T352" s="32" t="n">
        <f>14277</f>
        <v>14277.0</v>
      </c>
      <c r="U352" s="32" t="n">
        <f>1514</f>
        <v>1514.0</v>
      </c>
      <c r="V352" s="32" t="n">
        <f>1839785991</f>
        <v>1.839785991E9</v>
      </c>
      <c r="W352" s="32" t="n">
        <f>195067891</f>
        <v>1.95067891E8</v>
      </c>
      <c r="X352" s="36" t="n">
        <f>20</f>
        <v>20.0</v>
      </c>
    </row>
    <row r="353">
      <c r="A353" s="27" t="s">
        <v>42</v>
      </c>
      <c r="B353" s="27" t="s">
        <v>1109</v>
      </c>
      <c r="C353" s="27" t="s">
        <v>1110</v>
      </c>
      <c r="D353" s="27" t="s">
        <v>1111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511000</f>
        <v>511000.0</v>
      </c>
      <c r="L353" s="34" t="s">
        <v>48</v>
      </c>
      <c r="M353" s="33" t="n">
        <f>533000</f>
        <v>533000.0</v>
      </c>
      <c r="N353" s="34" t="s">
        <v>61</v>
      </c>
      <c r="O353" s="33" t="n">
        <f>491500</f>
        <v>491500.0</v>
      </c>
      <c r="P353" s="34" t="s">
        <v>104</v>
      </c>
      <c r="Q353" s="33" t="n">
        <f>502000</f>
        <v>502000.0</v>
      </c>
      <c r="R353" s="34" t="s">
        <v>50</v>
      </c>
      <c r="S353" s="35" t="n">
        <f>507975</f>
        <v>507975.0</v>
      </c>
      <c r="T353" s="32" t="n">
        <f>37439</f>
        <v>37439.0</v>
      </c>
      <c r="U353" s="32" t="n">
        <f>8953</f>
        <v>8953.0</v>
      </c>
      <c r="V353" s="32" t="n">
        <f>19061494556</f>
        <v>1.9061494556E10</v>
      </c>
      <c r="W353" s="32" t="n">
        <f>4570893056</f>
        <v>4.570893056E9</v>
      </c>
      <c r="X353" s="36" t="n">
        <f>20</f>
        <v>20.0</v>
      </c>
    </row>
    <row r="354">
      <c r="A354" s="27" t="s">
        <v>42</v>
      </c>
      <c r="B354" s="27" t="s">
        <v>1112</v>
      </c>
      <c r="C354" s="27" t="s">
        <v>1113</v>
      </c>
      <c r="D354" s="27" t="s">
        <v>1114</v>
      </c>
      <c r="E354" s="28" t="s">
        <v>46</v>
      </c>
      <c r="F354" s="29" t="s">
        <v>46</v>
      </c>
      <c r="G354" s="30" t="s">
        <v>46</v>
      </c>
      <c r="H354" s="31"/>
      <c r="I354" s="31" t="s">
        <v>586</v>
      </c>
      <c r="J354" s="32" t="n">
        <v>1.0</v>
      </c>
      <c r="K354" s="33" t="n">
        <f>66000</f>
        <v>66000.0</v>
      </c>
      <c r="L354" s="34" t="s">
        <v>48</v>
      </c>
      <c r="M354" s="33" t="n">
        <f>70000</f>
        <v>70000.0</v>
      </c>
      <c r="N354" s="34" t="s">
        <v>90</v>
      </c>
      <c r="O354" s="33" t="n">
        <f>64200</f>
        <v>64200.0</v>
      </c>
      <c r="P354" s="34" t="s">
        <v>62</v>
      </c>
      <c r="Q354" s="33" t="n">
        <f>65100</f>
        <v>65100.0</v>
      </c>
      <c r="R354" s="34" t="s">
        <v>50</v>
      </c>
      <c r="S354" s="35" t="n">
        <f>67125</f>
        <v>67125.0</v>
      </c>
      <c r="T354" s="32" t="n">
        <f>22581</f>
        <v>22581.0</v>
      </c>
      <c r="U354" s="32" t="n">
        <f>1846</f>
        <v>1846.0</v>
      </c>
      <c r="V354" s="32" t="n">
        <f>1516760555</f>
        <v>1.516760555E9</v>
      </c>
      <c r="W354" s="32" t="n">
        <f>124003155</f>
        <v>1.24003155E8</v>
      </c>
      <c r="X354" s="36" t="n">
        <f>20</f>
        <v>20.0</v>
      </c>
    </row>
    <row r="355">
      <c r="A355" s="27" t="s">
        <v>42</v>
      </c>
      <c r="B355" s="27" t="s">
        <v>1115</v>
      </c>
      <c r="C355" s="27" t="s">
        <v>1116</v>
      </c>
      <c r="D355" s="27" t="s">
        <v>1117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45500</f>
        <v>45500.0</v>
      </c>
      <c r="L355" s="34" t="s">
        <v>48</v>
      </c>
      <c r="M355" s="33" t="n">
        <f>47100</f>
        <v>47100.0</v>
      </c>
      <c r="N355" s="34" t="s">
        <v>50</v>
      </c>
      <c r="O355" s="33" t="n">
        <f>45100</f>
        <v>45100.0</v>
      </c>
      <c r="P355" s="34" t="s">
        <v>48</v>
      </c>
      <c r="Q355" s="33" t="n">
        <f>47100</f>
        <v>47100.0</v>
      </c>
      <c r="R355" s="34" t="s">
        <v>50</v>
      </c>
      <c r="S355" s="35" t="n">
        <f>45765</f>
        <v>45765.0</v>
      </c>
      <c r="T355" s="32" t="n">
        <f>113488</f>
        <v>113488.0</v>
      </c>
      <c r="U355" s="32" t="n">
        <f>16096</f>
        <v>16096.0</v>
      </c>
      <c r="V355" s="32" t="n">
        <f>5192126155</f>
        <v>5.192126155E9</v>
      </c>
      <c r="W355" s="32" t="n">
        <f>735380255</f>
        <v>7.35380255E8</v>
      </c>
      <c r="X355" s="36" t="n">
        <f>20</f>
        <v>20.0</v>
      </c>
    </row>
    <row r="356">
      <c r="A356" s="27" t="s">
        <v>42</v>
      </c>
      <c r="B356" s="27" t="s">
        <v>1118</v>
      </c>
      <c r="C356" s="27" t="s">
        <v>1119</v>
      </c>
      <c r="D356" s="27" t="s">
        <v>1120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418500</f>
        <v>418500.0</v>
      </c>
      <c r="L356" s="34" t="s">
        <v>48</v>
      </c>
      <c r="M356" s="33" t="n">
        <f>435000</f>
        <v>435000.0</v>
      </c>
      <c r="N356" s="34" t="s">
        <v>258</v>
      </c>
      <c r="O356" s="33" t="n">
        <f>414000</f>
        <v>414000.0</v>
      </c>
      <c r="P356" s="34" t="s">
        <v>48</v>
      </c>
      <c r="Q356" s="33" t="n">
        <f>434500</f>
        <v>434500.0</v>
      </c>
      <c r="R356" s="34" t="s">
        <v>50</v>
      </c>
      <c r="S356" s="35" t="n">
        <f>424275</f>
        <v>424275.0</v>
      </c>
      <c r="T356" s="32" t="n">
        <f>32616</f>
        <v>32616.0</v>
      </c>
      <c r="U356" s="32" t="n">
        <f>6984</f>
        <v>6984.0</v>
      </c>
      <c r="V356" s="32" t="n">
        <f>13837044649</f>
        <v>1.3837044649E10</v>
      </c>
      <c r="W356" s="32" t="n">
        <f>2971050149</f>
        <v>2.971050149E9</v>
      </c>
      <c r="X356" s="36" t="n">
        <f>20</f>
        <v>20.0</v>
      </c>
    </row>
    <row r="357">
      <c r="A357" s="27" t="s">
        <v>42</v>
      </c>
      <c r="B357" s="27" t="s">
        <v>1121</v>
      </c>
      <c r="C357" s="27" t="s">
        <v>1122</v>
      </c>
      <c r="D357" s="27" t="s">
        <v>1123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187300</f>
        <v>187300.0</v>
      </c>
      <c r="L357" s="34" t="s">
        <v>48</v>
      </c>
      <c r="M357" s="33" t="n">
        <f>192000</f>
        <v>192000.0</v>
      </c>
      <c r="N357" s="34" t="s">
        <v>347</v>
      </c>
      <c r="O357" s="33" t="n">
        <f>183900</f>
        <v>183900.0</v>
      </c>
      <c r="P357" s="34" t="s">
        <v>80</v>
      </c>
      <c r="Q357" s="33" t="n">
        <f>191300</f>
        <v>191300.0</v>
      </c>
      <c r="R357" s="34" t="s">
        <v>50</v>
      </c>
      <c r="S357" s="35" t="n">
        <f>187695</f>
        <v>187695.0</v>
      </c>
      <c r="T357" s="32" t="n">
        <f>38642</f>
        <v>38642.0</v>
      </c>
      <c r="U357" s="32" t="n">
        <f>6063</f>
        <v>6063.0</v>
      </c>
      <c r="V357" s="32" t="n">
        <f>7251916797</f>
        <v>7.251916797E9</v>
      </c>
      <c r="W357" s="32" t="n">
        <f>1138673097</f>
        <v>1.138673097E9</v>
      </c>
      <c r="X357" s="36" t="n">
        <f>20</f>
        <v>20.0</v>
      </c>
    </row>
    <row r="358">
      <c r="A358" s="27" t="s">
        <v>42</v>
      </c>
      <c r="B358" s="27" t="s">
        <v>1124</v>
      </c>
      <c r="C358" s="27" t="s">
        <v>1125</v>
      </c>
      <c r="D358" s="27" t="s">
        <v>1126</v>
      </c>
      <c r="E358" s="28" t="s">
        <v>46</v>
      </c>
      <c r="F358" s="29" t="s">
        <v>46</v>
      </c>
      <c r="G358" s="30" t="s">
        <v>46</v>
      </c>
      <c r="H358" s="31"/>
      <c r="I358" s="31" t="s">
        <v>586</v>
      </c>
      <c r="J358" s="32" t="n">
        <v>1.0</v>
      </c>
      <c r="K358" s="33" t="n">
        <f>108700</f>
        <v>108700.0</v>
      </c>
      <c r="L358" s="34" t="s">
        <v>48</v>
      </c>
      <c r="M358" s="33" t="n">
        <f>110900</f>
        <v>110900.0</v>
      </c>
      <c r="N358" s="34" t="s">
        <v>157</v>
      </c>
      <c r="O358" s="33" t="n">
        <f>108200</f>
        <v>108200.0</v>
      </c>
      <c r="P358" s="34" t="s">
        <v>91</v>
      </c>
      <c r="Q358" s="33" t="n">
        <f>109800</f>
        <v>109800.0</v>
      </c>
      <c r="R358" s="34" t="s">
        <v>50</v>
      </c>
      <c r="S358" s="35" t="n">
        <f>109705</f>
        <v>109705.0</v>
      </c>
      <c r="T358" s="32" t="n">
        <f>16510</f>
        <v>16510.0</v>
      </c>
      <c r="U358" s="32" t="n">
        <f>1833</f>
        <v>1833.0</v>
      </c>
      <c r="V358" s="32" t="n">
        <f>1809051791</f>
        <v>1.809051791E9</v>
      </c>
      <c r="W358" s="32" t="n">
        <f>201061691</f>
        <v>2.01061691E8</v>
      </c>
      <c r="X358" s="36" t="n">
        <f>20</f>
        <v>20.0</v>
      </c>
    </row>
    <row r="359">
      <c r="A359" s="27" t="s">
        <v>42</v>
      </c>
      <c r="B359" s="27" t="s">
        <v>1127</v>
      </c>
      <c r="C359" s="27" t="s">
        <v>1128</v>
      </c>
      <c r="D359" s="27" t="s">
        <v>1129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91700</f>
        <v>91700.0</v>
      </c>
      <c r="L359" s="34" t="s">
        <v>48</v>
      </c>
      <c r="M359" s="33" t="n">
        <f>94600</f>
        <v>94600.0</v>
      </c>
      <c r="N359" s="34" t="s">
        <v>50</v>
      </c>
      <c r="O359" s="33" t="n">
        <f>90600</f>
        <v>90600.0</v>
      </c>
      <c r="P359" s="34" t="s">
        <v>91</v>
      </c>
      <c r="Q359" s="33" t="n">
        <f>91800</f>
        <v>91800.0</v>
      </c>
      <c r="R359" s="34" t="s">
        <v>50</v>
      </c>
      <c r="S359" s="35" t="n">
        <f>92210</f>
        <v>92210.0</v>
      </c>
      <c r="T359" s="32" t="n">
        <f>82075</f>
        <v>82075.0</v>
      </c>
      <c r="U359" s="32" t="n">
        <f>13956</f>
        <v>13956.0</v>
      </c>
      <c r="V359" s="32" t="n">
        <f>7569153996</f>
        <v>7.569153996E9</v>
      </c>
      <c r="W359" s="32" t="n">
        <f>1286630496</f>
        <v>1.286630496E9</v>
      </c>
      <c r="X359" s="36" t="n">
        <f>20</f>
        <v>20.0</v>
      </c>
    </row>
    <row r="360">
      <c r="A360" s="27" t="s">
        <v>42</v>
      </c>
      <c r="B360" s="27" t="s">
        <v>1130</v>
      </c>
      <c r="C360" s="27" t="s">
        <v>1131</v>
      </c>
      <c r="D360" s="27" t="s">
        <v>1132</v>
      </c>
      <c r="E360" s="28" t="s">
        <v>46</v>
      </c>
      <c r="F360" s="29" t="s">
        <v>46</v>
      </c>
      <c r="G360" s="30" t="s">
        <v>46</v>
      </c>
      <c r="H360" s="31"/>
      <c r="I360" s="31" t="s">
        <v>586</v>
      </c>
      <c r="J360" s="32" t="n">
        <v>1.0</v>
      </c>
      <c r="K360" s="33" t="n">
        <f>138500</f>
        <v>138500.0</v>
      </c>
      <c r="L360" s="34" t="s">
        <v>48</v>
      </c>
      <c r="M360" s="33" t="n">
        <f>143500</f>
        <v>143500.0</v>
      </c>
      <c r="N360" s="34" t="s">
        <v>347</v>
      </c>
      <c r="O360" s="33" t="n">
        <f>135000</f>
        <v>135000.0</v>
      </c>
      <c r="P360" s="34" t="s">
        <v>62</v>
      </c>
      <c r="Q360" s="33" t="n">
        <f>140700</f>
        <v>140700.0</v>
      </c>
      <c r="R360" s="34" t="s">
        <v>50</v>
      </c>
      <c r="S360" s="35" t="n">
        <f>138885</f>
        <v>138885.0</v>
      </c>
      <c r="T360" s="32" t="n">
        <f>32845</f>
        <v>32845.0</v>
      </c>
      <c r="U360" s="32" t="n">
        <f>7441</f>
        <v>7441.0</v>
      </c>
      <c r="V360" s="32" t="n">
        <f>4563285832</f>
        <v>4.563285832E9</v>
      </c>
      <c r="W360" s="32" t="n">
        <f>1036117232</f>
        <v>1.036117232E9</v>
      </c>
      <c r="X360" s="36" t="n">
        <f>20</f>
        <v>20.0</v>
      </c>
    </row>
    <row r="361">
      <c r="A361" s="27" t="s">
        <v>42</v>
      </c>
      <c r="B361" s="27" t="s">
        <v>1133</v>
      </c>
      <c r="C361" s="27" t="s">
        <v>1134</v>
      </c>
      <c r="D361" s="27" t="s">
        <v>1135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570000</f>
        <v>570000.0</v>
      </c>
      <c r="L361" s="34" t="s">
        <v>48</v>
      </c>
      <c r="M361" s="33" t="n">
        <f>570000</f>
        <v>570000.0</v>
      </c>
      <c r="N361" s="34" t="s">
        <v>48</v>
      </c>
      <c r="O361" s="33" t="n">
        <f>539000</f>
        <v>539000.0</v>
      </c>
      <c r="P361" s="34" t="s">
        <v>168</v>
      </c>
      <c r="Q361" s="33" t="n">
        <f>558000</f>
        <v>558000.0</v>
      </c>
      <c r="R361" s="34" t="s">
        <v>50</v>
      </c>
      <c r="S361" s="35" t="n">
        <f>550800</f>
        <v>550800.0</v>
      </c>
      <c r="T361" s="32" t="n">
        <f>116588</f>
        <v>116588.0</v>
      </c>
      <c r="U361" s="32" t="n">
        <f>22664</f>
        <v>22664.0</v>
      </c>
      <c r="V361" s="32" t="n">
        <f>64233323301</f>
        <v>6.4233323301E10</v>
      </c>
      <c r="W361" s="32" t="n">
        <f>12490601301</f>
        <v>1.2490601301E10</v>
      </c>
      <c r="X361" s="36" t="n">
        <f>20</f>
        <v>20.0</v>
      </c>
    </row>
    <row r="362">
      <c r="A362" s="27" t="s">
        <v>42</v>
      </c>
      <c r="B362" s="27" t="s">
        <v>1136</v>
      </c>
      <c r="C362" s="27" t="s">
        <v>1137</v>
      </c>
      <c r="D362" s="27" t="s">
        <v>1138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538000</f>
        <v>538000.0</v>
      </c>
      <c r="L362" s="34" t="s">
        <v>48</v>
      </c>
      <c r="M362" s="33" t="n">
        <f>543000</f>
        <v>543000.0</v>
      </c>
      <c r="N362" s="34" t="s">
        <v>54</v>
      </c>
      <c r="O362" s="33" t="n">
        <f>522000</f>
        <v>522000.0</v>
      </c>
      <c r="P362" s="34" t="s">
        <v>168</v>
      </c>
      <c r="Q362" s="33" t="n">
        <f>530000</f>
        <v>530000.0</v>
      </c>
      <c r="R362" s="34" t="s">
        <v>50</v>
      </c>
      <c r="S362" s="35" t="n">
        <f>532750</f>
        <v>532750.0</v>
      </c>
      <c r="T362" s="32" t="n">
        <f>102269</f>
        <v>102269.0</v>
      </c>
      <c r="U362" s="32" t="n">
        <f>19232</f>
        <v>19232.0</v>
      </c>
      <c r="V362" s="32" t="n">
        <f>54422831950</f>
        <v>5.442283195E10</v>
      </c>
      <c r="W362" s="32" t="n">
        <f>10237340950</f>
        <v>1.023734095E10</v>
      </c>
      <c r="X362" s="36" t="n">
        <f>20</f>
        <v>20.0</v>
      </c>
    </row>
    <row r="363">
      <c r="A363" s="27" t="s">
        <v>42</v>
      </c>
      <c r="B363" s="27" t="s">
        <v>1139</v>
      </c>
      <c r="C363" s="27" t="s">
        <v>1140</v>
      </c>
      <c r="D363" s="27" t="s">
        <v>1141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99900</f>
        <v>99900.0</v>
      </c>
      <c r="L363" s="34" t="s">
        <v>48</v>
      </c>
      <c r="M363" s="33" t="n">
        <f>100600</f>
        <v>100600.0</v>
      </c>
      <c r="N363" s="34" t="s">
        <v>61</v>
      </c>
      <c r="O363" s="33" t="n">
        <f>95300</f>
        <v>95300.0</v>
      </c>
      <c r="P363" s="34" t="s">
        <v>104</v>
      </c>
      <c r="Q363" s="33" t="n">
        <f>98600</f>
        <v>98600.0</v>
      </c>
      <c r="R363" s="34" t="s">
        <v>50</v>
      </c>
      <c r="S363" s="35" t="n">
        <f>98495</f>
        <v>98495.0</v>
      </c>
      <c r="T363" s="32" t="n">
        <f>394195</f>
        <v>394195.0</v>
      </c>
      <c r="U363" s="32" t="n">
        <f>93535</f>
        <v>93535.0</v>
      </c>
      <c r="V363" s="32" t="n">
        <f>38807805051</f>
        <v>3.8807805051E10</v>
      </c>
      <c r="W363" s="32" t="n">
        <f>9213582251</f>
        <v>9.213582251E9</v>
      </c>
      <c r="X363" s="36" t="n">
        <f>20</f>
        <v>20.0</v>
      </c>
    </row>
    <row r="364">
      <c r="A364" s="27" t="s">
        <v>42</v>
      </c>
      <c r="B364" s="27" t="s">
        <v>1142</v>
      </c>
      <c r="C364" s="27" t="s">
        <v>1143</v>
      </c>
      <c r="D364" s="27" t="s">
        <v>1144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176500</f>
        <v>176500.0</v>
      </c>
      <c r="L364" s="34" t="s">
        <v>48</v>
      </c>
      <c r="M364" s="33" t="n">
        <f>186600</f>
        <v>186600.0</v>
      </c>
      <c r="N364" s="34" t="s">
        <v>50</v>
      </c>
      <c r="O364" s="33" t="n">
        <f>173100</f>
        <v>173100.0</v>
      </c>
      <c r="P364" s="34" t="s">
        <v>91</v>
      </c>
      <c r="Q364" s="33" t="n">
        <f>186600</f>
        <v>186600.0</v>
      </c>
      <c r="R364" s="34" t="s">
        <v>50</v>
      </c>
      <c r="S364" s="35" t="n">
        <f>177630</f>
        <v>177630.0</v>
      </c>
      <c r="T364" s="32" t="n">
        <f>137617</f>
        <v>137617.0</v>
      </c>
      <c r="U364" s="32" t="n">
        <f>33419</f>
        <v>33419.0</v>
      </c>
      <c r="V364" s="32" t="n">
        <f>24488514548</f>
        <v>2.4488514548E10</v>
      </c>
      <c r="W364" s="32" t="n">
        <f>5941652048</f>
        <v>5.941652048E9</v>
      </c>
      <c r="X364" s="36" t="n">
        <f>20</f>
        <v>20.0</v>
      </c>
    </row>
    <row r="365">
      <c r="A365" s="27" t="s">
        <v>42</v>
      </c>
      <c r="B365" s="27" t="s">
        <v>1145</v>
      </c>
      <c r="C365" s="27" t="s">
        <v>1146</v>
      </c>
      <c r="D365" s="27" t="s">
        <v>1147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355000</f>
        <v>355000.0</v>
      </c>
      <c r="L365" s="34" t="s">
        <v>48</v>
      </c>
      <c r="M365" s="33" t="n">
        <f>359000</f>
        <v>359000.0</v>
      </c>
      <c r="N365" s="34" t="s">
        <v>50</v>
      </c>
      <c r="O365" s="33" t="n">
        <f>337500</f>
        <v>337500.0</v>
      </c>
      <c r="P365" s="34" t="s">
        <v>168</v>
      </c>
      <c r="Q365" s="33" t="n">
        <f>359000</f>
        <v>359000.0</v>
      </c>
      <c r="R365" s="34" t="s">
        <v>50</v>
      </c>
      <c r="S365" s="35" t="n">
        <f>348100</f>
        <v>348100.0</v>
      </c>
      <c r="T365" s="32" t="n">
        <f>40298</f>
        <v>40298.0</v>
      </c>
      <c r="U365" s="32" t="n">
        <f>8513</f>
        <v>8513.0</v>
      </c>
      <c r="V365" s="32" t="n">
        <f>14026648556</f>
        <v>1.4026648556E10</v>
      </c>
      <c r="W365" s="32" t="n">
        <f>2962921556</f>
        <v>2.962921556E9</v>
      </c>
      <c r="X365" s="36" t="n">
        <f>20</f>
        <v>20.0</v>
      </c>
    </row>
    <row r="366">
      <c r="A366" s="27" t="s">
        <v>42</v>
      </c>
      <c r="B366" s="27" t="s">
        <v>1148</v>
      </c>
      <c r="C366" s="27" t="s">
        <v>1149</v>
      </c>
      <c r="D366" s="27" t="s">
        <v>1150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131000</f>
        <v>131000.0</v>
      </c>
      <c r="L366" s="34" t="s">
        <v>48</v>
      </c>
      <c r="M366" s="33" t="n">
        <f>133900</f>
        <v>133900.0</v>
      </c>
      <c r="N366" s="34" t="s">
        <v>50</v>
      </c>
      <c r="O366" s="33" t="n">
        <f>127900</f>
        <v>127900.0</v>
      </c>
      <c r="P366" s="34" t="s">
        <v>91</v>
      </c>
      <c r="Q366" s="33" t="n">
        <f>129100</f>
        <v>129100.0</v>
      </c>
      <c r="R366" s="34" t="s">
        <v>50</v>
      </c>
      <c r="S366" s="35" t="n">
        <f>130405</f>
        <v>130405.0</v>
      </c>
      <c r="T366" s="32" t="n">
        <f>75227</f>
        <v>75227.0</v>
      </c>
      <c r="U366" s="32" t="n">
        <f>14799</f>
        <v>14799.0</v>
      </c>
      <c r="V366" s="32" t="n">
        <f>9814626835</f>
        <v>9.814626835E9</v>
      </c>
      <c r="W366" s="32" t="n">
        <f>1929847835</f>
        <v>1.929847835E9</v>
      </c>
      <c r="X366" s="36" t="n">
        <f>20</f>
        <v>20.0</v>
      </c>
    </row>
    <row r="367">
      <c r="A367" s="27" t="s">
        <v>42</v>
      </c>
      <c r="B367" s="27" t="s">
        <v>1151</v>
      </c>
      <c r="C367" s="27" t="s">
        <v>1152</v>
      </c>
      <c r="D367" s="27" t="s">
        <v>1153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181000</f>
        <v>181000.0</v>
      </c>
      <c r="L367" s="34" t="s">
        <v>48</v>
      </c>
      <c r="M367" s="33" t="n">
        <f>196900</f>
        <v>196900.0</v>
      </c>
      <c r="N367" s="34" t="s">
        <v>50</v>
      </c>
      <c r="O367" s="33" t="n">
        <f>179500</f>
        <v>179500.0</v>
      </c>
      <c r="P367" s="34" t="s">
        <v>91</v>
      </c>
      <c r="Q367" s="33" t="n">
        <f>186900</f>
        <v>186900.0</v>
      </c>
      <c r="R367" s="34" t="s">
        <v>50</v>
      </c>
      <c r="S367" s="35" t="n">
        <f>186625</f>
        <v>186625.0</v>
      </c>
      <c r="T367" s="32" t="n">
        <f>51640</f>
        <v>51640.0</v>
      </c>
      <c r="U367" s="32" t="n">
        <f>10183</f>
        <v>10183.0</v>
      </c>
      <c r="V367" s="32" t="n">
        <f>9679565616</f>
        <v>9.679565616E9</v>
      </c>
      <c r="W367" s="32" t="n">
        <f>1904641216</f>
        <v>1.904641216E9</v>
      </c>
      <c r="X367" s="36" t="n">
        <f>20</f>
        <v>20.0</v>
      </c>
    </row>
    <row r="368">
      <c r="A368" s="27" t="s">
        <v>42</v>
      </c>
      <c r="B368" s="27" t="s">
        <v>1154</v>
      </c>
      <c r="C368" s="27" t="s">
        <v>1155</v>
      </c>
      <c r="D368" s="27" t="s">
        <v>1156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105800</f>
        <v>105800.0</v>
      </c>
      <c r="L368" s="34" t="s">
        <v>48</v>
      </c>
      <c r="M368" s="33" t="n">
        <f>107600</f>
        <v>107600.0</v>
      </c>
      <c r="N368" s="34" t="s">
        <v>157</v>
      </c>
      <c r="O368" s="33" t="n">
        <f>103100</f>
        <v>103100.0</v>
      </c>
      <c r="P368" s="34" t="s">
        <v>91</v>
      </c>
      <c r="Q368" s="33" t="n">
        <f>107600</f>
        <v>107600.0</v>
      </c>
      <c r="R368" s="34" t="s">
        <v>50</v>
      </c>
      <c r="S368" s="35" t="n">
        <f>105370</f>
        <v>105370.0</v>
      </c>
      <c r="T368" s="32" t="n">
        <f>100126</f>
        <v>100126.0</v>
      </c>
      <c r="U368" s="32" t="n">
        <f>17786</f>
        <v>17786.0</v>
      </c>
      <c r="V368" s="32" t="n">
        <f>10539026775</f>
        <v>1.0539026775E10</v>
      </c>
      <c r="W368" s="32" t="n">
        <f>1873033675</f>
        <v>1.873033675E9</v>
      </c>
      <c r="X368" s="36" t="n">
        <f>20</f>
        <v>20.0</v>
      </c>
    </row>
    <row r="369">
      <c r="A369" s="27" t="s">
        <v>42</v>
      </c>
      <c r="B369" s="27" t="s">
        <v>1157</v>
      </c>
      <c r="C369" s="27" t="s">
        <v>1158</v>
      </c>
      <c r="D369" s="27" t="s">
        <v>1159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151000</f>
        <v>151000.0</v>
      </c>
      <c r="L369" s="34" t="s">
        <v>48</v>
      </c>
      <c r="M369" s="33" t="n">
        <f>157900</f>
        <v>157900.0</v>
      </c>
      <c r="N369" s="34" t="s">
        <v>70</v>
      </c>
      <c r="O369" s="33" t="n">
        <f>147800</f>
        <v>147800.0</v>
      </c>
      <c r="P369" s="34" t="s">
        <v>91</v>
      </c>
      <c r="Q369" s="33" t="n">
        <f>148000</f>
        <v>148000.0</v>
      </c>
      <c r="R369" s="34" t="s">
        <v>50</v>
      </c>
      <c r="S369" s="35" t="n">
        <f>152655</f>
        <v>152655.0</v>
      </c>
      <c r="T369" s="32" t="n">
        <f>186837</f>
        <v>186837.0</v>
      </c>
      <c r="U369" s="32" t="n">
        <f>39050</f>
        <v>39050.0</v>
      </c>
      <c r="V369" s="32" t="n">
        <f>28576020607</f>
        <v>2.8576020607E10</v>
      </c>
      <c r="W369" s="32" t="n">
        <f>5972416107</f>
        <v>5.972416107E9</v>
      </c>
      <c r="X369" s="36" t="n">
        <f>20</f>
        <v>20.0</v>
      </c>
    </row>
    <row r="370">
      <c r="A370" s="27" t="s">
        <v>42</v>
      </c>
      <c r="B370" s="27" t="s">
        <v>1160</v>
      </c>
      <c r="C370" s="27" t="s">
        <v>1161</v>
      </c>
      <c r="D370" s="27" t="s">
        <v>1162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72000</f>
        <v>72000.0</v>
      </c>
      <c r="L370" s="34" t="s">
        <v>48</v>
      </c>
      <c r="M370" s="33" t="n">
        <f>72500</f>
        <v>72500.0</v>
      </c>
      <c r="N370" s="34" t="s">
        <v>54</v>
      </c>
      <c r="O370" s="33" t="n">
        <f>68700</f>
        <v>68700.0</v>
      </c>
      <c r="P370" s="34" t="s">
        <v>104</v>
      </c>
      <c r="Q370" s="33" t="n">
        <f>71900</f>
        <v>71900.0</v>
      </c>
      <c r="R370" s="34" t="s">
        <v>50</v>
      </c>
      <c r="S370" s="35" t="n">
        <f>70580</f>
        <v>70580.0</v>
      </c>
      <c r="T370" s="32" t="n">
        <f>139563</f>
        <v>139563.0</v>
      </c>
      <c r="U370" s="32" t="n">
        <f>37113</f>
        <v>37113.0</v>
      </c>
      <c r="V370" s="32" t="n">
        <f>9847879401</f>
        <v>9.847879401E9</v>
      </c>
      <c r="W370" s="32" t="n">
        <f>2619310501</f>
        <v>2.619310501E9</v>
      </c>
      <c r="X370" s="36" t="n">
        <f>20</f>
        <v>20.0</v>
      </c>
    </row>
    <row r="371">
      <c r="A371" s="27" t="s">
        <v>42</v>
      </c>
      <c r="B371" s="27" t="s">
        <v>1163</v>
      </c>
      <c r="C371" s="27" t="s">
        <v>1164</v>
      </c>
      <c r="D371" s="27" t="s">
        <v>1165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58700</f>
        <v>58700.0</v>
      </c>
      <c r="L371" s="34" t="s">
        <v>48</v>
      </c>
      <c r="M371" s="33" t="n">
        <f>59600</f>
        <v>59600.0</v>
      </c>
      <c r="N371" s="34" t="s">
        <v>54</v>
      </c>
      <c r="O371" s="33" t="n">
        <f>55900</f>
        <v>55900.0</v>
      </c>
      <c r="P371" s="34" t="s">
        <v>91</v>
      </c>
      <c r="Q371" s="33" t="n">
        <f>59300</f>
        <v>59300.0</v>
      </c>
      <c r="R371" s="34" t="s">
        <v>50</v>
      </c>
      <c r="S371" s="35" t="n">
        <f>57800</f>
        <v>57800.0</v>
      </c>
      <c r="T371" s="32" t="n">
        <f>480058</f>
        <v>480058.0</v>
      </c>
      <c r="U371" s="32" t="n">
        <f>113866</f>
        <v>113866.0</v>
      </c>
      <c r="V371" s="32" t="n">
        <f>27796764907</f>
        <v>2.7796764907E10</v>
      </c>
      <c r="W371" s="32" t="n">
        <f>6593450607</f>
        <v>6.593450607E9</v>
      </c>
      <c r="X371" s="36" t="n">
        <f>20</f>
        <v>20.0</v>
      </c>
    </row>
    <row r="372">
      <c r="A372" s="27" t="s">
        <v>42</v>
      </c>
      <c r="B372" s="27" t="s">
        <v>1166</v>
      </c>
      <c r="C372" s="27" t="s">
        <v>1167</v>
      </c>
      <c r="D372" s="27" t="s">
        <v>1168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492000</f>
        <v>492000.0</v>
      </c>
      <c r="L372" s="34" t="s">
        <v>48</v>
      </c>
      <c r="M372" s="33" t="n">
        <f>493000</f>
        <v>493000.0</v>
      </c>
      <c r="N372" s="34" t="s">
        <v>50</v>
      </c>
      <c r="O372" s="33" t="n">
        <f>475000</f>
        <v>475000.0</v>
      </c>
      <c r="P372" s="34" t="s">
        <v>104</v>
      </c>
      <c r="Q372" s="33" t="n">
        <f>493000</f>
        <v>493000.0</v>
      </c>
      <c r="R372" s="34" t="s">
        <v>50</v>
      </c>
      <c r="S372" s="35" t="n">
        <f>485900</f>
        <v>485900.0</v>
      </c>
      <c r="T372" s="32" t="n">
        <f>25394</f>
        <v>25394.0</v>
      </c>
      <c r="U372" s="32" t="n">
        <f>4581</f>
        <v>4581.0</v>
      </c>
      <c r="V372" s="32" t="n">
        <f>12331557465</f>
        <v>1.2331557465E10</v>
      </c>
      <c r="W372" s="32" t="n">
        <f>2225383465</f>
        <v>2.225383465E9</v>
      </c>
      <c r="X372" s="36" t="n">
        <f>20</f>
        <v>20.0</v>
      </c>
    </row>
    <row r="373">
      <c r="A373" s="27" t="s">
        <v>42</v>
      </c>
      <c r="B373" s="27" t="s">
        <v>1169</v>
      </c>
      <c r="C373" s="27" t="s">
        <v>1170</v>
      </c>
      <c r="D373" s="27" t="s">
        <v>1171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160100</f>
        <v>160100.0</v>
      </c>
      <c r="L373" s="34" t="s">
        <v>48</v>
      </c>
      <c r="M373" s="33" t="n">
        <f>164200</f>
        <v>164200.0</v>
      </c>
      <c r="N373" s="34" t="s">
        <v>411</v>
      </c>
      <c r="O373" s="33" t="n">
        <f>151700</f>
        <v>151700.0</v>
      </c>
      <c r="P373" s="34" t="s">
        <v>50</v>
      </c>
      <c r="Q373" s="33" t="n">
        <f>151700</f>
        <v>151700.0</v>
      </c>
      <c r="R373" s="34" t="s">
        <v>50</v>
      </c>
      <c r="S373" s="35" t="n">
        <f>159750</f>
        <v>159750.0</v>
      </c>
      <c r="T373" s="32" t="n">
        <f>73352</f>
        <v>73352.0</v>
      </c>
      <c r="U373" s="32" t="n">
        <f>10073</f>
        <v>10073.0</v>
      </c>
      <c r="V373" s="32" t="n">
        <f>11608729767</f>
        <v>1.1608729767E10</v>
      </c>
      <c r="W373" s="32" t="n">
        <f>1605688067</f>
        <v>1.605688067E9</v>
      </c>
      <c r="X373" s="36" t="n">
        <f>20</f>
        <v>20.0</v>
      </c>
    </row>
    <row r="374">
      <c r="A374" s="27" t="s">
        <v>42</v>
      </c>
      <c r="B374" s="27" t="s">
        <v>1172</v>
      </c>
      <c r="C374" s="27" t="s">
        <v>1173</v>
      </c>
      <c r="D374" s="27" t="s">
        <v>1174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326000</f>
        <v>326000.0</v>
      </c>
      <c r="L374" s="34" t="s">
        <v>48</v>
      </c>
      <c r="M374" s="33" t="n">
        <f>326500</f>
        <v>326500.0</v>
      </c>
      <c r="N374" s="34" t="s">
        <v>50</v>
      </c>
      <c r="O374" s="33" t="n">
        <f>310000</f>
        <v>310000.0</v>
      </c>
      <c r="P374" s="34" t="s">
        <v>104</v>
      </c>
      <c r="Q374" s="33" t="n">
        <f>326500</f>
        <v>326500.0</v>
      </c>
      <c r="R374" s="34" t="s">
        <v>50</v>
      </c>
      <c r="S374" s="35" t="n">
        <f>318575</f>
        <v>318575.0</v>
      </c>
      <c r="T374" s="32" t="n">
        <f>46783</f>
        <v>46783.0</v>
      </c>
      <c r="U374" s="32" t="n">
        <f>11268</f>
        <v>11268.0</v>
      </c>
      <c r="V374" s="32" t="n">
        <f>14913403579</f>
        <v>1.4913403579E10</v>
      </c>
      <c r="W374" s="32" t="n">
        <f>3593129079</f>
        <v>3.593129079E9</v>
      </c>
      <c r="X374" s="36" t="n">
        <f>20</f>
        <v>20.0</v>
      </c>
    </row>
    <row r="375">
      <c r="A375" s="27" t="s">
        <v>42</v>
      </c>
      <c r="B375" s="27" t="s">
        <v>1175</v>
      </c>
      <c r="C375" s="27" t="s">
        <v>1176</v>
      </c>
      <c r="D375" s="27" t="s">
        <v>1177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163400</f>
        <v>163400.0</v>
      </c>
      <c r="L375" s="34" t="s">
        <v>48</v>
      </c>
      <c r="M375" s="33" t="n">
        <f>164900</f>
        <v>164900.0</v>
      </c>
      <c r="N375" s="34" t="s">
        <v>54</v>
      </c>
      <c r="O375" s="33" t="n">
        <f>159100</f>
        <v>159100.0</v>
      </c>
      <c r="P375" s="34" t="s">
        <v>104</v>
      </c>
      <c r="Q375" s="33" t="n">
        <f>163100</f>
        <v>163100.0</v>
      </c>
      <c r="R375" s="34" t="s">
        <v>50</v>
      </c>
      <c r="S375" s="35" t="n">
        <f>161560</f>
        <v>161560.0</v>
      </c>
      <c r="T375" s="32" t="n">
        <f>35928</f>
        <v>35928.0</v>
      </c>
      <c r="U375" s="32" t="n">
        <f>8839</f>
        <v>8839.0</v>
      </c>
      <c r="V375" s="32" t="n">
        <f>5806856418</f>
        <v>5.806856418E9</v>
      </c>
      <c r="W375" s="32" t="n">
        <f>1428493618</f>
        <v>1.428493618E9</v>
      </c>
      <c r="X375" s="36" t="n">
        <f>20</f>
        <v>20.0</v>
      </c>
    </row>
    <row r="376">
      <c r="A376" s="27" t="s">
        <v>42</v>
      </c>
      <c r="B376" s="27" t="s">
        <v>1178</v>
      </c>
      <c r="C376" s="27" t="s">
        <v>1179</v>
      </c>
      <c r="D376" s="27" t="s">
        <v>1180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300500</f>
        <v>300500.0</v>
      </c>
      <c r="L376" s="34" t="s">
        <v>48</v>
      </c>
      <c r="M376" s="33" t="n">
        <f>316000</f>
        <v>316000.0</v>
      </c>
      <c r="N376" s="34" t="s">
        <v>50</v>
      </c>
      <c r="O376" s="33" t="n">
        <f>297400</f>
        <v>297400.0</v>
      </c>
      <c r="P376" s="34" t="s">
        <v>168</v>
      </c>
      <c r="Q376" s="33" t="n">
        <f>316000</f>
        <v>316000.0</v>
      </c>
      <c r="R376" s="34" t="s">
        <v>50</v>
      </c>
      <c r="S376" s="35" t="n">
        <f>302935</f>
        <v>302935.0</v>
      </c>
      <c r="T376" s="32" t="n">
        <f>59775</f>
        <v>59775.0</v>
      </c>
      <c r="U376" s="32" t="n">
        <f>13212</f>
        <v>13212.0</v>
      </c>
      <c r="V376" s="32" t="n">
        <f>18115148178</f>
        <v>1.8115148178E10</v>
      </c>
      <c r="W376" s="32" t="n">
        <f>3999452278</f>
        <v>3.999452278E9</v>
      </c>
      <c r="X376" s="36" t="n">
        <f>20</f>
        <v>20.0</v>
      </c>
    </row>
    <row r="377">
      <c r="A377" s="27" t="s">
        <v>42</v>
      </c>
      <c r="B377" s="27" t="s">
        <v>1181</v>
      </c>
      <c r="C377" s="27" t="s">
        <v>1182</v>
      </c>
      <c r="D377" s="27" t="s">
        <v>1183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88600</f>
        <v>88600.0</v>
      </c>
      <c r="L377" s="34" t="s">
        <v>48</v>
      </c>
      <c r="M377" s="33" t="n">
        <f>92200</f>
        <v>92200.0</v>
      </c>
      <c r="N377" s="34" t="s">
        <v>50</v>
      </c>
      <c r="O377" s="33" t="n">
        <f>87000</f>
        <v>87000.0</v>
      </c>
      <c r="P377" s="34" t="s">
        <v>66</v>
      </c>
      <c r="Q377" s="33" t="n">
        <f>90700</f>
        <v>90700.0</v>
      </c>
      <c r="R377" s="34" t="s">
        <v>50</v>
      </c>
      <c r="S377" s="35" t="n">
        <f>88715</f>
        <v>88715.0</v>
      </c>
      <c r="T377" s="32" t="n">
        <f>172319</f>
        <v>172319.0</v>
      </c>
      <c r="U377" s="32" t="n">
        <f>40768</f>
        <v>40768.0</v>
      </c>
      <c r="V377" s="32" t="n">
        <f>15396779934</f>
        <v>1.5396779934E10</v>
      </c>
      <c r="W377" s="32" t="n">
        <f>3668872034</f>
        <v>3.668872034E9</v>
      </c>
      <c r="X377" s="36" t="n">
        <f>20</f>
        <v>20.0</v>
      </c>
    </row>
    <row r="378">
      <c r="A378" s="27" t="s">
        <v>42</v>
      </c>
      <c r="B378" s="27" t="s">
        <v>1184</v>
      </c>
      <c r="C378" s="27" t="s">
        <v>1185</v>
      </c>
      <c r="D378" s="27" t="s">
        <v>1186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591000</f>
        <v>591000.0</v>
      </c>
      <c r="L378" s="34" t="s">
        <v>48</v>
      </c>
      <c r="M378" s="33" t="n">
        <f>596000</f>
        <v>596000.0</v>
      </c>
      <c r="N378" s="34" t="s">
        <v>54</v>
      </c>
      <c r="O378" s="33" t="n">
        <f>557000</f>
        <v>557000.0</v>
      </c>
      <c r="P378" s="34" t="s">
        <v>62</v>
      </c>
      <c r="Q378" s="33" t="n">
        <f>580000</f>
        <v>580000.0</v>
      </c>
      <c r="R378" s="34" t="s">
        <v>50</v>
      </c>
      <c r="S378" s="35" t="n">
        <f>581500</f>
        <v>581500.0</v>
      </c>
      <c r="T378" s="32" t="n">
        <f>38220</f>
        <v>38220.0</v>
      </c>
      <c r="U378" s="32" t="n">
        <f>5436</f>
        <v>5436.0</v>
      </c>
      <c r="V378" s="32" t="n">
        <f>22124258906</f>
        <v>2.2124258906E10</v>
      </c>
      <c r="W378" s="32" t="n">
        <f>3160714906</f>
        <v>3.160714906E9</v>
      </c>
      <c r="X378" s="36" t="n">
        <f>20</f>
        <v>20.0</v>
      </c>
    </row>
    <row r="379">
      <c r="A379" s="27" t="s">
        <v>42</v>
      </c>
      <c r="B379" s="27" t="s">
        <v>1187</v>
      </c>
      <c r="C379" s="27" t="s">
        <v>1188</v>
      </c>
      <c r="D379" s="27" t="s">
        <v>1189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146400</f>
        <v>146400.0</v>
      </c>
      <c r="L379" s="34" t="s">
        <v>48</v>
      </c>
      <c r="M379" s="33" t="n">
        <f>148600</f>
        <v>148600.0</v>
      </c>
      <c r="N379" s="34" t="s">
        <v>70</v>
      </c>
      <c r="O379" s="33" t="n">
        <f>141500</f>
        <v>141500.0</v>
      </c>
      <c r="P379" s="34" t="s">
        <v>50</v>
      </c>
      <c r="Q379" s="33" t="n">
        <f>141500</f>
        <v>141500.0</v>
      </c>
      <c r="R379" s="34" t="s">
        <v>50</v>
      </c>
      <c r="S379" s="35" t="n">
        <f>146125</f>
        <v>146125.0</v>
      </c>
      <c r="T379" s="32" t="n">
        <f>42048</f>
        <v>42048.0</v>
      </c>
      <c r="U379" s="32" t="n">
        <f>5241</f>
        <v>5241.0</v>
      </c>
      <c r="V379" s="32" t="n">
        <f>6139018541</f>
        <v>6.139018541E9</v>
      </c>
      <c r="W379" s="32" t="n">
        <f>767633341</f>
        <v>7.67633341E8</v>
      </c>
      <c r="X379" s="36" t="n">
        <f>20</f>
        <v>20.0</v>
      </c>
    </row>
    <row r="380">
      <c r="A380" s="27" t="s">
        <v>42</v>
      </c>
      <c r="B380" s="27" t="s">
        <v>1190</v>
      </c>
      <c r="C380" s="27" t="s">
        <v>1191</v>
      </c>
      <c r="D380" s="27" t="s">
        <v>1192</v>
      </c>
      <c r="E380" s="28" t="s">
        <v>46</v>
      </c>
      <c r="F380" s="29" t="s">
        <v>46</v>
      </c>
      <c r="G380" s="30" t="s">
        <v>46</v>
      </c>
      <c r="H380" s="31"/>
      <c r="I380" s="31" t="s">
        <v>586</v>
      </c>
      <c r="J380" s="32" t="n">
        <v>1.0</v>
      </c>
      <c r="K380" s="33" t="n">
        <f>230000</f>
        <v>230000.0</v>
      </c>
      <c r="L380" s="34" t="s">
        <v>48</v>
      </c>
      <c r="M380" s="33" t="n">
        <f>236400</f>
        <v>236400.0</v>
      </c>
      <c r="N380" s="34" t="s">
        <v>50</v>
      </c>
      <c r="O380" s="33" t="n">
        <f>226200</f>
        <v>226200.0</v>
      </c>
      <c r="P380" s="34" t="s">
        <v>80</v>
      </c>
      <c r="Q380" s="33" t="n">
        <f>236400</f>
        <v>236400.0</v>
      </c>
      <c r="R380" s="34" t="s">
        <v>50</v>
      </c>
      <c r="S380" s="35" t="n">
        <f>231150</f>
        <v>231150.0</v>
      </c>
      <c r="T380" s="32" t="n">
        <f>13427</f>
        <v>13427.0</v>
      </c>
      <c r="U380" s="32" t="n">
        <f>2671</f>
        <v>2671.0</v>
      </c>
      <c r="V380" s="32" t="n">
        <f>3099125049</f>
        <v>3.099125049E9</v>
      </c>
      <c r="W380" s="32" t="n">
        <f>616523549</f>
        <v>6.16523549E8</v>
      </c>
      <c r="X380" s="36" t="n">
        <f>20</f>
        <v>20.0</v>
      </c>
    </row>
    <row r="381">
      <c r="A381" s="27" t="s">
        <v>42</v>
      </c>
      <c r="B381" s="27" t="s">
        <v>1193</v>
      </c>
      <c r="C381" s="27" t="s">
        <v>1194</v>
      </c>
      <c r="D381" s="27" t="s">
        <v>1195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289000</f>
        <v>289000.0</v>
      </c>
      <c r="L381" s="34" t="s">
        <v>48</v>
      </c>
      <c r="M381" s="33" t="n">
        <f>306500</f>
        <v>306500.0</v>
      </c>
      <c r="N381" s="34" t="s">
        <v>50</v>
      </c>
      <c r="O381" s="33" t="n">
        <f>285800</f>
        <v>285800.0</v>
      </c>
      <c r="P381" s="34" t="s">
        <v>80</v>
      </c>
      <c r="Q381" s="33" t="n">
        <f>292500</f>
        <v>292500.0</v>
      </c>
      <c r="R381" s="34" t="s">
        <v>50</v>
      </c>
      <c r="S381" s="35" t="n">
        <f>293100</f>
        <v>293100.0</v>
      </c>
      <c r="T381" s="32" t="n">
        <f>113205</f>
        <v>113205.0</v>
      </c>
      <c r="U381" s="32" t="n">
        <f>17414</f>
        <v>17414.0</v>
      </c>
      <c r="V381" s="32" t="n">
        <f>33254184554</f>
        <v>3.3254184554E10</v>
      </c>
      <c r="W381" s="32" t="n">
        <f>5120495954</f>
        <v>5.120495954E9</v>
      </c>
      <c r="X381" s="36" t="n">
        <f>20</f>
        <v>20.0</v>
      </c>
    </row>
    <row r="382">
      <c r="A382" s="27" t="s">
        <v>42</v>
      </c>
      <c r="B382" s="27" t="s">
        <v>1196</v>
      </c>
      <c r="C382" s="27" t="s">
        <v>1197</v>
      </c>
      <c r="D382" s="27" t="s">
        <v>1198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77700</f>
        <v>77700.0</v>
      </c>
      <c r="L382" s="34" t="s">
        <v>48</v>
      </c>
      <c r="M382" s="33" t="n">
        <f>79900</f>
        <v>79900.0</v>
      </c>
      <c r="N382" s="34" t="s">
        <v>54</v>
      </c>
      <c r="O382" s="33" t="n">
        <f>76000</f>
        <v>76000.0</v>
      </c>
      <c r="P382" s="34" t="s">
        <v>104</v>
      </c>
      <c r="Q382" s="33" t="n">
        <f>79100</f>
        <v>79100.0</v>
      </c>
      <c r="R382" s="34" t="s">
        <v>50</v>
      </c>
      <c r="S382" s="35" t="n">
        <f>78180</f>
        <v>78180.0</v>
      </c>
      <c r="T382" s="32" t="n">
        <f>325015</f>
        <v>325015.0</v>
      </c>
      <c r="U382" s="32" t="n">
        <f>81946</f>
        <v>81946.0</v>
      </c>
      <c r="V382" s="32" t="n">
        <f>25392048717</f>
        <v>2.5392048717E10</v>
      </c>
      <c r="W382" s="32" t="n">
        <f>6401585317</f>
        <v>6.401585317E9</v>
      </c>
      <c r="X382" s="36" t="n">
        <f>20</f>
        <v>20.0</v>
      </c>
    </row>
    <row r="383">
      <c r="A383" s="27" t="s">
        <v>42</v>
      </c>
      <c r="B383" s="27" t="s">
        <v>1199</v>
      </c>
      <c r="C383" s="27" t="s">
        <v>1200</v>
      </c>
      <c r="D383" s="27" t="s">
        <v>1201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116000</f>
        <v>116000.0</v>
      </c>
      <c r="L383" s="34" t="s">
        <v>48</v>
      </c>
      <c r="M383" s="33" t="n">
        <f>119100</f>
        <v>119100.0</v>
      </c>
      <c r="N383" s="34" t="s">
        <v>50</v>
      </c>
      <c r="O383" s="33" t="n">
        <f>111100</f>
        <v>111100.0</v>
      </c>
      <c r="P383" s="34" t="s">
        <v>104</v>
      </c>
      <c r="Q383" s="33" t="n">
        <f>119100</f>
        <v>119100.0</v>
      </c>
      <c r="R383" s="34" t="s">
        <v>50</v>
      </c>
      <c r="S383" s="35" t="n">
        <f>114475</f>
        <v>114475.0</v>
      </c>
      <c r="T383" s="32" t="n">
        <f>102090</f>
        <v>102090.0</v>
      </c>
      <c r="U383" s="32" t="n">
        <f>20132</f>
        <v>20132.0</v>
      </c>
      <c r="V383" s="32" t="n">
        <f>11697417464</f>
        <v>1.1697417464E10</v>
      </c>
      <c r="W383" s="32" t="n">
        <f>2307739664</f>
        <v>2.307739664E9</v>
      </c>
      <c r="X383" s="36" t="n">
        <f>20</f>
        <v>20.0</v>
      </c>
    </row>
    <row r="384">
      <c r="A384" s="27" t="s">
        <v>42</v>
      </c>
      <c r="B384" s="27" t="s">
        <v>1202</v>
      </c>
      <c r="C384" s="27" t="s">
        <v>1203</v>
      </c>
      <c r="D384" s="27" t="s">
        <v>1204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116600</f>
        <v>116600.0</v>
      </c>
      <c r="L384" s="34" t="s">
        <v>48</v>
      </c>
      <c r="M384" s="33" t="n">
        <f>124700</f>
        <v>124700.0</v>
      </c>
      <c r="N384" s="34" t="s">
        <v>50</v>
      </c>
      <c r="O384" s="33" t="n">
        <f>115800</f>
        <v>115800.0</v>
      </c>
      <c r="P384" s="34" t="s">
        <v>48</v>
      </c>
      <c r="Q384" s="33" t="n">
        <f>124700</f>
        <v>124700.0</v>
      </c>
      <c r="R384" s="34" t="s">
        <v>50</v>
      </c>
      <c r="S384" s="35" t="n">
        <f>118140</f>
        <v>118140.0</v>
      </c>
      <c r="T384" s="32" t="n">
        <f>76747</f>
        <v>76747.0</v>
      </c>
      <c r="U384" s="32" t="n">
        <f>17783</f>
        <v>17783.0</v>
      </c>
      <c r="V384" s="32" t="n">
        <f>9078694389</f>
        <v>9.078694389E9</v>
      </c>
      <c r="W384" s="32" t="n">
        <f>2097824189</f>
        <v>2.097824189E9</v>
      </c>
      <c r="X384" s="36" t="n">
        <f>20</f>
        <v>20.0</v>
      </c>
    </row>
    <row r="385">
      <c r="A385" s="27" t="s">
        <v>42</v>
      </c>
      <c r="B385" s="27" t="s">
        <v>1205</v>
      </c>
      <c r="C385" s="27" t="s">
        <v>1206</v>
      </c>
      <c r="D385" s="27" t="s">
        <v>1207</v>
      </c>
      <c r="E385" s="28" t="s">
        <v>46</v>
      </c>
      <c r="F385" s="29" t="s">
        <v>46</v>
      </c>
      <c r="G385" s="30" t="s">
        <v>46</v>
      </c>
      <c r="H385" s="31"/>
      <c r="I385" s="31" t="s">
        <v>586</v>
      </c>
      <c r="J385" s="32" t="n">
        <v>1.0</v>
      </c>
      <c r="K385" s="33" t="n">
        <f>75600</f>
        <v>75600.0</v>
      </c>
      <c r="L385" s="34" t="s">
        <v>48</v>
      </c>
      <c r="M385" s="33" t="n">
        <f>77400</f>
        <v>77400.0</v>
      </c>
      <c r="N385" s="34" t="s">
        <v>49</v>
      </c>
      <c r="O385" s="33" t="n">
        <f>74900</f>
        <v>74900.0</v>
      </c>
      <c r="P385" s="34" t="s">
        <v>80</v>
      </c>
      <c r="Q385" s="33" t="n">
        <f>76900</f>
        <v>76900.0</v>
      </c>
      <c r="R385" s="34" t="s">
        <v>50</v>
      </c>
      <c r="S385" s="35" t="n">
        <f>76490</f>
        <v>76490.0</v>
      </c>
      <c r="T385" s="32" t="n">
        <f>2107</f>
        <v>2107.0</v>
      </c>
      <c r="U385" s="32" t="n">
        <f>13</f>
        <v>13.0</v>
      </c>
      <c r="V385" s="32" t="n">
        <f>161290800</f>
        <v>1.612908E8</v>
      </c>
      <c r="W385" s="32" t="n">
        <f>999300</f>
        <v>999300.0</v>
      </c>
      <c r="X385" s="36" t="n">
        <f>20</f>
        <v>20.0</v>
      </c>
    </row>
    <row r="386">
      <c r="A386" s="27" t="s">
        <v>42</v>
      </c>
      <c r="B386" s="27" t="s">
        <v>1208</v>
      </c>
      <c r="C386" s="27" t="s">
        <v>1209</v>
      </c>
      <c r="D386" s="27" t="s">
        <v>1210</v>
      </c>
      <c r="E386" s="28" t="s">
        <v>46</v>
      </c>
      <c r="F386" s="29" t="s">
        <v>46</v>
      </c>
      <c r="G386" s="30" t="s">
        <v>46</v>
      </c>
      <c r="H386" s="31"/>
      <c r="I386" s="31" t="s">
        <v>586</v>
      </c>
      <c r="J386" s="32" t="n">
        <v>1.0</v>
      </c>
      <c r="K386" s="33" t="n">
        <f>123100</f>
        <v>123100.0</v>
      </c>
      <c r="L386" s="34" t="s">
        <v>48</v>
      </c>
      <c r="M386" s="33" t="n">
        <f>124700</f>
        <v>124700.0</v>
      </c>
      <c r="N386" s="34" t="s">
        <v>262</v>
      </c>
      <c r="O386" s="33" t="n">
        <f>122000</f>
        <v>122000.0</v>
      </c>
      <c r="P386" s="34" t="s">
        <v>54</v>
      </c>
      <c r="Q386" s="33" t="n">
        <f>124100</f>
        <v>124100.0</v>
      </c>
      <c r="R386" s="34" t="s">
        <v>50</v>
      </c>
      <c r="S386" s="35" t="n">
        <f>123395</f>
        <v>123395.0</v>
      </c>
      <c r="T386" s="32" t="n">
        <f>10239</f>
        <v>10239.0</v>
      </c>
      <c r="U386" s="32" t="n">
        <f>1673</f>
        <v>1673.0</v>
      </c>
      <c r="V386" s="32" t="n">
        <f>1262360496</f>
        <v>1.262360496E9</v>
      </c>
      <c r="W386" s="32" t="n">
        <f>206113696</f>
        <v>2.06113696E8</v>
      </c>
      <c r="X386" s="36" t="n">
        <f>20</f>
        <v>20.0</v>
      </c>
    </row>
    <row r="387">
      <c r="A387" s="27" t="s">
        <v>42</v>
      </c>
      <c r="B387" s="27" t="s">
        <v>1211</v>
      </c>
      <c r="C387" s="27" t="s">
        <v>1212</v>
      </c>
      <c r="D387" s="27" t="s">
        <v>1213</v>
      </c>
      <c r="E387" s="28" t="s">
        <v>46</v>
      </c>
      <c r="F387" s="29" t="s">
        <v>46</v>
      </c>
      <c r="G387" s="30" t="s">
        <v>46</v>
      </c>
      <c r="H387" s="31"/>
      <c r="I387" s="31" t="s">
        <v>586</v>
      </c>
      <c r="J387" s="32" t="n">
        <v>1.0</v>
      </c>
      <c r="K387" s="33" t="n">
        <f>92800</f>
        <v>92800.0</v>
      </c>
      <c r="L387" s="34" t="s">
        <v>48</v>
      </c>
      <c r="M387" s="33" t="n">
        <f>94000</f>
        <v>94000.0</v>
      </c>
      <c r="N387" s="34" t="s">
        <v>50</v>
      </c>
      <c r="O387" s="33" t="n">
        <f>92500</f>
        <v>92500.0</v>
      </c>
      <c r="P387" s="34" t="s">
        <v>48</v>
      </c>
      <c r="Q387" s="33" t="n">
        <f>93900</f>
        <v>93900.0</v>
      </c>
      <c r="R387" s="34" t="s">
        <v>50</v>
      </c>
      <c r="S387" s="35" t="n">
        <f>93360</f>
        <v>93360.0</v>
      </c>
      <c r="T387" s="32" t="n">
        <f>5376</f>
        <v>5376.0</v>
      </c>
      <c r="U387" s="32" t="n">
        <f>200</f>
        <v>200.0</v>
      </c>
      <c r="V387" s="32" t="n">
        <f>501606100</f>
        <v>5.016061E8</v>
      </c>
      <c r="W387" s="32" t="n">
        <f>18658400</f>
        <v>1.86584E7</v>
      </c>
      <c r="X387" s="36" t="n">
        <f>20</f>
        <v>20.0</v>
      </c>
    </row>
    <row r="388">
      <c r="A388" s="27" t="s">
        <v>42</v>
      </c>
      <c r="B388" s="27" t="s">
        <v>1214</v>
      </c>
      <c r="C388" s="27" t="s">
        <v>1215</v>
      </c>
      <c r="D388" s="27" t="s">
        <v>1216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93100</f>
        <v>93100.0</v>
      </c>
      <c r="L388" s="34" t="s">
        <v>48</v>
      </c>
      <c r="M388" s="33" t="n">
        <f>93600</f>
        <v>93600.0</v>
      </c>
      <c r="N388" s="34" t="s">
        <v>70</v>
      </c>
      <c r="O388" s="33" t="n">
        <f>90500</f>
        <v>90500.0</v>
      </c>
      <c r="P388" s="34" t="s">
        <v>62</v>
      </c>
      <c r="Q388" s="33" t="n">
        <f>90800</f>
        <v>90800.0</v>
      </c>
      <c r="R388" s="34" t="s">
        <v>50</v>
      </c>
      <c r="S388" s="35" t="n">
        <f>93025</f>
        <v>93025.0</v>
      </c>
      <c r="T388" s="32" t="n">
        <f>24479</f>
        <v>24479.0</v>
      </c>
      <c r="U388" s="32" t="n">
        <f>1042</f>
        <v>1042.0</v>
      </c>
      <c r="V388" s="32" t="n">
        <f>2269028340</f>
        <v>2.26902834E9</v>
      </c>
      <c r="W388" s="32" t="n">
        <f>97231240</f>
        <v>9.723124E7</v>
      </c>
      <c r="X388" s="36" t="n">
        <f>20</f>
        <v>20.0</v>
      </c>
    </row>
    <row r="389">
      <c r="A389" s="27" t="s">
        <v>42</v>
      </c>
      <c r="B389" s="27" t="s">
        <v>1217</v>
      </c>
      <c r="C389" s="27" t="s">
        <v>1218</v>
      </c>
      <c r="D389" s="27" t="s">
        <v>1219</v>
      </c>
      <c r="E389" s="28" t="s">
        <v>46</v>
      </c>
      <c r="F389" s="29" t="s">
        <v>46</v>
      </c>
      <c r="G389" s="30" t="s">
        <v>46</v>
      </c>
      <c r="H389" s="31"/>
      <c r="I389" s="31" t="s">
        <v>586</v>
      </c>
      <c r="J389" s="32" t="n">
        <v>1.0</v>
      </c>
      <c r="K389" s="33" t="n">
        <f>91900</f>
        <v>91900.0</v>
      </c>
      <c r="L389" s="34" t="s">
        <v>48</v>
      </c>
      <c r="M389" s="33" t="n">
        <f>92900</f>
        <v>92900.0</v>
      </c>
      <c r="N389" s="34" t="s">
        <v>91</v>
      </c>
      <c r="O389" s="33" t="n">
        <f>89500</f>
        <v>89500.0</v>
      </c>
      <c r="P389" s="34" t="s">
        <v>62</v>
      </c>
      <c r="Q389" s="33" t="n">
        <f>90100</f>
        <v>90100.0</v>
      </c>
      <c r="R389" s="34" t="s">
        <v>50</v>
      </c>
      <c r="S389" s="35" t="n">
        <f>92135</f>
        <v>92135.0</v>
      </c>
      <c r="T389" s="32" t="n">
        <f>21636</f>
        <v>21636.0</v>
      </c>
      <c r="U389" s="32" t="n">
        <f>572</f>
        <v>572.0</v>
      </c>
      <c r="V389" s="32" t="n">
        <f>1984927530</f>
        <v>1.98492753E9</v>
      </c>
      <c r="W389" s="32" t="n">
        <f>53142530</f>
        <v>5.314253E7</v>
      </c>
      <c r="X389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