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<sst xmlns="http://schemas.openxmlformats.org/spreadsheetml/2006/main" count="4862" uniqueCount="1270">
  <si>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</si>
  <si>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</si>
  <si>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</si>
  <si>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</si>
  <si>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</si>
  <si>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</si>
  <si>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</si>
  <si>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</si>
  <si>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</si>
  <si>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</si>
  <si>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</si>
  <si>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</si>
  <si>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</si>
  <si>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</si>
  <si>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</si>
  <si>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</si>
  <si>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</si>
  <si>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</si>
  <si>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</si>
  <si>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</si>
  <si>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</si>
  <si>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</si>
  <si>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</si>
  <si>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</si>
  <si>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</si>
  <si>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</si>
  <si>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</si>
  <si>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</si>
  <si>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</si>
  <si>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</si>
  <si>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</si>
  <si>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</si>
  <si>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</si>
  <si>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</si>
  <si>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</si>
  <si>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</si>
  <si>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</si>
  <si>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</si>
  <si>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</si>
  <si>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</si>
  <si>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</si>
  <si>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</si>
  <si>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2023/11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</si>
  <si>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</si>
  <si>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</si>
  <si>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</si>
  <si>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</si>
  <si>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</si>
  <si>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</si>
  <si>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20</t>
  </si>
  <si>
    <t>8</t>
  </si>
  <si>
    <t>30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</si>
  <si>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</si>
  <si>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</si>
  <si>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</si>
  <si>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</si>
  <si>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</si>
  <si>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</si>
  <si>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</si>
  <si>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</si>
  <si>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</si>
  <si>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6</t>
  </si>
  <si>
    <t>27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</si>
  <si>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</si>
  <si>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</si>
  <si>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</si>
  <si>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</si>
  <si>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</si>
  <si>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</si>
  <si>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21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</si>
  <si>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</si>
  <si>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</si>
  <si>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</si>
  <si>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</si>
  <si>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</si>
  <si>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</si>
  <si>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</si>
  <si>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</si>
  <si>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</si>
  <si>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16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</si>
  <si>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</si>
  <si>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</si>
  <si>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</si>
  <si>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</si>
  <si>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</si>
  <si>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</si>
  <si>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1326</t>
  </si>
  <si>
    <t>ＳＰＤＲゴールド・シェア　受益証券</t>
  </si>
  <si>
    <t>SPDR Gold Shares</t>
  </si>
  <si>
    <t>29</t>
  </si>
  <si>
    <t>13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</si>
  <si>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</si>
  <si>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</si>
  <si>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</si>
  <si>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</si>
  <si>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</si>
  <si>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</si>
  <si>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</si>
  <si>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</si>
  <si>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</si>
  <si>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1343</t>
  </si>
  <si>
    <t>ＮＥＸＴ　ＦＵＮＤＳ　東証ＲＥＩＴ　指数連動型上場投信　受益証券</t>
  </si>
  <si>
    <t>NEXT FUNDS REIT INDEX ETF</t>
  </si>
  <si>
    <t>9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</si>
  <si>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</si>
  <si>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</si>
  <si>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</si>
  <si>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</si>
  <si>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</si>
  <si>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</si>
  <si>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</si>
  <si>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</si>
  <si>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</si>
  <si>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</si>
  <si>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</si>
  <si>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</si>
  <si>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2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</si>
  <si>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</si>
  <si>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</si>
  <si>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</si>
  <si>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</si>
  <si>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</si>
  <si>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</si>
  <si>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</si>
  <si>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</si>
  <si>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</si>
  <si>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</si>
  <si>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</si>
  <si>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</si>
  <si>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</si>
  <si>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</si>
  <si>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</si>
  <si>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24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</si>
  <si>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</si>
  <si>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</si>
  <si>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</si>
  <si>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</si>
  <si>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</si>
  <si>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</si>
  <si>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</si>
  <si>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</si>
  <si>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</si>
  <si>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</si>
  <si>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</si>
  <si>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</si>
  <si>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</si>
  <si>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</si>
  <si>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</si>
  <si>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</si>
  <si>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</si>
  <si>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</si>
  <si>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</si>
  <si>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</si>
  <si>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</si>
  <si>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</si>
  <si>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</si>
  <si>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</si>
  <si>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</si>
  <si>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</si>
  <si>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</si>
  <si>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</si>
  <si>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</si>
  <si>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</si>
  <si>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</si>
  <si>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</si>
  <si>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</si>
  <si>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</si>
  <si>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</si>
  <si>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</si>
  <si>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</si>
  <si>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</si>
  <si>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</si>
  <si>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</si>
  <si>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</si>
  <si>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</si>
  <si>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</si>
  <si>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</si>
  <si>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</si>
  <si>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</si>
  <si>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</si>
  <si>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</si>
  <si>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</si>
  <si>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</si>
  <si>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</si>
  <si>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</si>
  <si>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</si>
  <si>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</si>
  <si>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</si>
  <si>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</si>
  <si>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</si>
  <si>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</si>
  <si>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</si>
  <si>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</si>
  <si>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</si>
  <si>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</si>
  <si>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</si>
  <si>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</si>
  <si>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</si>
  <si>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</si>
  <si>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</si>
  <si>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</si>
  <si>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</si>
  <si>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</si>
  <si>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</si>
  <si>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</si>
  <si>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</si>
  <si>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</si>
  <si>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</si>
  <si>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</si>
  <si>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</si>
  <si>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</si>
  <si>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</si>
  <si>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</si>
  <si>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</si>
  <si>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</si>
  <si>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</si>
  <si>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</si>
  <si>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17</t>
  </si>
  <si>
    <t>10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</si>
  <si>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</si>
  <si>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</si>
  <si>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</si>
  <si>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</si>
  <si>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</si>
  <si>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</si>
  <si>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</si>
  <si>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</si>
  <si>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</si>
  <si>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</si>
  <si>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</si>
  <si>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</si>
  <si>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</si>
  <si>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</si>
  <si>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</si>
  <si>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</si>
  <si>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</si>
  <si>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</si>
  <si>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</si>
  <si>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</si>
  <si>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</si>
  <si>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</si>
  <si>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15</t>
  </si>
  <si>
    <t>1492</t>
  </si>
  <si>
    <t>ＭＡＸＩＳ　ＪＰＸ　日経中小型株指数上場投信　受益証券</t>
  </si>
  <si>
    <t>MAXIS JPX-Nikkei Mid and Small Cap Index ETF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</si>
  <si>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</si>
  <si>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</si>
  <si>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</si>
  <si>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</si>
  <si>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</si>
  <si>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</si>
  <si>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</si>
  <si>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</si>
  <si>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</si>
  <si>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</si>
  <si>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</si>
  <si>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</si>
  <si>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</si>
  <si>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</si>
  <si>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</si>
  <si>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</si>
  <si>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</si>
  <si>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</si>
  <si>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</si>
  <si>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</si>
  <si>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</si>
  <si>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</si>
  <si>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</si>
  <si>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</si>
  <si>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</si>
  <si>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</si>
  <si>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</si>
  <si>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</si>
  <si>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</si>
  <si>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</si>
  <si>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</si>
  <si>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</si>
  <si>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</si>
  <si>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</si>
  <si>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</si>
  <si>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</si>
  <si>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</si>
  <si>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</si>
  <si>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</si>
  <si>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</si>
  <si>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</si>
  <si>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</si>
  <si>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</si>
  <si>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</si>
  <si>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</si>
  <si>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</si>
  <si>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</si>
  <si>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</si>
  <si>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28</t>
  </si>
  <si>
    <t>1552</t>
  </si>
  <si>
    <t>国際のＥＴＦ　ＶＩＸ短期先物指数　受益証券</t>
  </si>
  <si>
    <t>KOKUSAI S&amp;P500 VIX SHORT-TERM FUTURES INDEX ETF</t>
  </si>
  <si>
    <t>確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</si>
  <si>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</si>
  <si>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</si>
  <si>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</si>
  <si>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</si>
  <si>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</si>
  <si>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</si>
  <si>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</si>
  <si>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</si>
  <si>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</si>
  <si>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</si>
  <si>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</si>
  <si>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</si>
  <si>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</si>
  <si>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</si>
  <si>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</si>
  <si>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</si>
  <si>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</si>
  <si>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</si>
  <si>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</si>
  <si>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</si>
  <si>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</si>
  <si>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</si>
  <si>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</si>
  <si>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</si>
  <si>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</si>
  <si>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</si>
  <si>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</si>
  <si>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</si>
  <si>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</si>
  <si>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</si>
  <si>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</si>
  <si>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</si>
  <si>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</si>
  <si>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</si>
  <si>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</si>
  <si>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</si>
  <si>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</si>
  <si>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</si>
  <si>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</si>
  <si>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</si>
  <si>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</si>
  <si>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</si>
  <si>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</si>
  <si>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</si>
  <si>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</si>
  <si>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</si>
  <si>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</si>
  <si>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</si>
  <si>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</si>
  <si>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</si>
  <si>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</si>
  <si>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</si>
  <si>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</si>
  <si>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</si>
  <si>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</si>
  <si>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</si>
  <si>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</si>
  <si>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</si>
  <si>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</si>
  <si>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</si>
  <si>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</si>
  <si>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</si>
  <si>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</si>
  <si>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</si>
  <si>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</si>
  <si>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</si>
  <si>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</si>
  <si>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</si>
  <si>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</si>
  <si>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</si>
  <si>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</si>
  <si>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</si>
  <si>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</si>
  <si>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</si>
  <si>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</si>
  <si>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</si>
  <si>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</si>
  <si>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</si>
  <si>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</si>
  <si>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</si>
  <si>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</si>
  <si>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</si>
  <si>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</si>
  <si>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</si>
  <si>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</si>
  <si>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</si>
  <si>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</si>
  <si>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</si>
  <si>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</si>
  <si>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</si>
  <si>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</si>
  <si>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</si>
  <si>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</si>
  <si>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</si>
  <si>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</si>
  <si>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</si>
  <si>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</si>
  <si>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</si>
  <si>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</si>
  <si>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</si>
  <si>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</si>
  <si>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</si>
  <si>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</si>
  <si>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</si>
  <si>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</si>
  <si>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</si>
  <si>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</si>
  <si>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</si>
  <si>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</si>
  <si>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</si>
  <si>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</si>
  <si>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</si>
  <si>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</si>
  <si>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</si>
  <si>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</si>
  <si>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</si>
  <si>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</si>
  <si>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</si>
  <si>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</si>
  <si>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</si>
  <si>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</si>
  <si>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</si>
  <si>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</si>
  <si>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</si>
  <si>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</si>
  <si>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</si>
  <si>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</si>
  <si>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</si>
  <si>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</si>
  <si>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</si>
  <si>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</si>
  <si>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</si>
  <si>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</si>
  <si>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</si>
  <si>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</si>
  <si>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</si>
  <si>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</si>
  <si>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</si>
  <si>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</si>
  <si>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</si>
  <si>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</si>
  <si>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</si>
  <si>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</si>
  <si>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</si>
  <si>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</si>
  <si>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</si>
  <si>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</si>
  <si>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</si>
  <si>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</si>
  <si>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</si>
  <si>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</si>
  <si>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</si>
  <si>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</si>
  <si>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</si>
  <si>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</si>
  <si>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</si>
  <si>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</si>
  <si>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</si>
  <si>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</si>
  <si>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</si>
  <si>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</si>
  <si>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</si>
  <si>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</si>
  <si>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</si>
  <si>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</si>
  <si>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</si>
  <si>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</si>
  <si>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</si>
  <si>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</si>
  <si>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</si>
  <si>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</si>
  <si>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</si>
  <si>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</si>
  <si>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</si>
  <si>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</si>
  <si>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</si>
  <si>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</si>
  <si>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</si>
  <si>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</si>
  <si>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</si>
  <si>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</si>
  <si>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</si>
  <si>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</si>
  <si>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</si>
  <si>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</si>
  <si>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</si>
  <si>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</si>
  <si>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</si>
  <si>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</si>
  <si>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</si>
  <si>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</si>
  <si>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</si>
  <si>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</si>
  <si>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</si>
  <si>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</si>
  <si>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</si>
  <si>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</si>
  <si>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</si>
  <si>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</si>
  <si>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</si>
  <si>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</si>
  <si>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</si>
  <si>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</si>
  <si>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</si>
  <si>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</si>
  <si>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</si>
  <si>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</si>
  <si>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</si>
  <si>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</si>
  <si>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</si>
  <si>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</si>
  <si>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</si>
  <si>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</si>
  <si>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</si>
  <si>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</si>
  <si>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</si>
  <si>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 xml:space="preserve">株式併合  </t>
  </si>
  <si>
    <t xml:space="preserve">stock merge  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</si>
  <si>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</si>
  <si>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</si>
  <si>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</si>
  <si>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</si>
  <si>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</si>
  <si>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</si>
  <si>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</si>
  <si>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</si>
  <si>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</si>
  <si>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</si>
  <si>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</si>
  <si>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</si>
  <si>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</si>
  <si>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</si>
  <si>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</si>
  <si>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7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</si>
  <si>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</si>
  <si>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</si>
  <si>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</si>
  <si>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</si>
  <si>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</si>
  <si>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</si>
  <si>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</si>
  <si>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</si>
  <si>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</si>
  <si>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</si>
  <si>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</si>
  <si>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</si>
  <si>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</si>
  <si>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</si>
  <si>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</si>
  <si>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2011</t>
  </si>
  <si>
    <t>ＳＭＤＡＭ　Ａｃｔｉｖｅ　ＥＴＦ　日本高配当株式　受益証券</t>
  </si>
  <si>
    <t>SMDAM Active ETF Japan High Dividend Equity</t>
  </si>
  <si>
    <t xml:space="preserve">新規上場  </t>
  </si>
  <si>
    <t xml:space="preserve">New Listing  </t>
  </si>
  <si>
    <t xml:space="preserve">2023/11/29  </t>
  </si>
  <si>
    <t>2031</t>
  </si>
  <si>
    <t>ＮＥＸＴ　ＮＯＴＥＳ　香港ハンセン・ダブル・ブル　ＥＴＮ　受益証券</t>
  </si>
  <si>
    <t>NEXT NOTES HSI Leveraged ETN</t>
  </si>
  <si>
    <t>信用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</si>
  <si>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</si>
  <si>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</si>
  <si>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</si>
  <si>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</si>
  <si>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</si>
  <si>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</si>
  <si>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</si>
  <si>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</si>
  <si>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</si>
  <si>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</si>
  <si>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</si>
  <si>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</si>
  <si>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</si>
  <si>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</si>
  <si>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</si>
  <si>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</si>
  <si>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</si>
  <si>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</si>
  <si>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</si>
  <si>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</si>
  <si>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</si>
  <si>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</si>
  <si>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</si>
  <si>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</si>
  <si>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</si>
  <si>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</si>
  <si>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</si>
  <si>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</si>
  <si>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</si>
  <si>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</si>
  <si>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</si>
  <si>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</si>
  <si>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</si>
  <si>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</si>
  <si>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</si>
  <si>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</si>
  <si>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</si>
  <si>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</si>
  <si>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</si>
  <si>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</si>
  <si>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</si>
  <si>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</si>
  <si>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</si>
  <si>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</si>
  <si>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</si>
  <si>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</si>
  <si>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</si>
  <si>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</si>
  <si>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</si>
  <si>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</si>
  <si>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</si>
  <si>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</si>
  <si>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</si>
  <si>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</si>
  <si>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</si>
  <si>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</si>
  <si>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</si>
  <si>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</si>
  <si>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</si>
  <si>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</si>
  <si>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</si>
  <si>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</si>
  <si>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</si>
  <si>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</si>
  <si>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</si>
  <si>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</si>
  <si>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</si>
  <si>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</si>
  <si>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</si>
  <si>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</si>
  <si>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</si>
  <si>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</si>
  <si>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</si>
  <si>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</si>
  <si>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</si>
  <si>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</si>
  <si>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</si>
  <si>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</si>
  <si>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</si>
  <si>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</si>
  <si>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</si>
  <si>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</si>
  <si>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</si>
  <si>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</si>
  <si>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</si>
  <si>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</si>
  <si>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</si>
  <si>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</si>
  <si>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</si>
  <si>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</si>
  <si>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</si>
  <si>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</si>
  <si>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</si>
  <si>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</si>
  <si>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</si>
  <si>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</si>
  <si>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</si>
  <si>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</si>
  <si>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</si>
  <si>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</si>
  <si>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</si>
  <si>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</si>
  <si>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</si>
  <si>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</si>
  <si>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</si>
  <si>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</si>
  <si>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</si>
  <si>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</si>
  <si>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</si>
  <si>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</si>
  <si>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</si>
  <si>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</si>
  <si>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</si>
  <si>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</si>
  <si>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</si>
  <si>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</si>
  <si>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</si>
  <si>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</si>
  <si>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</si>
  <si>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</si>
  <si>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</si>
  <si>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</si>
  <si>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</si>
  <si>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</si>
  <si>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</si>
  <si>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</si>
  <si>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</si>
  <si>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</si>
  <si>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</si>
  <si>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</si>
  <si>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</si>
  <si>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</si>
  <si>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</si>
  <si>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</si>
  <si>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</si>
  <si>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</si>
  <si>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</si>
  <si>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</si>
  <si>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</si>
  <si>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</si>
  <si>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</si>
  <si>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</si>
  <si>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</si>
  <si>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</si>
  <si>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</si>
  <si>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</si>
  <si>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</si>
  <si>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</si>
  <si>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</si>
  <si>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</si>
  <si>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</si>
  <si>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</si>
  <si>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</si>
  <si>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</si>
  <si>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</si>
  <si>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</si>
  <si>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</si>
  <si>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</si>
  <si>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</si>
  <si>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</si>
  <si>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</si>
  <si>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</si>
  <si>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</si>
  <si>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</si>
  <si>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</si>
  <si>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</si>
  <si>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</si>
  <si>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</si>
  <si>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</si>
  <si>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</si>
  <si>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</si>
  <si>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</si>
  <si>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</si>
  <si>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</si>
  <si>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</si>
  <si>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</si>
  <si>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</si>
  <si>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</si>
  <si>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</si>
  <si>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</si>
  <si>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</si>
  <si>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</si>
  <si>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</si>
  <si>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</si>
  <si>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</si>
  <si>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</si>
  <si>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</si>
  <si>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</si>
  <si>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</si>
  <si>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</si>
  <si>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</si>
  <si>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</si>
  <si>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</si>
  <si>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</si>
  <si>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</si>
  <si>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</si>
  <si>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</si>
  <si>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</si>
  <si>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</si>
  <si>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 xml:space="preserve">2023/11/28  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</si>
  <si>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</si>
  <si>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</si>
  <si>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</si>
  <si>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</si>
  <si>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</si>
  <si>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</si>
  <si>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</si>
  <si>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</si>
  <si>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</si>
  <si>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</si>
  <si>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</si>
  <si>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</si>
  <si>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</si>
  <si>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</si>
  <si>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</si>
  <si>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</si>
  <si>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</si>
  <si>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</si>
  <si>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</si>
  <si>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</si>
  <si>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</si>
  <si>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</si>
  <si>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</si>
  <si>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</si>
  <si>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</si>
  <si>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</si>
  <si>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</si>
  <si>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</si>
  <si>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</si>
  <si>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</si>
  <si>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</si>
  <si>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</si>
  <si>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</si>
  <si>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</si>
  <si>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</si>
  <si>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</si>
  <si>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</si>
  <si>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</si>
  <si>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</si>
  <si>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</si>
  <si>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</si>
  <si>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</si>
  <si>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</si>
  <si>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</si>
  <si>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</si>
  <si>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</si>
  <si>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</si>
  <si>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</si>
  <si>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</si>
  <si>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</si>
  <si>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</si>
  <si>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</si>
  <si>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</si>
  <si>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</si>
  <si>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</si>
  <si>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</si>
  <si>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</si>
  <si>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</si>
  <si>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</si>
  <si>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</si>
  <si>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</si>
  <si>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</si>
  <si>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</si>
  <si>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</si>
  <si>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</si>
  <si>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</si>
  <si>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</si>
  <si>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</si>
  <si>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</si>
  <si>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</si>
  <si>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</si>
  <si>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</si>
  <si>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</si>
  <si>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</si>
  <si>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</si>
  <si>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</si>
  <si>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</si>
  <si>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</si>
  <si>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</si>
  <si>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</si>
  <si>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</si>
  <si>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</si>
  <si>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</si>
  <si>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</si>
  <si>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</si>
  <si>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</si>
  <si>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</si>
  <si>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</si>
  <si>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</si>
  <si>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</si>
  <si>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</si>
  <si>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</si>
  <si>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</si>
  <si>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</si>
  <si>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</si>
  <si>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</si>
  <si>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</si>
  <si>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</si>
  <si>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</si>
  <si>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</si>
  <si>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</si>
  <si>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</si>
  <si>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</si>
  <si>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</si>
  <si>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</si>
  <si>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</si>
  <si>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</si>
  <si>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</si>
  <si>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</si>
  <si>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</si>
  <si>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</si>
  <si>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</si>
  <si>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</si>
  <si>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</si>
  <si>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</si>
  <si>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</si>
  <si>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</si>
  <si>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</si>
  <si>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</si>
  <si>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</si>
  <si>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</si>
  <si>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</si>
  <si>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</si>
  <si>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</si>
  <si>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</si>
  <si>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</si>
  <si>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</si>
  <si>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</si>
  <si>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</si>
  <si>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</si>
  <si>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</si>
  <si>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</si>
  <si>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</si>
  <si>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</si>
  <si>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</si>
  <si>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</si>
  <si>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</si>
  <si>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</si>
  <si>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</si>
  <si>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</si>
  <si>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</si>
  <si>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</si>
  <si>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</si>
  <si>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</si>
  <si>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</si>
  <si>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</si>
  <si>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</si>
  <si>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</si>
  <si>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</si>
  <si>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</si>
  <si>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</si>
  <si>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</si>
  <si>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</si>
  <si>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</si>
  <si>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</si>
  <si>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</si>
  <si>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</si>
  <si>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</si>
  <si>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</si>
  <si>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</si>
  <si>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</si>
  <si>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</si>
  <si>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</si>
  <si>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</si>
  <si>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</si>
  <si>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</si>
  <si>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</si>
  <si>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</si>
  <si>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</si>
  <si>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</si>
  <si>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</si>
  <si>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</si>
  <si>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</si>
  <si>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</si>
  <si>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</si>
  <si>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</si>
  <si>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</si>
  <si>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</si>
  <si>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</si>
  <si>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</si>
  <si>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</si>
  <si>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</si>
  <si>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</si>
  <si>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</si>
  <si>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</si>
  <si>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</si>
  <si>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</si>
  <si>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</si>
  <si>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</si>
  <si>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</si>
  <si>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</si>
  <si>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</si>
  <si>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</si>
  <si>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</si>
  <si>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</si>
  <si>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</si>
  <si>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</si>
  <si>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</si>
  <si>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</si>
  <si>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</si>
  <si>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</si>
  <si>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</si>
  <si>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</si>
  <si>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</si>
  <si>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</si>
  <si>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</si>
  <si>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</si>
  <si>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</si>
  <si>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</si>
  <si>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</si>
  <si>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</si>
  <si>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</si>
  <si>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</si>
  <si>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</si>
  <si>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</si>
  <si>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</si>
  <si>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</si>
  <si>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</si>
  <si>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</si>
  <si>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</si>
  <si>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</si>
  <si>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</si>
  <si>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</si>
  <si>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</si>
  <si>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</si>
  <si>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</si>
  <si>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</si>
  <si>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</si>
  <si>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</si>
  <si>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</si>
  <si>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</si>
  <si>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</si>
  <si>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</si>
  <si>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</si>
  <si>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</si>
  <si>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</si>
  <si>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</si>
  <si>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</si>
  <si>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</si>
  <si>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</si>
  <si>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</si>
  <si>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</si>
  <si>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</si>
  <si>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</si>
  <si>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</si>
  <si>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</si>
  <si>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</si>
  <si>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</si>
  <si>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</si>
  <si>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</si>
  <si>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</si>
  <si>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</si>
  <si>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</si>
  <si>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</si>
  <si>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</si>
  <si>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</si>
  <si>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</si>
  <si>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</si>
  <si>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</si>
  <si>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</si>
  <si>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</si>
  <si>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</si>
  <si>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</si>
  <si>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</si>
  <si>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</si>
  <si>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</si>
  <si>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</si>
  <si>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</si>
  <si>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</si>
  <si>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</si>
  <si>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</si>
  <si>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</si>
  <si>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</si>
  <si>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</si>
  <si>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</si>
  <si>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</si>
  <si>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</si>
  <si>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</si>
  <si>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</si>
  <si>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</si>
  <si>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</si>
  <si>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</si>
  <si>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</si>
  <si>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</si>
  <si>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</si>
  <si>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</si>
  <si>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</si>
  <si>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</si>
  <si>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</si>
  <si>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</si>
  <si>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</si>
  <si>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</si>
  <si>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</si>
  <si>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</si>
  <si>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</si>
  <si>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</si>
  <si>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</si>
  <si>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</si>
  <si>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</si>
  <si>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</si>
  <si>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</si>
  <si>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</si>
  <si>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</si>
  <si>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</si>
  <si>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</si>
  <si>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</si>
  <si>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</si>
  <si>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</si>
  <si>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</si>
  <si>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</si>
  <si>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</si>
  <si>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</si>
  <si>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</si>
  <si>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</si>
  <si>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</si>
  <si>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</si>
  <si>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</si>
  <si>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</si>
  <si>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</si>
  <si>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</si>
  <si>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</si>
  <si>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</si>
  <si>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</si>
  <si>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</si>
  <si>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</si>
  <si>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</si>
  <si>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</si>
  <si>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</si>
  <si>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</si>
  <si>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</si>
  <si>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</si>
  <si>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</si>
  <si>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</si>
  <si>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</si>
  <si>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</si>
  <si>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</si>
  <si>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</si>
  <si>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</si>
  <si>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</si>
  <si>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</si>
  <si>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</si>
  <si>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</si>
  <si>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</si>
  <si>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</si>
  <si>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</si>
  <si>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</si>
  <si>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</si>
  <si>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</si>
  <si>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</si>
  <si>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</si>
  <si>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</si>
  <si>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</si>
  <si>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</si>
  <si>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</si>
  <si>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</si>
  <si>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</si>
  <si>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</si>
  <si>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</si>
  <si>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</si>
  <si>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</si>
  <si>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</si>
  <si>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</si>
  <si>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</si>
  <si>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</si>
  <si>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</si>
  <si>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</si>
  <si>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</si>
  <si>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</si>
  <si>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</si>
  <si>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</si>
  <si>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</si>
  <si>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</si>
  <si>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</si>
  <si>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</si>
  <si>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</si>
  <si>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</si>
  <si>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</si>
  <si>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</si>
  <si>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</si>
  <si>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</si>
  <si>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</si>
  <si>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</si>
  <si>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</si>
  <si>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</si>
  <si>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</si>
  <si>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</si>
  <si>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</si>
  <si>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</si>
  <si>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</si>
  <si>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</si>
  <si>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</si>
  <si>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</si>
  <si>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</si>
  <si>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</si>
  <si>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</si>
  <si>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</si>
  <si>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</si>
  <si>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</si>
  <si>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</si>
  <si>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</si>
  <si>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</si>
  <si>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</si>
  <si>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</si>
  <si>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</si>
  <si>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</si>
  <si>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</si>
  <si>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大江戸温泉リート投資法人　投資証券</t>
  </si>
  <si>
    <t>Ooedo Onsen Reit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</si>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</sst>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08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2430</f>
        <v>2430.0</v>
      </c>
      <c r="L7" s="34" t="s">
        <v>48</v>
      </c>
      <c r="M7" s="33" t="n">
        <f>2540</f>
        <v>2540.0</v>
      </c>
      <c r="N7" s="34" t="s">
        <v>49</v>
      </c>
      <c r="O7" s="33" t="n">
        <f>2424.5</f>
        <v>2424.5</v>
      </c>
      <c r="P7" s="34" t="s">
        <v>50</v>
      </c>
      <c r="Q7" s="33" t="n">
        <f>2506.5</f>
        <v>2506.5</v>
      </c>
      <c r="R7" s="34" t="s">
        <v>51</v>
      </c>
      <c r="S7" s="35" t="n">
        <f>2488.38</f>
        <v>2488.38</v>
      </c>
      <c r="T7" s="32" t="n">
        <f>2692520</f>
        <v>2692520.0</v>
      </c>
      <c r="U7" s="32" t="n">
        <f>1006510</f>
        <v>1006510.0</v>
      </c>
      <c r="V7" s="32" t="n">
        <f>6696158539</f>
        <v>6.696158539E9</v>
      </c>
      <c r="W7" s="32" t="n">
        <f>2508298824</f>
        <v>2.508298824E9</v>
      </c>
      <c r="X7" s="36" t="n">
        <f>20</f>
        <v>20.0</v>
      </c>
    </row>
    <row r="8">
      <c r="A8" s="27" t="s">
        <v>42</v>
      </c>
      <c r="B8" s="27" t="s">
        <v>52</v>
      </c>
      <c r="C8" s="27" t="s">
        <v>53</v>
      </c>
      <c r="D8" s="27" t="s">
        <v>54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2403.5</f>
        <v>2403.5</v>
      </c>
      <c r="L8" s="34" t="s">
        <v>48</v>
      </c>
      <c r="M8" s="33" t="n">
        <f>2513</f>
        <v>2513.0</v>
      </c>
      <c r="N8" s="34" t="s">
        <v>49</v>
      </c>
      <c r="O8" s="33" t="n">
        <f>2398.5</f>
        <v>2398.5</v>
      </c>
      <c r="P8" s="34" t="s">
        <v>50</v>
      </c>
      <c r="Q8" s="33" t="n">
        <f>2482</f>
        <v>2482.0</v>
      </c>
      <c r="R8" s="34" t="s">
        <v>51</v>
      </c>
      <c r="S8" s="35" t="n">
        <f>2461.3</f>
        <v>2461.3</v>
      </c>
      <c r="T8" s="32" t="n">
        <f>56257030</f>
        <v>5.625703E7</v>
      </c>
      <c r="U8" s="32" t="n">
        <f>23932750</f>
        <v>2.393275E7</v>
      </c>
      <c r="V8" s="32" t="n">
        <f>138598486572</f>
        <v>1.38598486572E11</v>
      </c>
      <c r="W8" s="32" t="n">
        <f>59107957252</f>
        <v>5.9107957252E10</v>
      </c>
      <c r="X8" s="36" t="n">
        <f>20</f>
        <v>20.0</v>
      </c>
    </row>
    <row r="9">
      <c r="A9" s="27" t="s">
        <v>42</v>
      </c>
      <c r="B9" s="27" t="s">
        <v>55</v>
      </c>
      <c r="C9" s="27" t="s">
        <v>56</v>
      </c>
      <c r="D9" s="27" t="s">
        <v>57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2373</f>
        <v>2373.0</v>
      </c>
      <c r="L9" s="34" t="s">
        <v>48</v>
      </c>
      <c r="M9" s="33" t="n">
        <f>2484</f>
        <v>2484.0</v>
      </c>
      <c r="N9" s="34" t="s">
        <v>49</v>
      </c>
      <c r="O9" s="33" t="n">
        <f>2370</f>
        <v>2370.0</v>
      </c>
      <c r="P9" s="34" t="s">
        <v>48</v>
      </c>
      <c r="Q9" s="33" t="n">
        <f>2449</f>
        <v>2449.0</v>
      </c>
      <c r="R9" s="34" t="s">
        <v>51</v>
      </c>
      <c r="S9" s="35" t="n">
        <f>2432.55</f>
        <v>2432.55</v>
      </c>
      <c r="T9" s="32" t="n">
        <f>11598902</f>
        <v>1.1598902E7</v>
      </c>
      <c r="U9" s="32" t="n">
        <f>3064694</f>
        <v>3064694.0</v>
      </c>
      <c r="V9" s="32" t="n">
        <f>28361553226</f>
        <v>2.8361553226E10</v>
      </c>
      <c r="W9" s="32" t="n">
        <f>7517016302</f>
        <v>7.517016302E9</v>
      </c>
      <c r="X9" s="36" t="n">
        <f>20</f>
        <v>20.0</v>
      </c>
    </row>
    <row r="10">
      <c r="A10" s="27" t="s">
        <v>42</v>
      </c>
      <c r="B10" s="27" t="s">
        <v>58</v>
      </c>
      <c r="C10" s="27" t="s">
        <v>59</v>
      </c>
      <c r="D10" s="27" t="s">
        <v>60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39010</f>
        <v>39010.0</v>
      </c>
      <c r="L10" s="34" t="s">
        <v>48</v>
      </c>
      <c r="M10" s="33" t="n">
        <f>39750</f>
        <v>39750.0</v>
      </c>
      <c r="N10" s="34" t="s">
        <v>61</v>
      </c>
      <c r="O10" s="33" t="n">
        <f>37540</f>
        <v>37540.0</v>
      </c>
      <c r="P10" s="34" t="s">
        <v>62</v>
      </c>
      <c r="Q10" s="33" t="n">
        <f>38060</f>
        <v>38060.0</v>
      </c>
      <c r="R10" s="34" t="s">
        <v>51</v>
      </c>
      <c r="S10" s="35" t="n">
        <f>38930</f>
        <v>38930.0</v>
      </c>
      <c r="T10" s="32" t="n">
        <f>2250</f>
        <v>2250.0</v>
      </c>
      <c r="U10" s="32" t="str">
        <f>"－"</f>
        <v>－</v>
      </c>
      <c r="V10" s="32" t="n">
        <f>87420390</f>
        <v>8.742039E7</v>
      </c>
      <c r="W10" s="32" t="str">
        <f>"－"</f>
        <v>－</v>
      </c>
      <c r="X10" s="36" t="n">
        <f>20</f>
        <v>20.0</v>
      </c>
    </row>
    <row r="11">
      <c r="A11" s="27" t="s">
        <v>42</v>
      </c>
      <c r="B11" s="27" t="s">
        <v>63</v>
      </c>
      <c r="C11" s="27" t="s">
        <v>64</v>
      </c>
      <c r="D11" s="27" t="s">
        <v>65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1155</f>
        <v>1155.0</v>
      </c>
      <c r="L11" s="34" t="s">
        <v>48</v>
      </c>
      <c r="M11" s="33" t="n">
        <f>1225</f>
        <v>1225.0</v>
      </c>
      <c r="N11" s="34" t="s">
        <v>49</v>
      </c>
      <c r="O11" s="33" t="n">
        <f>1155</f>
        <v>1155.0</v>
      </c>
      <c r="P11" s="34" t="s">
        <v>48</v>
      </c>
      <c r="Q11" s="33" t="n">
        <f>1192</f>
        <v>1192.0</v>
      </c>
      <c r="R11" s="34" t="s">
        <v>51</v>
      </c>
      <c r="S11" s="35" t="n">
        <f>1193.13</f>
        <v>1193.13</v>
      </c>
      <c r="T11" s="32" t="n">
        <f>118160</f>
        <v>118160.0</v>
      </c>
      <c r="U11" s="32" t="str">
        <f>"－"</f>
        <v>－</v>
      </c>
      <c r="V11" s="32" t="n">
        <f>140990355</f>
        <v>1.40990355E8</v>
      </c>
      <c r="W11" s="32" t="str">
        <f>"－"</f>
        <v>－</v>
      </c>
      <c r="X11" s="36" t="n">
        <f>20</f>
        <v>20.0</v>
      </c>
    </row>
    <row r="12">
      <c r="A12" s="27" t="s">
        <v>42</v>
      </c>
      <c r="B12" s="27" t="s">
        <v>66</v>
      </c>
      <c r="C12" s="27" t="s">
        <v>67</v>
      </c>
      <c r="D12" s="27" t="s">
        <v>68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387.2</f>
        <v>387.2</v>
      </c>
      <c r="L12" s="34" t="s">
        <v>48</v>
      </c>
      <c r="M12" s="33" t="n">
        <f>417.9</f>
        <v>417.9</v>
      </c>
      <c r="N12" s="34" t="s">
        <v>69</v>
      </c>
      <c r="O12" s="33" t="n">
        <f>387.2</f>
        <v>387.2</v>
      </c>
      <c r="P12" s="34" t="s">
        <v>48</v>
      </c>
      <c r="Q12" s="33" t="n">
        <f>406.6</f>
        <v>406.6</v>
      </c>
      <c r="R12" s="34" t="s">
        <v>62</v>
      </c>
      <c r="S12" s="35" t="n">
        <f>405.12</f>
        <v>405.12</v>
      </c>
      <c r="T12" s="32" t="n">
        <f>30000</f>
        <v>30000.0</v>
      </c>
      <c r="U12" s="32" t="str">
        <f>"－"</f>
        <v>－</v>
      </c>
      <c r="V12" s="32" t="n">
        <f>12081000</f>
        <v>1.2081E7</v>
      </c>
      <c r="W12" s="32" t="str">
        <f>"－"</f>
        <v>－</v>
      </c>
      <c r="X12" s="36" t="n">
        <f>10</f>
        <v>10.0</v>
      </c>
    </row>
    <row r="13">
      <c r="A13" s="27" t="s">
        <v>42</v>
      </c>
      <c r="B13" s="27" t="s">
        <v>70</v>
      </c>
      <c r="C13" s="27" t="s">
        <v>71</v>
      </c>
      <c r="D13" s="27" t="s">
        <v>72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32360</f>
        <v>32360.0</v>
      </c>
      <c r="L13" s="34" t="s">
        <v>48</v>
      </c>
      <c r="M13" s="33" t="n">
        <f>34940</f>
        <v>34940.0</v>
      </c>
      <c r="N13" s="34" t="s">
        <v>49</v>
      </c>
      <c r="O13" s="33" t="n">
        <f>32360</f>
        <v>32360.0</v>
      </c>
      <c r="P13" s="34" t="s">
        <v>48</v>
      </c>
      <c r="Q13" s="33" t="n">
        <f>34510</f>
        <v>34510.0</v>
      </c>
      <c r="R13" s="34" t="s">
        <v>51</v>
      </c>
      <c r="S13" s="35" t="n">
        <f>33999.5</f>
        <v>33999.5</v>
      </c>
      <c r="T13" s="32" t="n">
        <f>1226171</f>
        <v>1226171.0</v>
      </c>
      <c r="U13" s="32" t="n">
        <f>85285</f>
        <v>85285.0</v>
      </c>
      <c r="V13" s="32" t="n">
        <f>41583944384</f>
        <v>4.1583944384E10</v>
      </c>
      <c r="W13" s="32" t="n">
        <f>2906238144</f>
        <v>2.906238144E9</v>
      </c>
      <c r="X13" s="36" t="n">
        <f>20</f>
        <v>20.0</v>
      </c>
    </row>
    <row r="14">
      <c r="A14" s="27" t="s">
        <v>42</v>
      </c>
      <c r="B14" s="27" t="s">
        <v>73</v>
      </c>
      <c r="C14" s="27" t="s">
        <v>74</v>
      </c>
      <c r="D14" s="27" t="s">
        <v>75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32480</f>
        <v>32480.0</v>
      </c>
      <c r="L14" s="34" t="s">
        <v>48</v>
      </c>
      <c r="M14" s="33" t="n">
        <f>35070</f>
        <v>35070.0</v>
      </c>
      <c r="N14" s="34" t="s">
        <v>49</v>
      </c>
      <c r="O14" s="33" t="n">
        <f>32480</f>
        <v>32480.0</v>
      </c>
      <c r="P14" s="34" t="s">
        <v>48</v>
      </c>
      <c r="Q14" s="33" t="n">
        <f>34660</f>
        <v>34660.0</v>
      </c>
      <c r="R14" s="34" t="s">
        <v>51</v>
      </c>
      <c r="S14" s="35" t="n">
        <f>34127</f>
        <v>34127.0</v>
      </c>
      <c r="T14" s="32" t="n">
        <f>6859298</f>
        <v>6859298.0</v>
      </c>
      <c r="U14" s="32" t="n">
        <f>293720</f>
        <v>293720.0</v>
      </c>
      <c r="V14" s="32" t="n">
        <f>234151997650</f>
        <v>2.3415199765E11</v>
      </c>
      <c r="W14" s="32" t="n">
        <f>9966237670</f>
        <v>9.96623767E9</v>
      </c>
      <c r="X14" s="36" t="n">
        <f>20</f>
        <v>20.0</v>
      </c>
    </row>
    <row r="15">
      <c r="A15" s="27" t="s">
        <v>42</v>
      </c>
      <c r="B15" s="27" t="s">
        <v>76</v>
      </c>
      <c r="C15" s="27" t="s">
        <v>77</v>
      </c>
      <c r="D15" s="27" t="s">
        <v>78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7548</f>
        <v>7548.0</v>
      </c>
      <c r="L15" s="34" t="s">
        <v>48</v>
      </c>
      <c r="M15" s="33" t="n">
        <f>7729</f>
        <v>7729.0</v>
      </c>
      <c r="N15" s="34" t="s">
        <v>79</v>
      </c>
      <c r="O15" s="33" t="n">
        <f>7379</f>
        <v>7379.0</v>
      </c>
      <c r="P15" s="34" t="s">
        <v>51</v>
      </c>
      <c r="Q15" s="33" t="n">
        <f>7386</f>
        <v>7386.0</v>
      </c>
      <c r="R15" s="34" t="s">
        <v>51</v>
      </c>
      <c r="S15" s="35" t="n">
        <f>7595.4</f>
        <v>7595.4</v>
      </c>
      <c r="T15" s="32" t="n">
        <f>4640</f>
        <v>4640.0</v>
      </c>
      <c r="U15" s="32" t="str">
        <f>"－"</f>
        <v>－</v>
      </c>
      <c r="V15" s="32" t="n">
        <f>35198870</f>
        <v>3.519887E7</v>
      </c>
      <c r="W15" s="32" t="str">
        <f>"－"</f>
        <v>－</v>
      </c>
      <c r="X15" s="36" t="n">
        <f>20</f>
        <v>20.0</v>
      </c>
    </row>
    <row r="16">
      <c r="A16" s="27" t="s">
        <v>42</v>
      </c>
      <c r="B16" s="27" t="s">
        <v>80</v>
      </c>
      <c r="C16" s="27" t="s">
        <v>81</v>
      </c>
      <c r="D16" s="27" t="s">
        <v>82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83</v>
      </c>
      <c r="C17" s="27" t="s">
        <v>84</v>
      </c>
      <c r="D17" s="27" t="s">
        <v>85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218.9</f>
        <v>218.9</v>
      </c>
      <c r="L17" s="34" t="s">
        <v>48</v>
      </c>
      <c r="M17" s="33" t="n">
        <f>248</f>
        <v>248.0</v>
      </c>
      <c r="N17" s="34" t="s">
        <v>79</v>
      </c>
      <c r="O17" s="33" t="n">
        <f>212</f>
        <v>212.0</v>
      </c>
      <c r="P17" s="34" t="s">
        <v>48</v>
      </c>
      <c r="Q17" s="33" t="n">
        <f>242.4</f>
        <v>242.4</v>
      </c>
      <c r="R17" s="34" t="s">
        <v>51</v>
      </c>
      <c r="S17" s="35" t="n">
        <f>237.27</f>
        <v>237.27</v>
      </c>
      <c r="T17" s="32" t="n">
        <f>969900</f>
        <v>969900.0</v>
      </c>
      <c r="U17" s="32" t="str">
        <f>"－"</f>
        <v>－</v>
      </c>
      <c r="V17" s="32" t="n">
        <f>229020410</f>
        <v>2.2902041E8</v>
      </c>
      <c r="W17" s="32" t="str">
        <f>"－"</f>
        <v>－</v>
      </c>
      <c r="X17" s="36" t="n">
        <f>20</f>
        <v>20.0</v>
      </c>
    </row>
    <row r="18">
      <c r="A18" s="27" t="s">
        <v>42</v>
      </c>
      <c r="B18" s="27" t="s">
        <v>86</v>
      </c>
      <c r="C18" s="27" t="s">
        <v>87</v>
      </c>
      <c r="D18" s="27" t="s">
        <v>88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27830</f>
        <v>27830.0</v>
      </c>
      <c r="L18" s="34" t="s">
        <v>48</v>
      </c>
      <c r="M18" s="33" t="n">
        <f>27940</f>
        <v>27940.0</v>
      </c>
      <c r="N18" s="34" t="s">
        <v>89</v>
      </c>
      <c r="O18" s="33" t="n">
        <f>27200</f>
        <v>27200.0</v>
      </c>
      <c r="P18" s="34" t="s">
        <v>90</v>
      </c>
      <c r="Q18" s="33" t="n">
        <f>27830</f>
        <v>27830.0</v>
      </c>
      <c r="R18" s="34" t="s">
        <v>51</v>
      </c>
      <c r="S18" s="35" t="n">
        <f>27562.75</f>
        <v>27562.75</v>
      </c>
      <c r="T18" s="32" t="n">
        <f>112897</f>
        <v>112897.0</v>
      </c>
      <c r="U18" s="32" t="str">
        <f>"－"</f>
        <v>－</v>
      </c>
      <c r="V18" s="32" t="n">
        <f>3111259915</f>
        <v>3.111259915E9</v>
      </c>
      <c r="W18" s="32" t="str">
        <f>"－"</f>
        <v>－</v>
      </c>
      <c r="X18" s="36" t="n">
        <f>20</f>
        <v>20.0</v>
      </c>
    </row>
    <row r="19">
      <c r="A19" s="27" t="s">
        <v>42</v>
      </c>
      <c r="B19" s="27" t="s">
        <v>91</v>
      </c>
      <c r="C19" s="27" t="s">
        <v>92</v>
      </c>
      <c r="D19" s="27" t="s">
        <v>93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7403</f>
        <v>7403.0</v>
      </c>
      <c r="L19" s="34" t="s">
        <v>48</v>
      </c>
      <c r="M19" s="33" t="n">
        <f>7435</f>
        <v>7435.0</v>
      </c>
      <c r="N19" s="34" t="s">
        <v>89</v>
      </c>
      <c r="O19" s="33" t="n">
        <f>7232</f>
        <v>7232.0</v>
      </c>
      <c r="P19" s="34" t="s">
        <v>90</v>
      </c>
      <c r="Q19" s="33" t="n">
        <f>7402</f>
        <v>7402.0</v>
      </c>
      <c r="R19" s="34" t="s">
        <v>51</v>
      </c>
      <c r="S19" s="35" t="n">
        <f>7327.65</f>
        <v>7327.65</v>
      </c>
      <c r="T19" s="32" t="n">
        <f>191560</f>
        <v>191560.0</v>
      </c>
      <c r="U19" s="32" t="n">
        <f>13210</f>
        <v>13210.0</v>
      </c>
      <c r="V19" s="32" t="n">
        <f>1406139590</f>
        <v>1.40613959E9</v>
      </c>
      <c r="W19" s="32" t="n">
        <f>97970480</f>
        <v>9.797048E7</v>
      </c>
      <c r="X19" s="36" t="n">
        <f>20</f>
        <v>20.0</v>
      </c>
    </row>
    <row r="20">
      <c r="A20" s="27" t="s">
        <v>42</v>
      </c>
      <c r="B20" s="27" t="s">
        <v>94</v>
      </c>
      <c r="C20" s="27" t="s">
        <v>95</v>
      </c>
      <c r="D20" s="27" t="s">
        <v>96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32660</f>
        <v>32660.0</v>
      </c>
      <c r="L20" s="34" t="s">
        <v>48</v>
      </c>
      <c r="M20" s="33" t="n">
        <f>35230</f>
        <v>35230.0</v>
      </c>
      <c r="N20" s="34" t="s">
        <v>49</v>
      </c>
      <c r="O20" s="33" t="n">
        <f>32640</f>
        <v>32640.0</v>
      </c>
      <c r="P20" s="34" t="s">
        <v>48</v>
      </c>
      <c r="Q20" s="33" t="n">
        <f>34810</f>
        <v>34810.0</v>
      </c>
      <c r="R20" s="34" t="s">
        <v>51</v>
      </c>
      <c r="S20" s="35" t="n">
        <f>34291.5</f>
        <v>34291.5</v>
      </c>
      <c r="T20" s="32" t="n">
        <f>1290470</f>
        <v>1290470.0</v>
      </c>
      <c r="U20" s="32" t="n">
        <f>655614</f>
        <v>655614.0</v>
      </c>
      <c r="V20" s="32" t="n">
        <f>43951660296</f>
        <v>4.3951660296E10</v>
      </c>
      <c r="W20" s="32" t="n">
        <f>22208882746</f>
        <v>2.2208882746E10</v>
      </c>
      <c r="X20" s="36" t="n">
        <f>20</f>
        <v>20.0</v>
      </c>
    </row>
    <row r="21">
      <c r="A21" s="27" t="s">
        <v>42</v>
      </c>
      <c r="B21" s="27" t="s">
        <v>97</v>
      </c>
      <c r="C21" s="27" t="s">
        <v>98</v>
      </c>
      <c r="D21" s="27" t="s">
        <v>99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32510</f>
        <v>32510.0</v>
      </c>
      <c r="L21" s="34" t="s">
        <v>48</v>
      </c>
      <c r="M21" s="33" t="n">
        <f>35110</f>
        <v>35110.0</v>
      </c>
      <c r="N21" s="34" t="s">
        <v>49</v>
      </c>
      <c r="O21" s="33" t="n">
        <f>32510</f>
        <v>32510.0</v>
      </c>
      <c r="P21" s="34" t="s">
        <v>48</v>
      </c>
      <c r="Q21" s="33" t="n">
        <f>34680</f>
        <v>34680.0</v>
      </c>
      <c r="R21" s="34" t="s">
        <v>51</v>
      </c>
      <c r="S21" s="35" t="n">
        <f>34164</f>
        <v>34164.0</v>
      </c>
      <c r="T21" s="32" t="n">
        <f>976192</f>
        <v>976192.0</v>
      </c>
      <c r="U21" s="32" t="n">
        <f>415096</f>
        <v>415096.0</v>
      </c>
      <c r="V21" s="32" t="n">
        <f>33051110142</f>
        <v>3.3051110142E10</v>
      </c>
      <c r="W21" s="32" t="n">
        <f>13945172652</f>
        <v>1.3945172652E10</v>
      </c>
      <c r="X21" s="36" t="n">
        <f>20</f>
        <v>20.0</v>
      </c>
    </row>
    <row r="22">
      <c r="A22" s="27" t="s">
        <v>42</v>
      </c>
      <c r="B22" s="27" t="s">
        <v>100</v>
      </c>
      <c r="C22" s="27" t="s">
        <v>101</v>
      </c>
      <c r="D22" s="27" t="s">
        <v>102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10.0</v>
      </c>
      <c r="K22" s="33" t="n">
        <f>1979.5</f>
        <v>1979.5</v>
      </c>
      <c r="L22" s="34" t="s">
        <v>48</v>
      </c>
      <c r="M22" s="33" t="n">
        <f>2005</f>
        <v>2005.0</v>
      </c>
      <c r="N22" s="34" t="s">
        <v>61</v>
      </c>
      <c r="O22" s="33" t="n">
        <f>1931.5</f>
        <v>1931.5</v>
      </c>
      <c r="P22" s="34" t="s">
        <v>103</v>
      </c>
      <c r="Q22" s="33" t="n">
        <f>1972</f>
        <v>1972.0</v>
      </c>
      <c r="R22" s="34" t="s">
        <v>51</v>
      </c>
      <c r="S22" s="35" t="n">
        <f>1967.13</f>
        <v>1967.13</v>
      </c>
      <c r="T22" s="32" t="n">
        <f>8397270</f>
        <v>8397270.0</v>
      </c>
      <c r="U22" s="32" t="n">
        <f>2422530</f>
        <v>2422530.0</v>
      </c>
      <c r="V22" s="32" t="n">
        <f>16505982924</f>
        <v>1.6505982924E10</v>
      </c>
      <c r="W22" s="32" t="n">
        <f>4763451764</f>
        <v>4.763451764E9</v>
      </c>
      <c r="X22" s="36" t="n">
        <f>20</f>
        <v>20.0</v>
      </c>
    </row>
    <row r="23">
      <c r="A23" s="27" t="s">
        <v>42</v>
      </c>
      <c r="B23" s="27" t="s">
        <v>104</v>
      </c>
      <c r="C23" s="27" t="s">
        <v>105</v>
      </c>
      <c r="D23" s="27" t="s">
        <v>106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100.0</v>
      </c>
      <c r="K23" s="33" t="n">
        <f>1859</f>
        <v>1859.0</v>
      </c>
      <c r="L23" s="34" t="s">
        <v>48</v>
      </c>
      <c r="M23" s="33" t="n">
        <f>1880</f>
        <v>1880.0</v>
      </c>
      <c r="N23" s="34" t="s">
        <v>61</v>
      </c>
      <c r="O23" s="33" t="n">
        <f>1819</f>
        <v>1819.0</v>
      </c>
      <c r="P23" s="34" t="s">
        <v>103</v>
      </c>
      <c r="Q23" s="33" t="n">
        <f>1861</f>
        <v>1861.0</v>
      </c>
      <c r="R23" s="34" t="s">
        <v>51</v>
      </c>
      <c r="S23" s="35" t="n">
        <f>1851.7</f>
        <v>1851.7</v>
      </c>
      <c r="T23" s="32" t="n">
        <f>2486100</f>
        <v>2486100.0</v>
      </c>
      <c r="U23" s="32" t="n">
        <f>1117900</f>
        <v>1117900.0</v>
      </c>
      <c r="V23" s="32" t="n">
        <f>4593141708</f>
        <v>4.593141708E9</v>
      </c>
      <c r="W23" s="32" t="n">
        <f>2060697158</f>
        <v>2.060697158E9</v>
      </c>
      <c r="X23" s="36" t="n">
        <f>20</f>
        <v>20.0</v>
      </c>
    </row>
    <row r="24">
      <c r="A24" s="27" t="s">
        <v>42</v>
      </c>
      <c r="B24" s="27" t="s">
        <v>107</v>
      </c>
      <c r="C24" s="27" t="s">
        <v>108</v>
      </c>
      <c r="D24" s="27" t="s">
        <v>109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1.0</v>
      </c>
      <c r="K24" s="33" t="n">
        <f>32590</f>
        <v>32590.0</v>
      </c>
      <c r="L24" s="34" t="s">
        <v>48</v>
      </c>
      <c r="M24" s="33" t="n">
        <f>35160</f>
        <v>35160.0</v>
      </c>
      <c r="N24" s="34" t="s">
        <v>49</v>
      </c>
      <c r="O24" s="33" t="n">
        <f>32570</f>
        <v>32570.0</v>
      </c>
      <c r="P24" s="34" t="s">
        <v>48</v>
      </c>
      <c r="Q24" s="33" t="n">
        <f>34740</f>
        <v>34740.0</v>
      </c>
      <c r="R24" s="34" t="s">
        <v>51</v>
      </c>
      <c r="S24" s="35" t="n">
        <f>34221.5</f>
        <v>34221.5</v>
      </c>
      <c r="T24" s="32" t="n">
        <f>642224</f>
        <v>642224.0</v>
      </c>
      <c r="U24" s="32" t="n">
        <f>211392</f>
        <v>211392.0</v>
      </c>
      <c r="V24" s="32" t="n">
        <f>22056407404</f>
        <v>2.2056407404E10</v>
      </c>
      <c r="W24" s="32" t="n">
        <f>7330660344</f>
        <v>7.330660344E9</v>
      </c>
      <c r="X24" s="36" t="n">
        <f>20</f>
        <v>20.0</v>
      </c>
    </row>
    <row r="25">
      <c r="A25" s="27" t="s">
        <v>42</v>
      </c>
      <c r="B25" s="27" t="s">
        <v>110</v>
      </c>
      <c r="C25" s="27" t="s">
        <v>111</v>
      </c>
      <c r="D25" s="27" t="s">
        <v>112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10.0</v>
      </c>
      <c r="K25" s="33" t="n">
        <f>2399.5</f>
        <v>2399.5</v>
      </c>
      <c r="L25" s="34" t="s">
        <v>48</v>
      </c>
      <c r="M25" s="33" t="n">
        <f>2509.5</f>
        <v>2509.5</v>
      </c>
      <c r="N25" s="34" t="s">
        <v>49</v>
      </c>
      <c r="O25" s="33" t="n">
        <f>2396</f>
        <v>2396.0</v>
      </c>
      <c r="P25" s="34" t="s">
        <v>48</v>
      </c>
      <c r="Q25" s="33" t="n">
        <f>2480</f>
        <v>2480.0</v>
      </c>
      <c r="R25" s="34" t="s">
        <v>51</v>
      </c>
      <c r="S25" s="35" t="n">
        <f>2459</f>
        <v>2459.0</v>
      </c>
      <c r="T25" s="32" t="n">
        <f>2400990</f>
        <v>2400990.0</v>
      </c>
      <c r="U25" s="32" t="n">
        <f>345200</f>
        <v>345200.0</v>
      </c>
      <c r="V25" s="32" t="n">
        <f>5902174165</f>
        <v>5.902174165E9</v>
      </c>
      <c r="W25" s="32" t="n">
        <f>848538640</f>
        <v>8.4853864E8</v>
      </c>
      <c r="X25" s="36" t="n">
        <f>20</f>
        <v>20.0</v>
      </c>
    </row>
    <row r="26">
      <c r="A26" s="27" t="s">
        <v>42</v>
      </c>
      <c r="B26" s="27" t="s">
        <v>113</v>
      </c>
      <c r="C26" s="27" t="s">
        <v>114</v>
      </c>
      <c r="D26" s="27" t="s">
        <v>115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1.0</v>
      </c>
      <c r="K26" s="33" t="n">
        <f>15425</f>
        <v>15425.0</v>
      </c>
      <c r="L26" s="34" t="s">
        <v>48</v>
      </c>
      <c r="M26" s="33" t="n">
        <f>16150</f>
        <v>16150.0</v>
      </c>
      <c r="N26" s="34" t="s">
        <v>49</v>
      </c>
      <c r="O26" s="33" t="n">
        <f>15310</f>
        <v>15310.0</v>
      </c>
      <c r="P26" s="34" t="s">
        <v>116</v>
      </c>
      <c r="Q26" s="33" t="n">
        <f>15925</f>
        <v>15925.0</v>
      </c>
      <c r="R26" s="34" t="s">
        <v>51</v>
      </c>
      <c r="S26" s="35" t="n">
        <f>15799.5</f>
        <v>15799.5</v>
      </c>
      <c r="T26" s="32" t="n">
        <f>527</f>
        <v>527.0</v>
      </c>
      <c r="U26" s="32" t="str">
        <f>"－"</f>
        <v>－</v>
      </c>
      <c r="V26" s="32" t="n">
        <f>8308715</f>
        <v>8308715.0</v>
      </c>
      <c r="W26" s="32" t="str">
        <f>"－"</f>
        <v>－</v>
      </c>
      <c r="X26" s="36" t="n">
        <f>20</f>
        <v>20.0</v>
      </c>
    </row>
    <row r="27">
      <c r="A27" s="27" t="s">
        <v>42</v>
      </c>
      <c r="B27" s="27" t="s">
        <v>117</v>
      </c>
      <c r="C27" s="27" t="s">
        <v>118</v>
      </c>
      <c r="D27" s="27" t="s">
        <v>119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10.0</v>
      </c>
      <c r="K27" s="33" t="n">
        <f>580.7</f>
        <v>580.7</v>
      </c>
      <c r="L27" s="34" t="s">
        <v>48</v>
      </c>
      <c r="M27" s="33" t="n">
        <f>584.4</f>
        <v>584.4</v>
      </c>
      <c r="N27" s="34" t="s">
        <v>48</v>
      </c>
      <c r="O27" s="33" t="n">
        <f>529.5</f>
        <v>529.5</v>
      </c>
      <c r="P27" s="34" t="s">
        <v>49</v>
      </c>
      <c r="Q27" s="33" t="n">
        <f>542.4</f>
        <v>542.4</v>
      </c>
      <c r="R27" s="34" t="s">
        <v>51</v>
      </c>
      <c r="S27" s="35" t="n">
        <f>552.41</f>
        <v>552.41</v>
      </c>
      <c r="T27" s="32" t="n">
        <f>19177660</f>
        <v>1.917766E7</v>
      </c>
      <c r="U27" s="32" t="n">
        <f>900</f>
        <v>900.0</v>
      </c>
      <c r="V27" s="32" t="n">
        <f>10634502822</f>
        <v>1.0634502822E10</v>
      </c>
      <c r="W27" s="32" t="n">
        <f>504840</f>
        <v>504840.0</v>
      </c>
      <c r="X27" s="36" t="n">
        <f>20</f>
        <v>20.0</v>
      </c>
    </row>
    <row r="28">
      <c r="A28" s="27" t="s">
        <v>42</v>
      </c>
      <c r="B28" s="27" t="s">
        <v>120</v>
      </c>
      <c r="C28" s="27" t="s">
        <v>121</v>
      </c>
      <c r="D28" s="27" t="s">
        <v>122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1.0</v>
      </c>
      <c r="K28" s="33" t="n">
        <f>242</f>
        <v>242.0</v>
      </c>
      <c r="L28" s="34" t="s">
        <v>48</v>
      </c>
      <c r="M28" s="33" t="n">
        <f>242</f>
        <v>242.0</v>
      </c>
      <c r="N28" s="34" t="s">
        <v>48</v>
      </c>
      <c r="O28" s="33" t="n">
        <f>206</f>
        <v>206.0</v>
      </c>
      <c r="P28" s="34" t="s">
        <v>49</v>
      </c>
      <c r="Q28" s="33" t="n">
        <f>211</f>
        <v>211.0</v>
      </c>
      <c r="R28" s="34" t="s">
        <v>51</v>
      </c>
      <c r="S28" s="35" t="n">
        <f>217.9</f>
        <v>217.9</v>
      </c>
      <c r="T28" s="32" t="n">
        <f>1006913676</f>
        <v>1.006913676E9</v>
      </c>
      <c r="U28" s="32" t="n">
        <f>3297933</f>
        <v>3297933.0</v>
      </c>
      <c r="V28" s="32" t="n">
        <f>219621418108</f>
        <v>2.19621418108E11</v>
      </c>
      <c r="W28" s="32" t="n">
        <f>707412914</f>
        <v>7.07412914E8</v>
      </c>
      <c r="X28" s="36" t="n">
        <f>20</f>
        <v>20.0</v>
      </c>
    </row>
    <row r="29">
      <c r="A29" s="27" t="s">
        <v>42</v>
      </c>
      <c r="B29" s="27" t="s">
        <v>123</v>
      </c>
      <c r="C29" s="27" t="s">
        <v>124</v>
      </c>
      <c r="D29" s="27" t="s">
        <v>125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34690</f>
        <v>34690.0</v>
      </c>
      <c r="L29" s="34" t="s">
        <v>48</v>
      </c>
      <c r="M29" s="33" t="n">
        <f>40150</f>
        <v>40150.0</v>
      </c>
      <c r="N29" s="34" t="s">
        <v>49</v>
      </c>
      <c r="O29" s="33" t="n">
        <f>34500</f>
        <v>34500.0</v>
      </c>
      <c r="P29" s="34" t="s">
        <v>48</v>
      </c>
      <c r="Q29" s="33" t="n">
        <f>39190</f>
        <v>39190.0</v>
      </c>
      <c r="R29" s="34" t="s">
        <v>51</v>
      </c>
      <c r="S29" s="35" t="n">
        <f>38055</f>
        <v>38055.0</v>
      </c>
      <c r="T29" s="32" t="n">
        <f>380500</f>
        <v>380500.0</v>
      </c>
      <c r="U29" s="32" t="str">
        <f>"－"</f>
        <v>－</v>
      </c>
      <c r="V29" s="32" t="n">
        <f>14413177610</f>
        <v>1.441317761E10</v>
      </c>
      <c r="W29" s="32" t="str">
        <f>"－"</f>
        <v>－</v>
      </c>
      <c r="X29" s="36" t="n">
        <f>20</f>
        <v>20.0</v>
      </c>
    </row>
    <row r="30">
      <c r="A30" s="27" t="s">
        <v>42</v>
      </c>
      <c r="B30" s="27" t="s">
        <v>126</v>
      </c>
      <c r="C30" s="27" t="s">
        <v>127</v>
      </c>
      <c r="D30" s="27" t="s">
        <v>128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10.0</v>
      </c>
      <c r="K30" s="33" t="n">
        <f>587.3</f>
        <v>587.3</v>
      </c>
      <c r="L30" s="34" t="s">
        <v>48</v>
      </c>
      <c r="M30" s="33" t="n">
        <f>591.2</f>
        <v>591.2</v>
      </c>
      <c r="N30" s="34" t="s">
        <v>48</v>
      </c>
      <c r="O30" s="33" t="n">
        <f>503.8</f>
        <v>503.8</v>
      </c>
      <c r="P30" s="34" t="s">
        <v>49</v>
      </c>
      <c r="Q30" s="33" t="n">
        <f>515.4</f>
        <v>515.4</v>
      </c>
      <c r="R30" s="34" t="s">
        <v>51</v>
      </c>
      <c r="S30" s="35" t="n">
        <f>533</f>
        <v>533.0</v>
      </c>
      <c r="T30" s="32" t="n">
        <f>341259700</f>
        <v>3.412597E8</v>
      </c>
      <c r="U30" s="32" t="n">
        <f>130420</f>
        <v>130420.0</v>
      </c>
      <c r="V30" s="32" t="n">
        <f>182449089811</f>
        <v>1.82449089811E11</v>
      </c>
      <c r="W30" s="32" t="n">
        <f>67438985</f>
        <v>6.7438985E7</v>
      </c>
      <c r="X30" s="36" t="n">
        <f>20</f>
        <v>20.0</v>
      </c>
    </row>
    <row r="31">
      <c r="A31" s="27" t="s">
        <v>42</v>
      </c>
      <c r="B31" s="27" t="s">
        <v>129</v>
      </c>
      <c r="C31" s="27" t="s">
        <v>130</v>
      </c>
      <c r="D31" s="27" t="s">
        <v>131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1.0</v>
      </c>
      <c r="K31" s="33" t="n">
        <f>21145</f>
        <v>21145.0</v>
      </c>
      <c r="L31" s="34" t="s">
        <v>48</v>
      </c>
      <c r="M31" s="33" t="n">
        <f>22340</f>
        <v>22340.0</v>
      </c>
      <c r="N31" s="34" t="s">
        <v>132</v>
      </c>
      <c r="O31" s="33" t="n">
        <f>21145</f>
        <v>21145.0</v>
      </c>
      <c r="P31" s="34" t="s">
        <v>48</v>
      </c>
      <c r="Q31" s="33" t="n">
        <f>22020</f>
        <v>22020.0</v>
      </c>
      <c r="R31" s="34" t="s">
        <v>51</v>
      </c>
      <c r="S31" s="35" t="n">
        <f>21859.25</f>
        <v>21859.25</v>
      </c>
      <c r="T31" s="32" t="n">
        <f>7789</f>
        <v>7789.0</v>
      </c>
      <c r="U31" s="32" t="n">
        <f>3</f>
        <v>3.0</v>
      </c>
      <c r="V31" s="32" t="n">
        <f>170177430</f>
        <v>1.7017743E8</v>
      </c>
      <c r="W31" s="32" t="n">
        <f>66490</f>
        <v>66490.0</v>
      </c>
      <c r="X31" s="36" t="n">
        <f>20</f>
        <v>20.0</v>
      </c>
    </row>
    <row r="32">
      <c r="A32" s="27" t="s">
        <v>42</v>
      </c>
      <c r="B32" s="27" t="s">
        <v>133</v>
      </c>
      <c r="C32" s="27" t="s">
        <v>134</v>
      </c>
      <c r="D32" s="27" t="s">
        <v>135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28855</f>
        <v>28855.0</v>
      </c>
      <c r="L32" s="34" t="s">
        <v>48</v>
      </c>
      <c r="M32" s="33" t="n">
        <f>33350</f>
        <v>33350.0</v>
      </c>
      <c r="N32" s="34" t="s">
        <v>49</v>
      </c>
      <c r="O32" s="33" t="n">
        <f>28680</f>
        <v>28680.0</v>
      </c>
      <c r="P32" s="34" t="s">
        <v>48</v>
      </c>
      <c r="Q32" s="33" t="n">
        <f>32570</f>
        <v>32570.0</v>
      </c>
      <c r="R32" s="34" t="s">
        <v>51</v>
      </c>
      <c r="S32" s="35" t="n">
        <f>31623.5</f>
        <v>31623.5</v>
      </c>
      <c r="T32" s="32" t="n">
        <f>619703</f>
        <v>619703.0</v>
      </c>
      <c r="U32" s="32" t="n">
        <f>2</f>
        <v>2.0</v>
      </c>
      <c r="V32" s="32" t="n">
        <f>19412200345</f>
        <v>1.9412200345E10</v>
      </c>
      <c r="W32" s="32" t="n">
        <f>64260</f>
        <v>64260.0</v>
      </c>
      <c r="X32" s="36" t="n">
        <f>20</f>
        <v>20.0</v>
      </c>
    </row>
    <row r="33">
      <c r="A33" s="27" t="s">
        <v>42</v>
      </c>
      <c r="B33" s="27" t="s">
        <v>136</v>
      </c>
      <c r="C33" s="27" t="s">
        <v>137</v>
      </c>
      <c r="D33" s="27" t="s">
        <v>138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625</f>
        <v>625.0</v>
      </c>
      <c r="L33" s="34" t="s">
        <v>48</v>
      </c>
      <c r="M33" s="33" t="n">
        <f>629</f>
        <v>629.0</v>
      </c>
      <c r="N33" s="34" t="s">
        <v>48</v>
      </c>
      <c r="O33" s="33" t="n">
        <f>535</f>
        <v>535.0</v>
      </c>
      <c r="P33" s="34" t="s">
        <v>49</v>
      </c>
      <c r="Q33" s="33" t="n">
        <f>548</f>
        <v>548.0</v>
      </c>
      <c r="R33" s="34" t="s">
        <v>51</v>
      </c>
      <c r="S33" s="35" t="n">
        <f>567</f>
        <v>567.0</v>
      </c>
      <c r="T33" s="32" t="n">
        <f>31989615</f>
        <v>3.1989615E7</v>
      </c>
      <c r="U33" s="32" t="n">
        <f>20057</f>
        <v>20057.0</v>
      </c>
      <c r="V33" s="32" t="n">
        <f>18128252594</f>
        <v>1.8128252594E10</v>
      </c>
      <c r="W33" s="32" t="n">
        <f>10911657</f>
        <v>1.0911657E7</v>
      </c>
      <c r="X33" s="36" t="n">
        <f>20</f>
        <v>20.0</v>
      </c>
    </row>
    <row r="34">
      <c r="A34" s="27" t="s">
        <v>42</v>
      </c>
      <c r="B34" s="27" t="s">
        <v>139</v>
      </c>
      <c r="C34" s="27" t="s">
        <v>140</v>
      </c>
      <c r="D34" s="27" t="s">
        <v>141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26805</f>
        <v>26805.0</v>
      </c>
      <c r="L34" s="34" t="s">
        <v>48</v>
      </c>
      <c r="M34" s="33" t="n">
        <f>29240</f>
        <v>29240.0</v>
      </c>
      <c r="N34" s="34" t="s">
        <v>49</v>
      </c>
      <c r="O34" s="33" t="n">
        <f>26645</f>
        <v>26645.0</v>
      </c>
      <c r="P34" s="34" t="s">
        <v>50</v>
      </c>
      <c r="Q34" s="33" t="n">
        <f>28420</f>
        <v>28420.0</v>
      </c>
      <c r="R34" s="34" t="s">
        <v>51</v>
      </c>
      <c r="S34" s="35" t="n">
        <f>28055.25</f>
        <v>28055.25</v>
      </c>
      <c r="T34" s="32" t="n">
        <f>167837</f>
        <v>167837.0</v>
      </c>
      <c r="U34" s="32" t="str">
        <f>"－"</f>
        <v>－</v>
      </c>
      <c r="V34" s="32" t="n">
        <f>4693587540</f>
        <v>4.69358754E9</v>
      </c>
      <c r="W34" s="32" t="str">
        <f>"－"</f>
        <v>－</v>
      </c>
      <c r="X34" s="36" t="n">
        <f>20</f>
        <v>20.0</v>
      </c>
    </row>
    <row r="35">
      <c r="A35" s="27" t="s">
        <v>42</v>
      </c>
      <c r="B35" s="27" t="s">
        <v>142</v>
      </c>
      <c r="C35" s="27" t="s">
        <v>143</v>
      </c>
      <c r="D35" s="27" t="s">
        <v>144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843</f>
        <v>843.0</v>
      </c>
      <c r="L35" s="34" t="s">
        <v>48</v>
      </c>
      <c r="M35" s="33" t="n">
        <f>847</f>
        <v>847.0</v>
      </c>
      <c r="N35" s="34" t="s">
        <v>48</v>
      </c>
      <c r="O35" s="33" t="n">
        <f>768</f>
        <v>768.0</v>
      </c>
      <c r="P35" s="34" t="s">
        <v>49</v>
      </c>
      <c r="Q35" s="33" t="n">
        <f>789</f>
        <v>789.0</v>
      </c>
      <c r="R35" s="34" t="s">
        <v>51</v>
      </c>
      <c r="S35" s="35" t="n">
        <f>801.45</f>
        <v>801.45</v>
      </c>
      <c r="T35" s="32" t="n">
        <f>1180895</f>
        <v>1180895.0</v>
      </c>
      <c r="U35" s="32" t="str">
        <f>"－"</f>
        <v>－</v>
      </c>
      <c r="V35" s="32" t="n">
        <f>948493111</f>
        <v>9.48493111E8</v>
      </c>
      <c r="W35" s="32" t="str">
        <f>"－"</f>
        <v>－</v>
      </c>
      <c r="X35" s="36" t="n">
        <f>20</f>
        <v>20.0</v>
      </c>
    </row>
    <row r="36">
      <c r="A36" s="27" t="s">
        <v>42</v>
      </c>
      <c r="B36" s="27" t="s">
        <v>145</v>
      </c>
      <c r="C36" s="27" t="s">
        <v>146</v>
      </c>
      <c r="D36" s="27" t="s">
        <v>147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31640</f>
        <v>31640.0</v>
      </c>
      <c r="L36" s="34" t="s">
        <v>48</v>
      </c>
      <c r="M36" s="33" t="n">
        <f>34100</f>
        <v>34100.0</v>
      </c>
      <c r="N36" s="34" t="s">
        <v>49</v>
      </c>
      <c r="O36" s="33" t="n">
        <f>31640</f>
        <v>31640.0</v>
      </c>
      <c r="P36" s="34" t="s">
        <v>48</v>
      </c>
      <c r="Q36" s="33" t="n">
        <f>33720</f>
        <v>33720.0</v>
      </c>
      <c r="R36" s="34" t="s">
        <v>51</v>
      </c>
      <c r="S36" s="35" t="n">
        <f>33227.5</f>
        <v>33227.5</v>
      </c>
      <c r="T36" s="32" t="n">
        <f>89022</f>
        <v>89022.0</v>
      </c>
      <c r="U36" s="32" t="n">
        <f>30100</f>
        <v>30100.0</v>
      </c>
      <c r="V36" s="32" t="n">
        <f>2925712040</f>
        <v>2.92571204E9</v>
      </c>
      <c r="W36" s="32" t="n">
        <f>974798360</f>
        <v>9.7479836E8</v>
      </c>
      <c r="X36" s="36" t="n">
        <f>20</f>
        <v>20.0</v>
      </c>
    </row>
    <row r="37">
      <c r="A37" s="27" t="s">
        <v>42</v>
      </c>
      <c r="B37" s="27" t="s">
        <v>148</v>
      </c>
      <c r="C37" s="27" t="s">
        <v>149</v>
      </c>
      <c r="D37" s="27" t="s">
        <v>150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31660</f>
        <v>31660.0</v>
      </c>
      <c r="L37" s="34" t="s">
        <v>48</v>
      </c>
      <c r="M37" s="33" t="n">
        <f>34120</f>
        <v>34120.0</v>
      </c>
      <c r="N37" s="34" t="s">
        <v>49</v>
      </c>
      <c r="O37" s="33" t="n">
        <f>31660</f>
        <v>31660.0</v>
      </c>
      <c r="P37" s="34" t="s">
        <v>48</v>
      </c>
      <c r="Q37" s="33" t="n">
        <f>33750</f>
        <v>33750.0</v>
      </c>
      <c r="R37" s="34" t="s">
        <v>51</v>
      </c>
      <c r="S37" s="35" t="n">
        <f>33270</f>
        <v>33270.0</v>
      </c>
      <c r="T37" s="32" t="n">
        <f>299728</f>
        <v>299728.0</v>
      </c>
      <c r="U37" s="32" t="n">
        <f>155366</f>
        <v>155366.0</v>
      </c>
      <c r="V37" s="32" t="n">
        <f>9864218246</f>
        <v>9.864218246E9</v>
      </c>
      <c r="W37" s="32" t="n">
        <f>5081298276</f>
        <v>5.081298276E9</v>
      </c>
      <c r="X37" s="36" t="n">
        <f>20</f>
        <v>20.0</v>
      </c>
    </row>
    <row r="38">
      <c r="A38" s="27" t="s">
        <v>42</v>
      </c>
      <c r="B38" s="27" t="s">
        <v>151</v>
      </c>
      <c r="C38" s="27" t="s">
        <v>152</v>
      </c>
      <c r="D38" s="27" t="s">
        <v>153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10.0</v>
      </c>
      <c r="K38" s="33" t="n">
        <f>1876</f>
        <v>1876.0</v>
      </c>
      <c r="L38" s="34" t="s">
        <v>48</v>
      </c>
      <c r="M38" s="33" t="n">
        <f>1900</f>
        <v>1900.0</v>
      </c>
      <c r="N38" s="34" t="s">
        <v>61</v>
      </c>
      <c r="O38" s="33" t="n">
        <f>1846.5</f>
        <v>1846.5</v>
      </c>
      <c r="P38" s="34" t="s">
        <v>103</v>
      </c>
      <c r="Q38" s="33" t="n">
        <f>1888</f>
        <v>1888.0</v>
      </c>
      <c r="R38" s="34" t="s">
        <v>51</v>
      </c>
      <c r="S38" s="35" t="n">
        <f>1877.1</f>
        <v>1877.1</v>
      </c>
      <c r="T38" s="32" t="n">
        <f>5111790</f>
        <v>5111790.0</v>
      </c>
      <c r="U38" s="32" t="n">
        <f>1513830</f>
        <v>1513830.0</v>
      </c>
      <c r="V38" s="32" t="n">
        <f>9574718185</f>
        <v>9.574718185E9</v>
      </c>
      <c r="W38" s="32" t="n">
        <f>2827823735</f>
        <v>2.827823735E9</v>
      </c>
      <c r="X38" s="36" t="n">
        <f>20</f>
        <v>20.0</v>
      </c>
    </row>
    <row r="39">
      <c r="A39" s="27" t="s">
        <v>42</v>
      </c>
      <c r="B39" s="27" t="s">
        <v>154</v>
      </c>
      <c r="C39" s="27" t="s">
        <v>155</v>
      </c>
      <c r="D39" s="27" t="s">
        <v>156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1920.5</f>
        <v>1920.5</v>
      </c>
      <c r="L39" s="34" t="s">
        <v>48</v>
      </c>
      <c r="M39" s="33" t="n">
        <f>1978.5</f>
        <v>1978.5</v>
      </c>
      <c r="N39" s="34" t="s">
        <v>132</v>
      </c>
      <c r="O39" s="33" t="n">
        <f>1910</f>
        <v>1910.0</v>
      </c>
      <c r="P39" s="34" t="s">
        <v>50</v>
      </c>
      <c r="Q39" s="33" t="n">
        <f>1970.5</f>
        <v>1970.5</v>
      </c>
      <c r="R39" s="34" t="s">
        <v>51</v>
      </c>
      <c r="S39" s="35" t="n">
        <f>1950</f>
        <v>1950.0</v>
      </c>
      <c r="T39" s="32" t="n">
        <f>15350</f>
        <v>15350.0</v>
      </c>
      <c r="U39" s="32" t="str">
        <f>"－"</f>
        <v>－</v>
      </c>
      <c r="V39" s="32" t="n">
        <f>29887155</f>
        <v>2.9887155E7</v>
      </c>
      <c r="W39" s="32" t="str">
        <f>"－"</f>
        <v>－</v>
      </c>
      <c r="X39" s="36" t="n">
        <f>17</f>
        <v>17.0</v>
      </c>
    </row>
    <row r="40">
      <c r="A40" s="27" t="s">
        <v>42</v>
      </c>
      <c r="B40" s="27" t="s">
        <v>157</v>
      </c>
      <c r="C40" s="27" t="s">
        <v>158</v>
      </c>
      <c r="D40" s="27" t="s">
        <v>159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1.0</v>
      </c>
      <c r="K40" s="33" t="n">
        <f>3425</f>
        <v>3425.0</v>
      </c>
      <c r="L40" s="34" t="s">
        <v>48</v>
      </c>
      <c r="M40" s="33" t="n">
        <f>3425</f>
        <v>3425.0</v>
      </c>
      <c r="N40" s="34" t="s">
        <v>48</v>
      </c>
      <c r="O40" s="33" t="n">
        <f>3160</f>
        <v>3160.0</v>
      </c>
      <c r="P40" s="34" t="s">
        <v>49</v>
      </c>
      <c r="Q40" s="33" t="n">
        <f>3200</f>
        <v>3200.0</v>
      </c>
      <c r="R40" s="34" t="s">
        <v>51</v>
      </c>
      <c r="S40" s="35" t="n">
        <f>3250.75</f>
        <v>3250.75</v>
      </c>
      <c r="T40" s="32" t="n">
        <f>2638744</f>
        <v>2638744.0</v>
      </c>
      <c r="U40" s="32" t="n">
        <f>470028</f>
        <v>470028.0</v>
      </c>
      <c r="V40" s="32" t="n">
        <f>8500730065</f>
        <v>8.500730065E9</v>
      </c>
      <c r="W40" s="32" t="n">
        <f>1528273940</f>
        <v>1.52827394E9</v>
      </c>
      <c r="X40" s="36" t="n">
        <f>20</f>
        <v>20.0</v>
      </c>
    </row>
    <row r="41">
      <c r="A41" s="27" t="s">
        <v>42</v>
      </c>
      <c r="B41" s="27" t="s">
        <v>160</v>
      </c>
      <c r="C41" s="27" t="s">
        <v>161</v>
      </c>
      <c r="D41" s="27" t="s">
        <v>162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3865</f>
        <v>3865.0</v>
      </c>
      <c r="L41" s="34" t="s">
        <v>48</v>
      </c>
      <c r="M41" s="33" t="n">
        <f>3875</f>
        <v>3875.0</v>
      </c>
      <c r="N41" s="34" t="s">
        <v>48</v>
      </c>
      <c r="O41" s="33" t="n">
        <f>3700</f>
        <v>3700.0</v>
      </c>
      <c r="P41" s="34" t="s">
        <v>49</v>
      </c>
      <c r="Q41" s="33" t="n">
        <f>3760</f>
        <v>3760.0</v>
      </c>
      <c r="R41" s="34" t="s">
        <v>51</v>
      </c>
      <c r="S41" s="35" t="n">
        <f>3780.25</f>
        <v>3780.25</v>
      </c>
      <c r="T41" s="32" t="n">
        <f>121748</f>
        <v>121748.0</v>
      </c>
      <c r="U41" s="32" t="n">
        <f>50000</f>
        <v>50000.0</v>
      </c>
      <c r="V41" s="32" t="n">
        <f>458524795</f>
        <v>4.58524795E8</v>
      </c>
      <c r="W41" s="32" t="n">
        <f>186415600</f>
        <v>1.864156E8</v>
      </c>
      <c r="X41" s="36" t="n">
        <f>20</f>
        <v>20.0</v>
      </c>
    </row>
    <row r="42">
      <c r="A42" s="27" t="s">
        <v>42</v>
      </c>
      <c r="B42" s="27" t="s">
        <v>163</v>
      </c>
      <c r="C42" s="27" t="s">
        <v>164</v>
      </c>
      <c r="D42" s="27" t="s">
        <v>165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22000</f>
        <v>22000.0</v>
      </c>
      <c r="L42" s="34" t="s">
        <v>48</v>
      </c>
      <c r="M42" s="33" t="n">
        <f>25430</f>
        <v>25430.0</v>
      </c>
      <c r="N42" s="34" t="s">
        <v>49</v>
      </c>
      <c r="O42" s="33" t="n">
        <f>21870</f>
        <v>21870.0</v>
      </c>
      <c r="P42" s="34" t="s">
        <v>48</v>
      </c>
      <c r="Q42" s="33" t="n">
        <f>24840</f>
        <v>24840.0</v>
      </c>
      <c r="R42" s="34" t="s">
        <v>51</v>
      </c>
      <c r="S42" s="35" t="n">
        <f>24106.5</f>
        <v>24106.5</v>
      </c>
      <c r="T42" s="32" t="n">
        <f>8032370</f>
        <v>8032370.0</v>
      </c>
      <c r="U42" s="32" t="n">
        <f>17284</f>
        <v>17284.0</v>
      </c>
      <c r="V42" s="32" t="n">
        <f>193005610595</f>
        <v>1.93005610595E11</v>
      </c>
      <c r="W42" s="32" t="n">
        <f>410757680</f>
        <v>4.1075768E8</v>
      </c>
      <c r="X42" s="36" t="n">
        <f>20</f>
        <v>20.0</v>
      </c>
    </row>
    <row r="43">
      <c r="A43" s="27" t="s">
        <v>42</v>
      </c>
      <c r="B43" s="27" t="s">
        <v>166</v>
      </c>
      <c r="C43" s="27" t="s">
        <v>167</v>
      </c>
      <c r="D43" s="27" t="s">
        <v>168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975</f>
        <v>975.0</v>
      </c>
      <c r="L43" s="34" t="s">
        <v>48</v>
      </c>
      <c r="M43" s="33" t="n">
        <f>975</f>
        <v>975.0</v>
      </c>
      <c r="N43" s="34" t="s">
        <v>48</v>
      </c>
      <c r="O43" s="33" t="n">
        <f>830</f>
        <v>830.0</v>
      </c>
      <c r="P43" s="34" t="s">
        <v>49</v>
      </c>
      <c r="Q43" s="33" t="n">
        <f>849</f>
        <v>849.0</v>
      </c>
      <c r="R43" s="34" t="s">
        <v>51</v>
      </c>
      <c r="S43" s="35" t="n">
        <f>878.6</f>
        <v>878.6</v>
      </c>
      <c r="T43" s="32" t="n">
        <f>177807352</f>
        <v>1.77807352E8</v>
      </c>
      <c r="U43" s="32" t="n">
        <f>35712</f>
        <v>35712.0</v>
      </c>
      <c r="V43" s="32" t="n">
        <f>156591446689</f>
        <v>1.56591446689E11</v>
      </c>
      <c r="W43" s="32" t="n">
        <f>30633688</f>
        <v>3.0633688E7</v>
      </c>
      <c r="X43" s="36" t="n">
        <f>20</f>
        <v>20.0</v>
      </c>
    </row>
    <row r="44">
      <c r="A44" s="27" t="s">
        <v>42</v>
      </c>
      <c r="B44" s="27" t="s">
        <v>169</v>
      </c>
      <c r="C44" s="27" t="s">
        <v>170</v>
      </c>
      <c r="D44" s="27" t="s">
        <v>171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21115</f>
        <v>21115.0</v>
      </c>
      <c r="L44" s="34" t="s">
        <v>48</v>
      </c>
      <c r="M44" s="33" t="n">
        <f>23315</f>
        <v>23315.0</v>
      </c>
      <c r="N44" s="34" t="s">
        <v>49</v>
      </c>
      <c r="O44" s="33" t="n">
        <f>21065</f>
        <v>21065.0</v>
      </c>
      <c r="P44" s="34" t="s">
        <v>48</v>
      </c>
      <c r="Q44" s="33" t="n">
        <f>22525</f>
        <v>22525.0</v>
      </c>
      <c r="R44" s="34" t="s">
        <v>51</v>
      </c>
      <c r="S44" s="35" t="n">
        <f>22348.25</f>
        <v>22348.25</v>
      </c>
      <c r="T44" s="32" t="n">
        <f>2634</f>
        <v>2634.0</v>
      </c>
      <c r="U44" s="32" t="str">
        <f>"－"</f>
        <v>－</v>
      </c>
      <c r="V44" s="32" t="n">
        <f>58313320</f>
        <v>5.831332E7</v>
      </c>
      <c r="W44" s="32" t="str">
        <f>"－"</f>
        <v>－</v>
      </c>
      <c r="X44" s="36" t="n">
        <f>20</f>
        <v>20.0</v>
      </c>
    </row>
    <row r="45">
      <c r="A45" s="27" t="s">
        <v>42</v>
      </c>
      <c r="B45" s="27" t="s">
        <v>172</v>
      </c>
      <c r="C45" s="27" t="s">
        <v>173</v>
      </c>
      <c r="D45" s="27" t="s">
        <v>174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3700</f>
        <v>3700.0</v>
      </c>
      <c r="L45" s="34" t="s">
        <v>61</v>
      </c>
      <c r="M45" s="33" t="n">
        <f>3745</f>
        <v>3745.0</v>
      </c>
      <c r="N45" s="34" t="s">
        <v>103</v>
      </c>
      <c r="O45" s="33" t="n">
        <f>3535</f>
        <v>3535.0</v>
      </c>
      <c r="P45" s="34" t="s">
        <v>49</v>
      </c>
      <c r="Q45" s="33" t="n">
        <f>3600</f>
        <v>3600.0</v>
      </c>
      <c r="R45" s="34" t="s">
        <v>62</v>
      </c>
      <c r="S45" s="35" t="n">
        <f>3623.57</f>
        <v>3623.57</v>
      </c>
      <c r="T45" s="32" t="n">
        <f>296</f>
        <v>296.0</v>
      </c>
      <c r="U45" s="32" t="str">
        <f>"－"</f>
        <v>－</v>
      </c>
      <c r="V45" s="32" t="n">
        <f>1061550</f>
        <v>1061550.0</v>
      </c>
      <c r="W45" s="32" t="str">
        <f>"－"</f>
        <v>－</v>
      </c>
      <c r="X45" s="36" t="n">
        <f>7</f>
        <v>7.0</v>
      </c>
    </row>
    <row r="46">
      <c r="A46" s="27" t="s">
        <v>42</v>
      </c>
      <c r="B46" s="27" t="s">
        <v>175</v>
      </c>
      <c r="C46" s="27" t="s">
        <v>176</v>
      </c>
      <c r="D46" s="27" t="s">
        <v>177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1099</f>
        <v>1099.0</v>
      </c>
      <c r="L46" s="34" t="s">
        <v>48</v>
      </c>
      <c r="M46" s="33" t="n">
        <f>1101</f>
        <v>1101.0</v>
      </c>
      <c r="N46" s="34" t="s">
        <v>48</v>
      </c>
      <c r="O46" s="33" t="n">
        <f>985</f>
        <v>985.0</v>
      </c>
      <c r="P46" s="34" t="s">
        <v>62</v>
      </c>
      <c r="Q46" s="33" t="n">
        <f>1013</f>
        <v>1013.0</v>
      </c>
      <c r="R46" s="34" t="s">
        <v>51</v>
      </c>
      <c r="S46" s="35" t="n">
        <f>1034.15</f>
        <v>1034.15</v>
      </c>
      <c r="T46" s="32" t="n">
        <f>30129</f>
        <v>30129.0</v>
      </c>
      <c r="U46" s="32" t="str">
        <f>"－"</f>
        <v>－</v>
      </c>
      <c r="V46" s="32" t="n">
        <f>31224678</f>
        <v>3.1224678E7</v>
      </c>
      <c r="W46" s="32" t="str">
        <f>"－"</f>
        <v>－</v>
      </c>
      <c r="X46" s="36" t="n">
        <f>20</f>
        <v>20.0</v>
      </c>
    </row>
    <row r="47">
      <c r="A47" s="27" t="s">
        <v>42</v>
      </c>
      <c r="B47" s="27" t="s">
        <v>178</v>
      </c>
      <c r="C47" s="27" t="s">
        <v>179</v>
      </c>
      <c r="D47" s="27" t="s">
        <v>180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10.0</v>
      </c>
      <c r="K47" s="33" t="n">
        <f>1076</f>
        <v>1076.0</v>
      </c>
      <c r="L47" s="34" t="s">
        <v>48</v>
      </c>
      <c r="M47" s="33" t="n">
        <f>1087.5</f>
        <v>1087.5</v>
      </c>
      <c r="N47" s="34" t="s">
        <v>116</v>
      </c>
      <c r="O47" s="33" t="n">
        <f>961.8</f>
        <v>961.8</v>
      </c>
      <c r="P47" s="34" t="s">
        <v>132</v>
      </c>
      <c r="Q47" s="33" t="n">
        <f>994.9</f>
        <v>994.9</v>
      </c>
      <c r="R47" s="34" t="s">
        <v>51</v>
      </c>
      <c r="S47" s="35" t="n">
        <f>1011.51</f>
        <v>1011.51</v>
      </c>
      <c r="T47" s="32" t="n">
        <f>107730</f>
        <v>107730.0</v>
      </c>
      <c r="U47" s="32" t="n">
        <f>15000</f>
        <v>15000.0</v>
      </c>
      <c r="V47" s="32" t="n">
        <f>108698201</f>
        <v>1.08698201E8</v>
      </c>
      <c r="W47" s="32" t="n">
        <f>14715000</f>
        <v>1.4715E7</v>
      </c>
      <c r="X47" s="36" t="n">
        <f>20</f>
        <v>20.0</v>
      </c>
    </row>
    <row r="48">
      <c r="A48" s="27" t="s">
        <v>42</v>
      </c>
      <c r="B48" s="27" t="s">
        <v>181</v>
      </c>
      <c r="C48" s="27" t="s">
        <v>182</v>
      </c>
      <c r="D48" s="27" t="s">
        <v>183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449</f>
        <v>449.0</v>
      </c>
      <c r="L48" s="34" t="s">
        <v>48</v>
      </c>
      <c r="M48" s="33" t="n">
        <f>452</f>
        <v>452.0</v>
      </c>
      <c r="N48" s="34" t="s">
        <v>48</v>
      </c>
      <c r="O48" s="33" t="n">
        <f>395</f>
        <v>395.0</v>
      </c>
      <c r="P48" s="34" t="s">
        <v>49</v>
      </c>
      <c r="Q48" s="33" t="n">
        <f>405</f>
        <v>405.0</v>
      </c>
      <c r="R48" s="34" t="s">
        <v>51</v>
      </c>
      <c r="S48" s="35" t="n">
        <f>417.35</f>
        <v>417.35</v>
      </c>
      <c r="T48" s="32" t="n">
        <f>27131</f>
        <v>27131.0</v>
      </c>
      <c r="U48" s="32" t="str">
        <f>"－"</f>
        <v>－</v>
      </c>
      <c r="V48" s="32" t="n">
        <f>11434587</f>
        <v>1.1434587E7</v>
      </c>
      <c r="W48" s="32" t="str">
        <f>"－"</f>
        <v>－</v>
      </c>
      <c r="X48" s="36" t="n">
        <f>20</f>
        <v>20.0</v>
      </c>
    </row>
    <row r="49">
      <c r="A49" s="27" t="s">
        <v>42</v>
      </c>
      <c r="B49" s="27" t="s">
        <v>184</v>
      </c>
      <c r="C49" s="27" t="s">
        <v>185</v>
      </c>
      <c r="D49" s="27" t="s">
        <v>186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2353</f>
        <v>2353.0</v>
      </c>
      <c r="L49" s="34" t="s">
        <v>48</v>
      </c>
      <c r="M49" s="33" t="n">
        <f>2451</f>
        <v>2451.0</v>
      </c>
      <c r="N49" s="34" t="s">
        <v>132</v>
      </c>
      <c r="O49" s="33" t="n">
        <f>2349</f>
        <v>2349.0</v>
      </c>
      <c r="P49" s="34" t="s">
        <v>50</v>
      </c>
      <c r="Q49" s="33" t="n">
        <f>2427.5</f>
        <v>2427.5</v>
      </c>
      <c r="R49" s="34" t="s">
        <v>51</v>
      </c>
      <c r="S49" s="35" t="n">
        <f>2410.13</f>
        <v>2410.13</v>
      </c>
      <c r="T49" s="32" t="n">
        <f>1023830</f>
        <v>1023830.0</v>
      </c>
      <c r="U49" s="32" t="n">
        <f>458500</f>
        <v>458500.0</v>
      </c>
      <c r="V49" s="32" t="n">
        <f>2464776490</f>
        <v>2.46477649E9</v>
      </c>
      <c r="W49" s="32" t="n">
        <f>1101963100</f>
        <v>1.1019631E9</v>
      </c>
      <c r="X49" s="36" t="n">
        <f>20</f>
        <v>20.0</v>
      </c>
    </row>
    <row r="50">
      <c r="A50" s="27" t="s">
        <v>42</v>
      </c>
      <c r="B50" s="27" t="s">
        <v>187</v>
      </c>
      <c r="C50" s="27" t="s">
        <v>188</v>
      </c>
      <c r="D50" s="27" t="s">
        <v>189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21025</f>
        <v>21025.0</v>
      </c>
      <c r="L50" s="34" t="s">
        <v>48</v>
      </c>
      <c r="M50" s="33" t="n">
        <f>22045</f>
        <v>22045.0</v>
      </c>
      <c r="N50" s="34" t="s">
        <v>132</v>
      </c>
      <c r="O50" s="33" t="n">
        <f>21025</f>
        <v>21025.0</v>
      </c>
      <c r="P50" s="34" t="s">
        <v>48</v>
      </c>
      <c r="Q50" s="33" t="n">
        <f>21805</f>
        <v>21805.0</v>
      </c>
      <c r="R50" s="34" t="s">
        <v>51</v>
      </c>
      <c r="S50" s="35" t="n">
        <f>21619</f>
        <v>21619.0</v>
      </c>
      <c r="T50" s="32" t="n">
        <f>5685</f>
        <v>5685.0</v>
      </c>
      <c r="U50" s="32" t="str">
        <f>"－"</f>
        <v>－</v>
      </c>
      <c r="V50" s="32" t="n">
        <f>123805270</f>
        <v>1.2380527E8</v>
      </c>
      <c r="W50" s="32" t="str">
        <f>"－"</f>
        <v>－</v>
      </c>
      <c r="X50" s="36" t="n">
        <f>20</f>
        <v>20.0</v>
      </c>
    </row>
    <row r="51">
      <c r="A51" s="27" t="s">
        <v>42</v>
      </c>
      <c r="B51" s="27" t="s">
        <v>190</v>
      </c>
      <c r="C51" s="27" t="s">
        <v>191</v>
      </c>
      <c r="D51" s="27" t="s">
        <v>192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1.0</v>
      </c>
      <c r="K51" s="33" t="n">
        <f>2376</f>
        <v>2376.0</v>
      </c>
      <c r="L51" s="34" t="s">
        <v>48</v>
      </c>
      <c r="M51" s="33" t="n">
        <f>2484</f>
        <v>2484.0</v>
      </c>
      <c r="N51" s="34" t="s">
        <v>49</v>
      </c>
      <c r="O51" s="33" t="n">
        <f>2371</f>
        <v>2371.0</v>
      </c>
      <c r="P51" s="34" t="s">
        <v>48</v>
      </c>
      <c r="Q51" s="33" t="n">
        <f>2451</f>
        <v>2451.0</v>
      </c>
      <c r="R51" s="34" t="s">
        <v>51</v>
      </c>
      <c r="S51" s="35" t="n">
        <f>2433.35</f>
        <v>2433.35</v>
      </c>
      <c r="T51" s="32" t="n">
        <f>17822619</f>
        <v>1.7822619E7</v>
      </c>
      <c r="U51" s="32" t="n">
        <f>13024514</f>
        <v>1.3024514E7</v>
      </c>
      <c r="V51" s="32" t="n">
        <f>43526366120</f>
        <v>4.352636612E10</v>
      </c>
      <c r="W51" s="32" t="n">
        <f>31856543521</f>
        <v>3.1856543521E10</v>
      </c>
      <c r="X51" s="36" t="n">
        <f>20</f>
        <v>20.0</v>
      </c>
    </row>
    <row r="52">
      <c r="A52" s="27" t="s">
        <v>42</v>
      </c>
      <c r="B52" s="27" t="s">
        <v>193</v>
      </c>
      <c r="C52" s="27" t="s">
        <v>194</v>
      </c>
      <c r="D52" s="27" t="s">
        <v>195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1901</f>
        <v>1901.0</v>
      </c>
      <c r="L52" s="34" t="s">
        <v>48</v>
      </c>
      <c r="M52" s="33" t="n">
        <f>1923</f>
        <v>1923.0</v>
      </c>
      <c r="N52" s="34" t="s">
        <v>61</v>
      </c>
      <c r="O52" s="33" t="n">
        <f>1848</f>
        <v>1848.0</v>
      </c>
      <c r="P52" s="34" t="s">
        <v>103</v>
      </c>
      <c r="Q52" s="33" t="n">
        <f>1892</f>
        <v>1892.0</v>
      </c>
      <c r="R52" s="34" t="s">
        <v>51</v>
      </c>
      <c r="S52" s="35" t="n">
        <f>1884.3</f>
        <v>1884.3</v>
      </c>
      <c r="T52" s="32" t="n">
        <f>13658501</f>
        <v>1.3658501E7</v>
      </c>
      <c r="U52" s="32" t="n">
        <f>7034362</f>
        <v>7034362.0</v>
      </c>
      <c r="V52" s="32" t="n">
        <f>25748951583</f>
        <v>2.5748951583E10</v>
      </c>
      <c r="W52" s="32" t="n">
        <f>13244150096</f>
        <v>1.3244150096E10</v>
      </c>
      <c r="X52" s="36" t="n">
        <f>20</f>
        <v>20.0</v>
      </c>
    </row>
    <row r="53">
      <c r="A53" s="27" t="s">
        <v>42</v>
      </c>
      <c r="B53" s="27" t="s">
        <v>196</v>
      </c>
      <c r="C53" s="27" t="s">
        <v>197</v>
      </c>
      <c r="D53" s="27" t="s">
        <v>198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2262</f>
        <v>2262.0</v>
      </c>
      <c r="L53" s="34" t="s">
        <v>48</v>
      </c>
      <c r="M53" s="33" t="n">
        <f>2332</f>
        <v>2332.0</v>
      </c>
      <c r="N53" s="34" t="s">
        <v>62</v>
      </c>
      <c r="O53" s="33" t="n">
        <f>2235</f>
        <v>2235.0</v>
      </c>
      <c r="P53" s="34" t="s">
        <v>50</v>
      </c>
      <c r="Q53" s="33" t="n">
        <f>2294</f>
        <v>2294.0</v>
      </c>
      <c r="R53" s="34" t="s">
        <v>51</v>
      </c>
      <c r="S53" s="35" t="n">
        <f>2294.9</f>
        <v>2294.9</v>
      </c>
      <c r="T53" s="32" t="n">
        <f>7220</f>
        <v>7220.0</v>
      </c>
      <c r="U53" s="32" t="n">
        <f>2</f>
        <v>2.0</v>
      </c>
      <c r="V53" s="32" t="n">
        <f>16669978</f>
        <v>1.6669978E7</v>
      </c>
      <c r="W53" s="32" t="n">
        <f>4613</f>
        <v>4613.0</v>
      </c>
      <c r="X53" s="36" t="n">
        <f>20</f>
        <v>20.0</v>
      </c>
    </row>
    <row r="54">
      <c r="A54" s="27" t="s">
        <v>42</v>
      </c>
      <c r="B54" s="27" t="s">
        <v>199</v>
      </c>
      <c r="C54" s="27" t="s">
        <v>200</v>
      </c>
      <c r="D54" s="27" t="s">
        <v>201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3065</f>
        <v>3065.0</v>
      </c>
      <c r="L54" s="34" t="s">
        <v>48</v>
      </c>
      <c r="M54" s="33" t="n">
        <f>3230</f>
        <v>3230.0</v>
      </c>
      <c r="N54" s="34" t="s">
        <v>49</v>
      </c>
      <c r="O54" s="33" t="n">
        <f>3050</f>
        <v>3050.0</v>
      </c>
      <c r="P54" s="34" t="s">
        <v>48</v>
      </c>
      <c r="Q54" s="33" t="n">
        <f>3170</f>
        <v>3170.0</v>
      </c>
      <c r="R54" s="34" t="s">
        <v>51</v>
      </c>
      <c r="S54" s="35" t="n">
        <f>3149.25</f>
        <v>3149.25</v>
      </c>
      <c r="T54" s="32" t="n">
        <f>710755</f>
        <v>710755.0</v>
      </c>
      <c r="U54" s="32" t="n">
        <f>322891</f>
        <v>322891.0</v>
      </c>
      <c r="V54" s="32" t="n">
        <f>2235874397</f>
        <v>2.235874397E9</v>
      </c>
      <c r="W54" s="32" t="n">
        <f>1013501227</f>
        <v>1.013501227E9</v>
      </c>
      <c r="X54" s="36" t="n">
        <f>20</f>
        <v>20.0</v>
      </c>
    </row>
    <row r="55">
      <c r="A55" s="27" t="s">
        <v>42</v>
      </c>
      <c r="B55" s="27" t="s">
        <v>202</v>
      </c>
      <c r="C55" s="27" t="s">
        <v>203</v>
      </c>
      <c r="D55" s="27" t="s">
        <v>204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29610</f>
        <v>29610.0</v>
      </c>
      <c r="L55" s="34" t="s">
        <v>116</v>
      </c>
      <c r="M55" s="33" t="n">
        <f>29610</f>
        <v>29610.0</v>
      </c>
      <c r="N55" s="34" t="s">
        <v>116</v>
      </c>
      <c r="O55" s="33" t="n">
        <f>29440</f>
        <v>29440.0</v>
      </c>
      <c r="P55" s="34" t="s">
        <v>90</v>
      </c>
      <c r="Q55" s="33" t="n">
        <f>29440</f>
        <v>29440.0</v>
      </c>
      <c r="R55" s="34" t="s">
        <v>90</v>
      </c>
      <c r="S55" s="35" t="n">
        <f>29525</f>
        <v>29525.0</v>
      </c>
      <c r="T55" s="32" t="n">
        <f>5</f>
        <v>5.0</v>
      </c>
      <c r="U55" s="32" t="str">
        <f>"－"</f>
        <v>－</v>
      </c>
      <c r="V55" s="32" t="n">
        <f>147590</f>
        <v>147590.0</v>
      </c>
      <c r="W55" s="32" t="str">
        <f>"－"</f>
        <v>－</v>
      </c>
      <c r="X55" s="36" t="n">
        <f>2</f>
        <v>2.0</v>
      </c>
    </row>
    <row r="56">
      <c r="A56" s="27" t="s">
        <v>42</v>
      </c>
      <c r="B56" s="27" t="s">
        <v>205</v>
      </c>
      <c r="C56" s="27" t="s">
        <v>206</v>
      </c>
      <c r="D56" s="27" t="s">
        <v>207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22595</f>
        <v>22595.0</v>
      </c>
      <c r="L56" s="34" t="s">
        <v>48</v>
      </c>
      <c r="M56" s="33" t="n">
        <f>24050</f>
        <v>24050.0</v>
      </c>
      <c r="N56" s="34" t="s">
        <v>62</v>
      </c>
      <c r="O56" s="33" t="n">
        <f>22125</f>
        <v>22125.0</v>
      </c>
      <c r="P56" s="34" t="s">
        <v>116</v>
      </c>
      <c r="Q56" s="33" t="n">
        <f>24050</f>
        <v>24050.0</v>
      </c>
      <c r="R56" s="34" t="s">
        <v>62</v>
      </c>
      <c r="S56" s="35" t="n">
        <f>23462.5</f>
        <v>23462.5</v>
      </c>
      <c r="T56" s="32" t="n">
        <f>185</f>
        <v>185.0</v>
      </c>
      <c r="U56" s="32" t="str">
        <f>"－"</f>
        <v>－</v>
      </c>
      <c r="V56" s="32" t="n">
        <f>4346535</f>
        <v>4346535.0</v>
      </c>
      <c r="W56" s="32" t="str">
        <f>"－"</f>
        <v>－</v>
      </c>
      <c r="X56" s="36" t="n">
        <f>6</f>
        <v>6.0</v>
      </c>
    </row>
    <row r="57">
      <c r="A57" s="27" t="s">
        <v>42</v>
      </c>
      <c r="B57" s="27" t="s">
        <v>208</v>
      </c>
      <c r="C57" s="27" t="s">
        <v>209</v>
      </c>
      <c r="D57" s="27" t="s">
        <v>210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2398</f>
        <v>2398.0</v>
      </c>
      <c r="L57" s="34" t="s">
        <v>48</v>
      </c>
      <c r="M57" s="33" t="n">
        <f>2481</f>
        <v>2481.0</v>
      </c>
      <c r="N57" s="34" t="s">
        <v>62</v>
      </c>
      <c r="O57" s="33" t="n">
        <f>2389</f>
        <v>2389.0</v>
      </c>
      <c r="P57" s="34" t="s">
        <v>50</v>
      </c>
      <c r="Q57" s="33" t="n">
        <f>2448</f>
        <v>2448.0</v>
      </c>
      <c r="R57" s="34" t="s">
        <v>89</v>
      </c>
      <c r="S57" s="35" t="n">
        <f>2438.68</f>
        <v>2438.68</v>
      </c>
      <c r="T57" s="32" t="n">
        <f>326</f>
        <v>326.0</v>
      </c>
      <c r="U57" s="32" t="str">
        <f>"－"</f>
        <v>－</v>
      </c>
      <c r="V57" s="32" t="n">
        <f>796553</f>
        <v>796553.0</v>
      </c>
      <c r="W57" s="32" t="str">
        <f>"－"</f>
        <v>－</v>
      </c>
      <c r="X57" s="36" t="n">
        <f>19</f>
        <v>19.0</v>
      </c>
    </row>
    <row r="58">
      <c r="A58" s="27" t="s">
        <v>42</v>
      </c>
      <c r="B58" s="27" t="s">
        <v>211</v>
      </c>
      <c r="C58" s="27" t="s">
        <v>212</v>
      </c>
      <c r="D58" s="27" t="s">
        <v>213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1688</f>
        <v>1688.0</v>
      </c>
      <c r="L58" s="34" t="s">
        <v>48</v>
      </c>
      <c r="M58" s="33" t="n">
        <f>1768</f>
        <v>1768.0</v>
      </c>
      <c r="N58" s="34" t="s">
        <v>51</v>
      </c>
      <c r="O58" s="33" t="n">
        <f>1686</f>
        <v>1686.0</v>
      </c>
      <c r="P58" s="34" t="s">
        <v>48</v>
      </c>
      <c r="Q58" s="33" t="n">
        <f>1762</f>
        <v>1762.0</v>
      </c>
      <c r="R58" s="34" t="s">
        <v>51</v>
      </c>
      <c r="S58" s="35" t="n">
        <f>1735.35</f>
        <v>1735.35</v>
      </c>
      <c r="T58" s="32" t="n">
        <f>6454644</f>
        <v>6454644.0</v>
      </c>
      <c r="U58" s="32" t="n">
        <f>3581680</f>
        <v>3581680.0</v>
      </c>
      <c r="V58" s="32" t="n">
        <f>11126855200</f>
        <v>1.11268552E10</v>
      </c>
      <c r="W58" s="32" t="n">
        <f>6129563591</f>
        <v>6.129563591E9</v>
      </c>
      <c r="X58" s="36" t="n">
        <f>20</f>
        <v>20.0</v>
      </c>
    </row>
    <row r="59">
      <c r="A59" s="27" t="s">
        <v>42</v>
      </c>
      <c r="B59" s="27" t="s">
        <v>214</v>
      </c>
      <c r="C59" s="27" t="s">
        <v>215</v>
      </c>
      <c r="D59" s="27" t="s">
        <v>216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2371</f>
        <v>2371.0</v>
      </c>
      <c r="L59" s="34" t="s">
        <v>48</v>
      </c>
      <c r="M59" s="33" t="n">
        <f>2600</f>
        <v>2600.0</v>
      </c>
      <c r="N59" s="34" t="s">
        <v>217</v>
      </c>
      <c r="O59" s="33" t="n">
        <f>2352</f>
        <v>2352.0</v>
      </c>
      <c r="P59" s="34" t="s">
        <v>218</v>
      </c>
      <c r="Q59" s="33" t="n">
        <f>2461</f>
        <v>2461.0</v>
      </c>
      <c r="R59" s="34" t="s">
        <v>51</v>
      </c>
      <c r="S59" s="35" t="n">
        <f>2458</f>
        <v>2458.0</v>
      </c>
      <c r="T59" s="32" t="n">
        <f>1859</f>
        <v>1859.0</v>
      </c>
      <c r="U59" s="32" t="str">
        <f>"－"</f>
        <v>－</v>
      </c>
      <c r="V59" s="32" t="n">
        <f>4617962</f>
        <v>4617962.0</v>
      </c>
      <c r="W59" s="32" t="str">
        <f>"－"</f>
        <v>－</v>
      </c>
      <c r="X59" s="36" t="n">
        <f>19</f>
        <v>19.0</v>
      </c>
    </row>
    <row r="60">
      <c r="A60" s="27" t="s">
        <v>42</v>
      </c>
      <c r="B60" s="27" t="s">
        <v>219</v>
      </c>
      <c r="C60" s="27" t="s">
        <v>220</v>
      </c>
      <c r="D60" s="27" t="s">
        <v>221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10.0</v>
      </c>
      <c r="K60" s="33" t="n">
        <f>2330</f>
        <v>2330.0</v>
      </c>
      <c r="L60" s="34" t="s">
        <v>48</v>
      </c>
      <c r="M60" s="33" t="n">
        <f>2437.5</f>
        <v>2437.5</v>
      </c>
      <c r="N60" s="34" t="s">
        <v>132</v>
      </c>
      <c r="O60" s="33" t="n">
        <f>2330</f>
        <v>2330.0</v>
      </c>
      <c r="P60" s="34" t="s">
        <v>48</v>
      </c>
      <c r="Q60" s="33" t="n">
        <f>2412.5</f>
        <v>2412.5</v>
      </c>
      <c r="R60" s="34" t="s">
        <v>51</v>
      </c>
      <c r="S60" s="35" t="n">
        <f>2408.65</f>
        <v>2408.65</v>
      </c>
      <c r="T60" s="32" t="n">
        <f>93710</f>
        <v>93710.0</v>
      </c>
      <c r="U60" s="32" t="str">
        <f>"－"</f>
        <v>－</v>
      </c>
      <c r="V60" s="32" t="n">
        <f>225316830</f>
        <v>2.2531683E8</v>
      </c>
      <c r="W60" s="32" t="str">
        <f>"－"</f>
        <v>－</v>
      </c>
      <c r="X60" s="36" t="n">
        <f>20</f>
        <v>20.0</v>
      </c>
    </row>
    <row r="61">
      <c r="A61" s="27" t="s">
        <v>42</v>
      </c>
      <c r="B61" s="27" t="s">
        <v>222</v>
      </c>
      <c r="C61" s="27" t="s">
        <v>223</v>
      </c>
      <c r="D61" s="27" t="s">
        <v>224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35980</f>
        <v>35980.0</v>
      </c>
      <c r="L61" s="34" t="s">
        <v>50</v>
      </c>
      <c r="M61" s="33" t="n">
        <f>37420</f>
        <v>37420.0</v>
      </c>
      <c r="N61" s="34" t="s">
        <v>49</v>
      </c>
      <c r="O61" s="33" t="n">
        <f>34510</f>
        <v>34510.0</v>
      </c>
      <c r="P61" s="34" t="s">
        <v>225</v>
      </c>
      <c r="Q61" s="33" t="n">
        <f>36750</f>
        <v>36750.0</v>
      </c>
      <c r="R61" s="34" t="s">
        <v>62</v>
      </c>
      <c r="S61" s="35" t="n">
        <f>36208</f>
        <v>36208.0</v>
      </c>
      <c r="T61" s="32" t="n">
        <f>68</f>
        <v>68.0</v>
      </c>
      <c r="U61" s="32" t="n">
        <f>1</f>
        <v>1.0</v>
      </c>
      <c r="V61" s="32" t="n">
        <f>2474960</f>
        <v>2474960.0</v>
      </c>
      <c r="W61" s="32" t="n">
        <f>37030</f>
        <v>37030.0</v>
      </c>
      <c r="X61" s="36" t="n">
        <f>10</f>
        <v>10.0</v>
      </c>
    </row>
    <row r="62">
      <c r="A62" s="27" t="s">
        <v>42</v>
      </c>
      <c r="B62" s="27" t="s">
        <v>226</v>
      </c>
      <c r="C62" s="27" t="s">
        <v>227</v>
      </c>
      <c r="D62" s="27" t="s">
        <v>228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22445</f>
        <v>22445.0</v>
      </c>
      <c r="L62" s="34" t="s">
        <v>48</v>
      </c>
      <c r="M62" s="33" t="n">
        <f>23205</f>
        <v>23205.0</v>
      </c>
      <c r="N62" s="34" t="s">
        <v>79</v>
      </c>
      <c r="O62" s="33" t="n">
        <f>22415</f>
        <v>22415.0</v>
      </c>
      <c r="P62" s="34" t="s">
        <v>48</v>
      </c>
      <c r="Q62" s="33" t="n">
        <f>22895</f>
        <v>22895.0</v>
      </c>
      <c r="R62" s="34" t="s">
        <v>51</v>
      </c>
      <c r="S62" s="35" t="n">
        <f>22898.5</f>
        <v>22898.5</v>
      </c>
      <c r="T62" s="32" t="n">
        <f>984744</f>
        <v>984744.0</v>
      </c>
      <c r="U62" s="32" t="n">
        <f>905200</f>
        <v>905200.0</v>
      </c>
      <c r="V62" s="32" t="n">
        <f>22571138174</f>
        <v>2.2571138174E10</v>
      </c>
      <c r="W62" s="32" t="n">
        <f>20761920499</f>
        <v>2.0761920499E10</v>
      </c>
      <c r="X62" s="36" t="n">
        <f>20</f>
        <v>20.0</v>
      </c>
    </row>
    <row r="63">
      <c r="A63" s="27" t="s">
        <v>42</v>
      </c>
      <c r="B63" s="27" t="s">
        <v>229</v>
      </c>
      <c r="C63" s="27" t="s">
        <v>230</v>
      </c>
      <c r="D63" s="27" t="s">
        <v>231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13035</f>
        <v>13035.0</v>
      </c>
      <c r="L63" s="34" t="s">
        <v>48</v>
      </c>
      <c r="M63" s="33" t="n">
        <f>13660</f>
        <v>13660.0</v>
      </c>
      <c r="N63" s="34" t="s">
        <v>51</v>
      </c>
      <c r="O63" s="33" t="n">
        <f>12995</f>
        <v>12995.0</v>
      </c>
      <c r="P63" s="34" t="s">
        <v>48</v>
      </c>
      <c r="Q63" s="33" t="n">
        <f>13590</f>
        <v>13590.0</v>
      </c>
      <c r="R63" s="34" t="s">
        <v>51</v>
      </c>
      <c r="S63" s="35" t="n">
        <f>13372.5</f>
        <v>13372.5</v>
      </c>
      <c r="T63" s="32" t="n">
        <f>326845</f>
        <v>326845.0</v>
      </c>
      <c r="U63" s="32" t="n">
        <f>239860</f>
        <v>239860.0</v>
      </c>
      <c r="V63" s="32" t="n">
        <f>4359463617</f>
        <v>4.359463617E9</v>
      </c>
      <c r="W63" s="32" t="n">
        <f>3195475337</f>
        <v>3.195475337E9</v>
      </c>
      <c r="X63" s="36" t="n">
        <f>20</f>
        <v>20.0</v>
      </c>
    </row>
    <row r="64">
      <c r="A64" s="27" t="s">
        <v>42</v>
      </c>
      <c r="B64" s="27" t="s">
        <v>232</v>
      </c>
      <c r="C64" s="27" t="s">
        <v>233</v>
      </c>
      <c r="D64" s="27" t="s">
        <v>234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10.0</v>
      </c>
      <c r="K64" s="33" t="n">
        <f>1888.5</f>
        <v>1888.5</v>
      </c>
      <c r="L64" s="34" t="s">
        <v>48</v>
      </c>
      <c r="M64" s="33" t="n">
        <f>1912</f>
        <v>1912.0</v>
      </c>
      <c r="N64" s="34" t="s">
        <v>61</v>
      </c>
      <c r="O64" s="33" t="n">
        <f>1857.5</f>
        <v>1857.5</v>
      </c>
      <c r="P64" s="34" t="s">
        <v>103</v>
      </c>
      <c r="Q64" s="33" t="n">
        <f>1902</f>
        <v>1902.0</v>
      </c>
      <c r="R64" s="34" t="s">
        <v>51</v>
      </c>
      <c r="S64" s="35" t="n">
        <f>1889.73</f>
        <v>1889.73</v>
      </c>
      <c r="T64" s="32" t="n">
        <f>4780400</f>
        <v>4780400.0</v>
      </c>
      <c r="U64" s="32" t="n">
        <f>1063630</f>
        <v>1063630.0</v>
      </c>
      <c r="V64" s="32" t="n">
        <f>9041126632</f>
        <v>9.041126632E9</v>
      </c>
      <c r="W64" s="32" t="n">
        <f>2002092152</f>
        <v>2.002092152E9</v>
      </c>
      <c r="X64" s="36" t="n">
        <f>20</f>
        <v>20.0</v>
      </c>
    </row>
    <row r="65">
      <c r="A65" s="27" t="s">
        <v>42</v>
      </c>
      <c r="B65" s="27" t="s">
        <v>235</v>
      </c>
      <c r="C65" s="27" t="s">
        <v>236</v>
      </c>
      <c r="D65" s="27" t="s">
        <v>237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57510</f>
        <v>57510.0</v>
      </c>
      <c r="L65" s="34" t="s">
        <v>48</v>
      </c>
      <c r="M65" s="33" t="n">
        <f>58930</f>
        <v>58930.0</v>
      </c>
      <c r="N65" s="34" t="s">
        <v>62</v>
      </c>
      <c r="O65" s="33" t="n">
        <f>55020</f>
        <v>55020.0</v>
      </c>
      <c r="P65" s="34" t="s">
        <v>50</v>
      </c>
      <c r="Q65" s="33" t="n">
        <f>58240</f>
        <v>58240.0</v>
      </c>
      <c r="R65" s="34" t="s">
        <v>51</v>
      </c>
      <c r="S65" s="35" t="n">
        <f>57592.5</f>
        <v>57592.5</v>
      </c>
      <c r="T65" s="32" t="n">
        <f>810735</f>
        <v>810735.0</v>
      </c>
      <c r="U65" s="32" t="n">
        <f>344949</f>
        <v>344949.0</v>
      </c>
      <c r="V65" s="32" t="n">
        <f>46775547087</f>
        <v>4.6775547087E10</v>
      </c>
      <c r="W65" s="32" t="n">
        <f>20033670167</f>
        <v>2.0033670167E10</v>
      </c>
      <c r="X65" s="36" t="n">
        <f>20</f>
        <v>20.0</v>
      </c>
    </row>
    <row r="66">
      <c r="A66" s="27" t="s">
        <v>42</v>
      </c>
      <c r="B66" s="27" t="s">
        <v>238</v>
      </c>
      <c r="C66" s="27" t="s">
        <v>239</v>
      </c>
      <c r="D66" s="27" t="s">
        <v>240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10.0</v>
      </c>
      <c r="K66" s="33" t="n">
        <f>7736</f>
        <v>7736.0</v>
      </c>
      <c r="L66" s="34" t="s">
        <v>241</v>
      </c>
      <c r="M66" s="33" t="n">
        <f>7736</f>
        <v>7736.0</v>
      </c>
      <c r="N66" s="34" t="s">
        <v>241</v>
      </c>
      <c r="O66" s="33" t="n">
        <f>7736</f>
        <v>7736.0</v>
      </c>
      <c r="P66" s="34" t="s">
        <v>241</v>
      </c>
      <c r="Q66" s="33" t="n">
        <f>7736</f>
        <v>7736.0</v>
      </c>
      <c r="R66" s="34" t="s">
        <v>241</v>
      </c>
      <c r="S66" s="35" t="n">
        <f>7736</f>
        <v>7736.0</v>
      </c>
      <c r="T66" s="32" t="n">
        <f>30</f>
        <v>30.0</v>
      </c>
      <c r="U66" s="32" t="str">
        <f>"－"</f>
        <v>－</v>
      </c>
      <c r="V66" s="32" t="n">
        <f>232080</f>
        <v>232080.0</v>
      </c>
      <c r="W66" s="32" t="str">
        <f>"－"</f>
        <v>－</v>
      </c>
      <c r="X66" s="36" t="n">
        <f>1</f>
        <v>1.0</v>
      </c>
    </row>
    <row r="67">
      <c r="A67" s="27" t="s">
        <v>42</v>
      </c>
      <c r="B67" s="27" t="s">
        <v>242</v>
      </c>
      <c r="C67" s="27" t="s">
        <v>243</v>
      </c>
      <c r="D67" s="27" t="s">
        <v>244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16815</f>
        <v>16815.0</v>
      </c>
      <c r="L67" s="34" t="s">
        <v>48</v>
      </c>
      <c r="M67" s="33" t="n">
        <f>17700</f>
        <v>17700.0</v>
      </c>
      <c r="N67" s="34" t="s">
        <v>51</v>
      </c>
      <c r="O67" s="33" t="n">
        <f>16640</f>
        <v>16640.0</v>
      </c>
      <c r="P67" s="34" t="s">
        <v>116</v>
      </c>
      <c r="Q67" s="33" t="n">
        <f>17350</f>
        <v>17350.0</v>
      </c>
      <c r="R67" s="34" t="s">
        <v>51</v>
      </c>
      <c r="S67" s="35" t="n">
        <f>17089.71</f>
        <v>17089.71</v>
      </c>
      <c r="T67" s="32" t="n">
        <f>489</f>
        <v>489.0</v>
      </c>
      <c r="U67" s="32" t="str">
        <f>"－"</f>
        <v>－</v>
      </c>
      <c r="V67" s="32" t="n">
        <f>8394345</f>
        <v>8394345.0</v>
      </c>
      <c r="W67" s="32" t="str">
        <f>"－"</f>
        <v>－</v>
      </c>
      <c r="X67" s="36" t="n">
        <f>17</f>
        <v>17.0</v>
      </c>
    </row>
    <row r="68">
      <c r="A68" s="27" t="s">
        <v>42</v>
      </c>
      <c r="B68" s="27" t="s">
        <v>245</v>
      </c>
      <c r="C68" s="27" t="s">
        <v>246</v>
      </c>
      <c r="D68" s="27" t="s">
        <v>247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1.0</v>
      </c>
      <c r="K68" s="33" t="n">
        <f>16360</f>
        <v>16360.0</v>
      </c>
      <c r="L68" s="34" t="s">
        <v>48</v>
      </c>
      <c r="M68" s="33" t="n">
        <f>17500</f>
        <v>17500.0</v>
      </c>
      <c r="N68" s="34" t="s">
        <v>51</v>
      </c>
      <c r="O68" s="33" t="n">
        <f>16360</f>
        <v>16360.0</v>
      </c>
      <c r="P68" s="34" t="s">
        <v>48</v>
      </c>
      <c r="Q68" s="33" t="n">
        <f>17500</f>
        <v>17500.0</v>
      </c>
      <c r="R68" s="34" t="s">
        <v>51</v>
      </c>
      <c r="S68" s="35" t="n">
        <f>17029.75</f>
        <v>17029.75</v>
      </c>
      <c r="T68" s="32" t="n">
        <f>661</f>
        <v>661.0</v>
      </c>
      <c r="U68" s="32" t="str">
        <f>"－"</f>
        <v>－</v>
      </c>
      <c r="V68" s="32" t="n">
        <f>11211355</f>
        <v>1.1211355E7</v>
      </c>
      <c r="W68" s="32" t="str">
        <f>"－"</f>
        <v>－</v>
      </c>
      <c r="X68" s="36" t="n">
        <f>20</f>
        <v>20.0</v>
      </c>
    </row>
    <row r="69">
      <c r="A69" s="27" t="s">
        <v>42</v>
      </c>
      <c r="B69" s="27" t="s">
        <v>248</v>
      </c>
      <c r="C69" s="27" t="s">
        <v>249</v>
      </c>
      <c r="D69" s="27" t="s">
        <v>250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26600</f>
        <v>26600.0</v>
      </c>
      <c r="L69" s="34" t="s">
        <v>48</v>
      </c>
      <c r="M69" s="33" t="n">
        <f>27000</f>
        <v>27000.0</v>
      </c>
      <c r="N69" s="34" t="s">
        <v>62</v>
      </c>
      <c r="O69" s="33" t="n">
        <f>25600</f>
        <v>25600.0</v>
      </c>
      <c r="P69" s="34" t="s">
        <v>50</v>
      </c>
      <c r="Q69" s="33" t="n">
        <f>26775</f>
        <v>26775.0</v>
      </c>
      <c r="R69" s="34" t="s">
        <v>51</v>
      </c>
      <c r="S69" s="35" t="n">
        <f>26524.5</f>
        <v>26524.5</v>
      </c>
      <c r="T69" s="32" t="n">
        <f>21553</f>
        <v>21553.0</v>
      </c>
      <c r="U69" s="32" t="n">
        <f>5903</f>
        <v>5903.0</v>
      </c>
      <c r="V69" s="32" t="n">
        <f>570762526</f>
        <v>5.70762526E8</v>
      </c>
      <c r="W69" s="32" t="n">
        <f>156966171</f>
        <v>1.56966171E8</v>
      </c>
      <c r="X69" s="36" t="n">
        <f>20</f>
        <v>20.0</v>
      </c>
    </row>
    <row r="70">
      <c r="A70" s="27" t="s">
        <v>42</v>
      </c>
      <c r="B70" s="27" t="s">
        <v>251</v>
      </c>
      <c r="C70" s="27" t="s">
        <v>252</v>
      </c>
      <c r="D70" s="27" t="s">
        <v>253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10.0</v>
      </c>
      <c r="K70" s="33" t="n">
        <f>9470</f>
        <v>9470.0</v>
      </c>
      <c r="L70" s="34" t="s">
        <v>48</v>
      </c>
      <c r="M70" s="33" t="n">
        <f>10325</f>
        <v>10325.0</v>
      </c>
      <c r="N70" s="34" t="s">
        <v>62</v>
      </c>
      <c r="O70" s="33" t="n">
        <f>9450</f>
        <v>9450.0</v>
      </c>
      <c r="P70" s="34" t="s">
        <v>48</v>
      </c>
      <c r="Q70" s="33" t="n">
        <f>10100</f>
        <v>10100.0</v>
      </c>
      <c r="R70" s="34" t="s">
        <v>51</v>
      </c>
      <c r="S70" s="35" t="n">
        <f>10054.95</f>
        <v>10054.95</v>
      </c>
      <c r="T70" s="32" t="n">
        <f>12380</f>
        <v>12380.0</v>
      </c>
      <c r="U70" s="32" t="n">
        <f>30</f>
        <v>30.0</v>
      </c>
      <c r="V70" s="32" t="n">
        <f>123859790</f>
        <v>1.2385979E8</v>
      </c>
      <c r="W70" s="32" t="n">
        <f>266400</f>
        <v>266400.0</v>
      </c>
      <c r="X70" s="36" t="n">
        <f>20</f>
        <v>20.0</v>
      </c>
    </row>
    <row r="71">
      <c r="A71" s="27" t="s">
        <v>42</v>
      </c>
      <c r="B71" s="27" t="s">
        <v>254</v>
      </c>
      <c r="C71" s="27" t="s">
        <v>255</v>
      </c>
      <c r="D71" s="27" t="s">
        <v>256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1747</f>
        <v>1747.0</v>
      </c>
      <c r="L71" s="34" t="s">
        <v>48</v>
      </c>
      <c r="M71" s="33" t="n">
        <f>1883</f>
        <v>1883.0</v>
      </c>
      <c r="N71" s="34" t="s">
        <v>51</v>
      </c>
      <c r="O71" s="33" t="n">
        <f>1743</f>
        <v>1743.0</v>
      </c>
      <c r="P71" s="34" t="s">
        <v>48</v>
      </c>
      <c r="Q71" s="33" t="n">
        <f>1870</f>
        <v>1870.0</v>
      </c>
      <c r="R71" s="34" t="s">
        <v>51</v>
      </c>
      <c r="S71" s="35" t="n">
        <f>1822.9</f>
        <v>1822.9</v>
      </c>
      <c r="T71" s="32" t="n">
        <f>1392086</f>
        <v>1392086.0</v>
      </c>
      <c r="U71" s="32" t="n">
        <f>742435</f>
        <v>742435.0</v>
      </c>
      <c r="V71" s="32" t="n">
        <f>2520948428</f>
        <v>2.520948428E9</v>
      </c>
      <c r="W71" s="32" t="n">
        <f>1334422614</f>
        <v>1.334422614E9</v>
      </c>
      <c r="X71" s="36" t="n">
        <f>20</f>
        <v>20.0</v>
      </c>
    </row>
    <row r="72">
      <c r="A72" s="27" t="s">
        <v>42</v>
      </c>
      <c r="B72" s="27" t="s">
        <v>257</v>
      </c>
      <c r="C72" s="27" t="s">
        <v>258</v>
      </c>
      <c r="D72" s="27" t="s">
        <v>259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1795</f>
        <v>1795.0</v>
      </c>
      <c r="L72" s="34" t="s">
        <v>48</v>
      </c>
      <c r="M72" s="33" t="n">
        <f>1882</f>
        <v>1882.0</v>
      </c>
      <c r="N72" s="34" t="s">
        <v>51</v>
      </c>
      <c r="O72" s="33" t="n">
        <f>1795</f>
        <v>1795.0</v>
      </c>
      <c r="P72" s="34" t="s">
        <v>48</v>
      </c>
      <c r="Q72" s="33" t="n">
        <f>1882</f>
        <v>1882.0</v>
      </c>
      <c r="R72" s="34" t="s">
        <v>51</v>
      </c>
      <c r="S72" s="35" t="n">
        <f>1850.9</f>
        <v>1850.9</v>
      </c>
      <c r="T72" s="32" t="n">
        <f>500113</f>
        <v>500113.0</v>
      </c>
      <c r="U72" s="32" t="n">
        <f>5000</f>
        <v>5000.0</v>
      </c>
      <c r="V72" s="32" t="n">
        <f>926980207</f>
        <v>9.26980207E8</v>
      </c>
      <c r="W72" s="32" t="n">
        <f>9393500</f>
        <v>9393500.0</v>
      </c>
      <c r="X72" s="36" t="n">
        <f>20</f>
        <v>20.0</v>
      </c>
    </row>
    <row r="73">
      <c r="A73" s="27" t="s">
        <v>42</v>
      </c>
      <c r="B73" s="27" t="s">
        <v>260</v>
      </c>
      <c r="C73" s="27" t="s">
        <v>261</v>
      </c>
      <c r="D73" s="27" t="s">
        <v>262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18100</f>
        <v>18100.0</v>
      </c>
      <c r="L73" s="34" t="s">
        <v>48</v>
      </c>
      <c r="M73" s="33" t="n">
        <f>18880</f>
        <v>18880.0</v>
      </c>
      <c r="N73" s="34" t="s">
        <v>62</v>
      </c>
      <c r="O73" s="33" t="n">
        <f>18000</f>
        <v>18000.0</v>
      </c>
      <c r="P73" s="34" t="s">
        <v>48</v>
      </c>
      <c r="Q73" s="33" t="n">
        <f>18660</f>
        <v>18660.0</v>
      </c>
      <c r="R73" s="34" t="s">
        <v>51</v>
      </c>
      <c r="S73" s="35" t="n">
        <f>18537.75</f>
        <v>18537.75</v>
      </c>
      <c r="T73" s="32" t="n">
        <f>12219</f>
        <v>12219.0</v>
      </c>
      <c r="U73" s="32" t="n">
        <f>2</f>
        <v>2.0</v>
      </c>
      <c r="V73" s="32" t="n">
        <f>223566175</f>
        <v>2.23566175E8</v>
      </c>
      <c r="W73" s="32" t="n">
        <f>37480</f>
        <v>37480.0</v>
      </c>
      <c r="X73" s="36" t="n">
        <f>20</f>
        <v>20.0</v>
      </c>
    </row>
    <row r="74">
      <c r="A74" s="27" t="s">
        <v>42</v>
      </c>
      <c r="B74" s="27" t="s">
        <v>263</v>
      </c>
      <c r="C74" s="27" t="s">
        <v>264</v>
      </c>
      <c r="D74" s="27" t="s">
        <v>265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9437</f>
        <v>9437.0</v>
      </c>
      <c r="L74" s="34" t="s">
        <v>48</v>
      </c>
      <c r="M74" s="33" t="n">
        <f>9576</f>
        <v>9576.0</v>
      </c>
      <c r="N74" s="34" t="s">
        <v>89</v>
      </c>
      <c r="O74" s="33" t="n">
        <f>9199</f>
        <v>9199.0</v>
      </c>
      <c r="P74" s="34" t="s">
        <v>62</v>
      </c>
      <c r="Q74" s="33" t="n">
        <f>9500</f>
        <v>9500.0</v>
      </c>
      <c r="R74" s="34" t="s">
        <v>51</v>
      </c>
      <c r="S74" s="35" t="n">
        <f>9387.3</f>
        <v>9387.3</v>
      </c>
      <c r="T74" s="32" t="n">
        <f>2813</f>
        <v>2813.0</v>
      </c>
      <c r="U74" s="32" t="str">
        <f>"－"</f>
        <v>－</v>
      </c>
      <c r="V74" s="32" t="n">
        <f>26334620</f>
        <v>2.633462E7</v>
      </c>
      <c r="W74" s="32" t="str">
        <f>"－"</f>
        <v>－</v>
      </c>
      <c r="X74" s="36" t="n">
        <f>20</f>
        <v>20.0</v>
      </c>
    </row>
    <row r="75">
      <c r="A75" s="27" t="s">
        <v>42</v>
      </c>
      <c r="B75" s="27" t="s">
        <v>266</v>
      </c>
      <c r="C75" s="27" t="s">
        <v>267</v>
      </c>
      <c r="D75" s="27" t="s">
        <v>268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9125</f>
        <v>9125.0</v>
      </c>
      <c r="L75" s="34" t="s">
        <v>48</v>
      </c>
      <c r="M75" s="33" t="n">
        <f>9165</f>
        <v>9165.0</v>
      </c>
      <c r="N75" s="34" t="s">
        <v>89</v>
      </c>
      <c r="O75" s="33" t="n">
        <f>8918</f>
        <v>8918.0</v>
      </c>
      <c r="P75" s="34" t="s">
        <v>69</v>
      </c>
      <c r="Q75" s="33" t="n">
        <f>9130</f>
        <v>9130.0</v>
      </c>
      <c r="R75" s="34" t="s">
        <v>51</v>
      </c>
      <c r="S75" s="35" t="n">
        <f>9036.2</f>
        <v>9036.2</v>
      </c>
      <c r="T75" s="32" t="n">
        <f>2133322</f>
        <v>2133322.0</v>
      </c>
      <c r="U75" s="32" t="n">
        <f>23440</f>
        <v>23440.0</v>
      </c>
      <c r="V75" s="32" t="n">
        <f>19269376977</f>
        <v>1.9269376977E10</v>
      </c>
      <c r="W75" s="32" t="n">
        <f>211940250</f>
        <v>2.1194025E8</v>
      </c>
      <c r="X75" s="36" t="n">
        <f>20</f>
        <v>20.0</v>
      </c>
    </row>
    <row r="76">
      <c r="A76" s="27" t="s">
        <v>42</v>
      </c>
      <c r="B76" s="27" t="s">
        <v>269</v>
      </c>
      <c r="C76" s="27" t="s">
        <v>270</v>
      </c>
      <c r="D76" s="27" t="s">
        <v>271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4120</f>
        <v>4120.0</v>
      </c>
      <c r="L76" s="34" t="s">
        <v>48</v>
      </c>
      <c r="M76" s="33" t="n">
        <f>4135</f>
        <v>4135.0</v>
      </c>
      <c r="N76" s="34" t="s">
        <v>48</v>
      </c>
      <c r="O76" s="33" t="n">
        <f>3845</f>
        <v>3845.0</v>
      </c>
      <c r="P76" s="34" t="s">
        <v>90</v>
      </c>
      <c r="Q76" s="33" t="n">
        <f>4020</f>
        <v>4020.0</v>
      </c>
      <c r="R76" s="34" t="s">
        <v>51</v>
      </c>
      <c r="S76" s="35" t="n">
        <f>3999</f>
        <v>3999.0</v>
      </c>
      <c r="T76" s="32" t="n">
        <f>685559</f>
        <v>685559.0</v>
      </c>
      <c r="U76" s="32" t="n">
        <f>65</f>
        <v>65.0</v>
      </c>
      <c r="V76" s="32" t="n">
        <f>2731114440</f>
        <v>2.73111444E9</v>
      </c>
      <c r="W76" s="32" t="n">
        <f>248540</f>
        <v>248540.0</v>
      </c>
      <c r="X76" s="36" t="n">
        <f>20</f>
        <v>20.0</v>
      </c>
    </row>
    <row r="77">
      <c r="A77" s="27" t="s">
        <v>42</v>
      </c>
      <c r="B77" s="27" t="s">
        <v>272</v>
      </c>
      <c r="C77" s="27" t="s">
        <v>273</v>
      </c>
      <c r="D77" s="27" t="s">
        <v>274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9985</f>
        <v>9985.0</v>
      </c>
      <c r="L77" s="34" t="s">
        <v>48</v>
      </c>
      <c r="M77" s="33" t="n">
        <f>10645</f>
        <v>10645.0</v>
      </c>
      <c r="N77" s="34" t="s">
        <v>89</v>
      </c>
      <c r="O77" s="33" t="n">
        <f>9635</f>
        <v>9635.0</v>
      </c>
      <c r="P77" s="34" t="s">
        <v>90</v>
      </c>
      <c r="Q77" s="33" t="n">
        <f>10500</f>
        <v>10500.0</v>
      </c>
      <c r="R77" s="34" t="s">
        <v>51</v>
      </c>
      <c r="S77" s="35" t="n">
        <f>10023</f>
        <v>10023.0</v>
      </c>
      <c r="T77" s="32" t="n">
        <f>142170</f>
        <v>142170.0</v>
      </c>
      <c r="U77" s="32" t="n">
        <f>189</f>
        <v>189.0</v>
      </c>
      <c r="V77" s="32" t="n">
        <f>1434447000</f>
        <v>1.434447E9</v>
      </c>
      <c r="W77" s="32" t="n">
        <f>1907437</f>
        <v>1907437.0</v>
      </c>
      <c r="X77" s="36" t="n">
        <f>20</f>
        <v>20.0</v>
      </c>
    </row>
    <row r="78">
      <c r="A78" s="27" t="s">
        <v>42</v>
      </c>
      <c r="B78" s="27" t="s">
        <v>275</v>
      </c>
      <c r="C78" s="27" t="s">
        <v>276</v>
      </c>
      <c r="D78" s="27" t="s">
        <v>277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51660</f>
        <v>51660.0</v>
      </c>
      <c r="L78" s="34" t="s">
        <v>48</v>
      </c>
      <c r="M78" s="33" t="n">
        <f>52800</f>
        <v>52800.0</v>
      </c>
      <c r="N78" s="34" t="s">
        <v>61</v>
      </c>
      <c r="O78" s="33" t="n">
        <f>45500</f>
        <v>45500.0</v>
      </c>
      <c r="P78" s="34" t="s">
        <v>51</v>
      </c>
      <c r="Q78" s="33" t="n">
        <f>45710</f>
        <v>45710.0</v>
      </c>
      <c r="R78" s="34" t="s">
        <v>51</v>
      </c>
      <c r="S78" s="35" t="n">
        <f>48165</f>
        <v>48165.0</v>
      </c>
      <c r="T78" s="32" t="n">
        <f>12621</f>
        <v>12621.0</v>
      </c>
      <c r="U78" s="32" t="n">
        <f>26</f>
        <v>26.0</v>
      </c>
      <c r="V78" s="32" t="n">
        <f>605166170</f>
        <v>6.0516617E8</v>
      </c>
      <c r="W78" s="32" t="n">
        <f>1146400</f>
        <v>1146400.0</v>
      </c>
      <c r="X78" s="36" t="n">
        <f>20</f>
        <v>20.0</v>
      </c>
    </row>
    <row r="79">
      <c r="A79" s="27" t="s">
        <v>42</v>
      </c>
      <c r="B79" s="27" t="s">
        <v>278</v>
      </c>
      <c r="C79" s="27" t="s">
        <v>279</v>
      </c>
      <c r="D79" s="27" t="s">
        <v>280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22020</f>
        <v>22020.0</v>
      </c>
      <c r="L79" s="34" t="s">
        <v>48</v>
      </c>
      <c r="M79" s="33" t="n">
        <f>24265</f>
        <v>24265.0</v>
      </c>
      <c r="N79" s="34" t="s">
        <v>132</v>
      </c>
      <c r="O79" s="33" t="n">
        <f>21995</f>
        <v>21995.0</v>
      </c>
      <c r="P79" s="34" t="s">
        <v>48</v>
      </c>
      <c r="Q79" s="33" t="n">
        <f>23865</f>
        <v>23865.0</v>
      </c>
      <c r="R79" s="34" t="s">
        <v>51</v>
      </c>
      <c r="S79" s="35" t="n">
        <f>23599.75</f>
        <v>23599.75</v>
      </c>
      <c r="T79" s="32" t="n">
        <f>1177863</f>
        <v>1177863.0</v>
      </c>
      <c r="U79" s="32" t="n">
        <f>110</f>
        <v>110.0</v>
      </c>
      <c r="V79" s="32" t="n">
        <f>27813652045</f>
        <v>2.7813652045E10</v>
      </c>
      <c r="W79" s="32" t="n">
        <f>2554850</f>
        <v>2554850.0</v>
      </c>
      <c r="X79" s="36" t="n">
        <f>20</f>
        <v>20.0</v>
      </c>
    </row>
    <row r="80">
      <c r="A80" s="27" t="s">
        <v>42</v>
      </c>
      <c r="B80" s="27" t="s">
        <v>281</v>
      </c>
      <c r="C80" s="27" t="s">
        <v>282</v>
      </c>
      <c r="D80" s="27" t="s">
        <v>283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48540</f>
        <v>48540.0</v>
      </c>
      <c r="L80" s="34" t="s">
        <v>48</v>
      </c>
      <c r="M80" s="33" t="n">
        <f>51500</f>
        <v>51500.0</v>
      </c>
      <c r="N80" s="34" t="s">
        <v>79</v>
      </c>
      <c r="O80" s="33" t="n">
        <f>48460</f>
        <v>48460.0</v>
      </c>
      <c r="P80" s="34" t="s">
        <v>48</v>
      </c>
      <c r="Q80" s="33" t="n">
        <f>50960</f>
        <v>50960.0</v>
      </c>
      <c r="R80" s="34" t="s">
        <v>51</v>
      </c>
      <c r="S80" s="35" t="n">
        <f>50418</f>
        <v>50418.0</v>
      </c>
      <c r="T80" s="32" t="n">
        <f>90777</f>
        <v>90777.0</v>
      </c>
      <c r="U80" s="32" t="n">
        <f>6000</f>
        <v>6000.0</v>
      </c>
      <c r="V80" s="32" t="n">
        <f>4582577035</f>
        <v>4.582577035E9</v>
      </c>
      <c r="W80" s="32" t="n">
        <f>300122785</f>
        <v>3.00122785E8</v>
      </c>
      <c r="X80" s="36" t="n">
        <f>20</f>
        <v>20.0</v>
      </c>
    </row>
    <row r="81">
      <c r="A81" s="27" t="s">
        <v>42</v>
      </c>
      <c r="B81" s="27" t="s">
        <v>284</v>
      </c>
      <c r="C81" s="27" t="s">
        <v>285</v>
      </c>
      <c r="D81" s="27" t="s">
        <v>286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10.0</v>
      </c>
      <c r="K81" s="33" t="n">
        <f>6930</f>
        <v>6930.0</v>
      </c>
      <c r="L81" s="34" t="s">
        <v>48</v>
      </c>
      <c r="M81" s="33" t="n">
        <f>7475</f>
        <v>7475.0</v>
      </c>
      <c r="N81" s="34" t="s">
        <v>132</v>
      </c>
      <c r="O81" s="33" t="n">
        <f>6919</f>
        <v>6919.0</v>
      </c>
      <c r="P81" s="34" t="s">
        <v>48</v>
      </c>
      <c r="Q81" s="33" t="n">
        <f>7343</f>
        <v>7343.0</v>
      </c>
      <c r="R81" s="34" t="s">
        <v>51</v>
      </c>
      <c r="S81" s="35" t="n">
        <f>7295.05</f>
        <v>7295.05</v>
      </c>
      <c r="T81" s="32" t="n">
        <f>1708780</f>
        <v>1708780.0</v>
      </c>
      <c r="U81" s="32" t="n">
        <f>253600</f>
        <v>253600.0</v>
      </c>
      <c r="V81" s="32" t="n">
        <f>12456838390</f>
        <v>1.245683839E10</v>
      </c>
      <c r="W81" s="32" t="n">
        <f>1865132510</f>
        <v>1.86513251E9</v>
      </c>
      <c r="X81" s="36" t="n">
        <f>20</f>
        <v>20.0</v>
      </c>
    </row>
    <row r="82">
      <c r="A82" s="27" t="s">
        <v>42</v>
      </c>
      <c r="B82" s="27" t="s">
        <v>287</v>
      </c>
      <c r="C82" s="27" t="s">
        <v>288</v>
      </c>
      <c r="D82" s="27" t="s">
        <v>289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4347</f>
        <v>4347.0</v>
      </c>
      <c r="L82" s="34" t="s">
        <v>48</v>
      </c>
      <c r="M82" s="33" t="n">
        <f>4683</f>
        <v>4683.0</v>
      </c>
      <c r="N82" s="34" t="s">
        <v>132</v>
      </c>
      <c r="O82" s="33" t="n">
        <f>4345</f>
        <v>4345.0</v>
      </c>
      <c r="P82" s="34" t="s">
        <v>48</v>
      </c>
      <c r="Q82" s="33" t="n">
        <f>4630</f>
        <v>4630.0</v>
      </c>
      <c r="R82" s="34" t="s">
        <v>51</v>
      </c>
      <c r="S82" s="35" t="n">
        <f>4578.3</f>
        <v>4578.3</v>
      </c>
      <c r="T82" s="32" t="n">
        <f>124440</f>
        <v>124440.0</v>
      </c>
      <c r="U82" s="32" t="n">
        <f>10770</f>
        <v>10770.0</v>
      </c>
      <c r="V82" s="32" t="n">
        <f>569605820</f>
        <v>5.6960582E8</v>
      </c>
      <c r="W82" s="32" t="n">
        <f>47089590</f>
        <v>4.708959E7</v>
      </c>
      <c r="X82" s="36" t="n">
        <f>20</f>
        <v>20.0</v>
      </c>
    </row>
    <row r="83">
      <c r="A83" s="27" t="s">
        <v>42</v>
      </c>
      <c r="B83" s="27" t="s">
        <v>290</v>
      </c>
      <c r="C83" s="27" t="s">
        <v>291</v>
      </c>
      <c r="D83" s="27" t="s">
        <v>292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4424</f>
        <v>4424.0</v>
      </c>
      <c r="L83" s="34" t="s">
        <v>48</v>
      </c>
      <c r="M83" s="33" t="n">
        <f>4820</f>
        <v>4820.0</v>
      </c>
      <c r="N83" s="34" t="s">
        <v>293</v>
      </c>
      <c r="O83" s="33" t="n">
        <f>4331</f>
        <v>4331.0</v>
      </c>
      <c r="P83" s="34" t="s">
        <v>116</v>
      </c>
      <c r="Q83" s="33" t="n">
        <f>4790</f>
        <v>4790.0</v>
      </c>
      <c r="R83" s="34" t="s">
        <v>51</v>
      </c>
      <c r="S83" s="35" t="n">
        <f>4567.79</f>
        <v>4567.79</v>
      </c>
      <c r="T83" s="32" t="n">
        <f>10760</f>
        <v>10760.0</v>
      </c>
      <c r="U83" s="32" t="str">
        <f>"－"</f>
        <v>－</v>
      </c>
      <c r="V83" s="32" t="n">
        <f>49300360</f>
        <v>4.930036E7</v>
      </c>
      <c r="W83" s="32" t="str">
        <f>"－"</f>
        <v>－</v>
      </c>
      <c r="X83" s="36" t="n">
        <f>19</f>
        <v>19.0</v>
      </c>
    </row>
    <row r="84">
      <c r="A84" s="27" t="s">
        <v>42</v>
      </c>
      <c r="B84" s="27" t="s">
        <v>294</v>
      </c>
      <c r="C84" s="27" t="s">
        <v>295</v>
      </c>
      <c r="D84" s="27" t="s">
        <v>296</v>
      </c>
      <c r="E84" s="28" t="s">
        <v>46</v>
      </c>
      <c r="F84" s="29" t="s">
        <v>46</v>
      </c>
      <c r="G84" s="30" t="s">
        <v>46</v>
      </c>
      <c r="H84" s="31" t="s">
        <v>297</v>
      </c>
      <c r="I84" s="31" t="s">
        <v>47</v>
      </c>
      <c r="J84" s="32" t="n">
        <v>1.0</v>
      </c>
      <c r="K84" s="33" t="n">
        <f>706</f>
        <v>706.0</v>
      </c>
      <c r="L84" s="34" t="s">
        <v>48</v>
      </c>
      <c r="M84" s="33" t="n">
        <f>710</f>
        <v>710.0</v>
      </c>
      <c r="N84" s="34" t="s">
        <v>48</v>
      </c>
      <c r="O84" s="33" t="n">
        <f>459</f>
        <v>459.0</v>
      </c>
      <c r="P84" s="34" t="s">
        <v>89</v>
      </c>
      <c r="Q84" s="33" t="n">
        <f>467</f>
        <v>467.0</v>
      </c>
      <c r="R84" s="34" t="s">
        <v>51</v>
      </c>
      <c r="S84" s="35" t="n">
        <f>554.65</f>
        <v>554.65</v>
      </c>
      <c r="T84" s="32" t="n">
        <f>37948044</f>
        <v>3.7948044E7</v>
      </c>
      <c r="U84" s="32" t="n">
        <f>924252</f>
        <v>924252.0</v>
      </c>
      <c r="V84" s="32" t="n">
        <f>20906762674</f>
        <v>2.0906762674E10</v>
      </c>
      <c r="W84" s="32" t="n">
        <f>424867366</f>
        <v>4.24867366E8</v>
      </c>
      <c r="X84" s="36" t="n">
        <f>20</f>
        <v>20.0</v>
      </c>
    </row>
    <row r="85">
      <c r="A85" s="27" t="s">
        <v>42</v>
      </c>
      <c r="B85" s="27" t="s">
        <v>298</v>
      </c>
      <c r="C85" s="27" t="s">
        <v>299</v>
      </c>
      <c r="D85" s="27" t="s">
        <v>300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3640</f>
        <v>3640.0</v>
      </c>
      <c r="L85" s="34" t="s">
        <v>48</v>
      </c>
      <c r="M85" s="33" t="n">
        <f>3917</f>
        <v>3917.0</v>
      </c>
      <c r="N85" s="34" t="s">
        <v>79</v>
      </c>
      <c r="O85" s="33" t="n">
        <f>3625</f>
        <v>3625.0</v>
      </c>
      <c r="P85" s="34" t="s">
        <v>48</v>
      </c>
      <c r="Q85" s="33" t="n">
        <f>3837</f>
        <v>3837.0</v>
      </c>
      <c r="R85" s="34" t="s">
        <v>51</v>
      </c>
      <c r="S85" s="35" t="n">
        <f>3816.2</f>
        <v>3816.2</v>
      </c>
      <c r="T85" s="32" t="n">
        <f>83340</f>
        <v>83340.0</v>
      </c>
      <c r="U85" s="32" t="str">
        <f>"－"</f>
        <v>－</v>
      </c>
      <c r="V85" s="32" t="n">
        <f>318146060</f>
        <v>3.1814606E8</v>
      </c>
      <c r="W85" s="32" t="str">
        <f>"－"</f>
        <v>－</v>
      </c>
      <c r="X85" s="36" t="n">
        <f>20</f>
        <v>20.0</v>
      </c>
    </row>
    <row r="86">
      <c r="A86" s="27" t="s">
        <v>42</v>
      </c>
      <c r="B86" s="27" t="s">
        <v>301</v>
      </c>
      <c r="C86" s="27" t="s">
        <v>302</v>
      </c>
      <c r="D86" s="27" t="s">
        <v>303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1574</f>
        <v>1574.0</v>
      </c>
      <c r="L86" s="34" t="s">
        <v>48</v>
      </c>
      <c r="M86" s="33" t="n">
        <f>1809.5</f>
        <v>1809.5</v>
      </c>
      <c r="N86" s="34" t="s">
        <v>241</v>
      </c>
      <c r="O86" s="33" t="n">
        <f>1574</f>
        <v>1574.0</v>
      </c>
      <c r="P86" s="34" t="s">
        <v>48</v>
      </c>
      <c r="Q86" s="33" t="n">
        <f>1746</f>
        <v>1746.0</v>
      </c>
      <c r="R86" s="34" t="s">
        <v>51</v>
      </c>
      <c r="S86" s="35" t="n">
        <f>1719.33</f>
        <v>1719.33</v>
      </c>
      <c r="T86" s="32" t="n">
        <f>238250</f>
        <v>238250.0</v>
      </c>
      <c r="U86" s="32" t="n">
        <f>60</f>
        <v>60.0</v>
      </c>
      <c r="V86" s="32" t="n">
        <f>413101765</f>
        <v>4.13101765E8</v>
      </c>
      <c r="W86" s="32" t="n">
        <f>91380</f>
        <v>91380.0</v>
      </c>
      <c r="X86" s="36" t="n">
        <f>20</f>
        <v>20.0</v>
      </c>
    </row>
    <row r="87">
      <c r="A87" s="27" t="s">
        <v>42</v>
      </c>
      <c r="B87" s="27" t="s">
        <v>304</v>
      </c>
      <c r="C87" s="27" t="s">
        <v>305</v>
      </c>
      <c r="D87" s="27" t="s">
        <v>306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63180</f>
        <v>63180.0</v>
      </c>
      <c r="L87" s="34" t="s">
        <v>48</v>
      </c>
      <c r="M87" s="33" t="n">
        <f>68190</f>
        <v>68190.0</v>
      </c>
      <c r="N87" s="34" t="s">
        <v>132</v>
      </c>
      <c r="O87" s="33" t="n">
        <f>63090</f>
        <v>63090.0</v>
      </c>
      <c r="P87" s="34" t="s">
        <v>48</v>
      </c>
      <c r="Q87" s="33" t="n">
        <f>67000</f>
        <v>67000.0</v>
      </c>
      <c r="R87" s="34" t="s">
        <v>51</v>
      </c>
      <c r="S87" s="35" t="n">
        <f>66533</f>
        <v>66533.0</v>
      </c>
      <c r="T87" s="32" t="n">
        <f>72465</f>
        <v>72465.0</v>
      </c>
      <c r="U87" s="32" t="str">
        <f>"－"</f>
        <v>－</v>
      </c>
      <c r="V87" s="32" t="n">
        <f>4808659260</f>
        <v>4.80865926E9</v>
      </c>
      <c r="W87" s="32" t="str">
        <f>"－"</f>
        <v>－</v>
      </c>
      <c r="X87" s="36" t="n">
        <f>20</f>
        <v>20.0</v>
      </c>
    </row>
    <row r="88">
      <c r="A88" s="27" t="s">
        <v>42</v>
      </c>
      <c r="B88" s="27" t="s">
        <v>307</v>
      </c>
      <c r="C88" s="27" t="s">
        <v>308</v>
      </c>
      <c r="D88" s="27" t="s">
        <v>309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3295</f>
        <v>3295.0</v>
      </c>
      <c r="L88" s="34" t="s">
        <v>48</v>
      </c>
      <c r="M88" s="33" t="n">
        <f>3430</f>
        <v>3430.0</v>
      </c>
      <c r="N88" s="34" t="s">
        <v>241</v>
      </c>
      <c r="O88" s="33" t="n">
        <f>3265</f>
        <v>3265.0</v>
      </c>
      <c r="P88" s="34" t="s">
        <v>48</v>
      </c>
      <c r="Q88" s="33" t="n">
        <f>3335</f>
        <v>3335.0</v>
      </c>
      <c r="R88" s="34" t="s">
        <v>51</v>
      </c>
      <c r="S88" s="35" t="n">
        <f>3352.25</f>
        <v>3352.25</v>
      </c>
      <c r="T88" s="32" t="n">
        <f>8173</f>
        <v>8173.0</v>
      </c>
      <c r="U88" s="32" t="str">
        <f>"－"</f>
        <v>－</v>
      </c>
      <c r="V88" s="32" t="n">
        <f>27346940</f>
        <v>2.734694E7</v>
      </c>
      <c r="W88" s="32" t="str">
        <f>"－"</f>
        <v>－</v>
      </c>
      <c r="X88" s="36" t="n">
        <f>20</f>
        <v>20.0</v>
      </c>
    </row>
    <row r="89">
      <c r="A89" s="27" t="s">
        <v>42</v>
      </c>
      <c r="B89" s="27" t="s">
        <v>310</v>
      </c>
      <c r="C89" s="27" t="s">
        <v>311</v>
      </c>
      <c r="D89" s="27" t="s">
        <v>312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4410</f>
        <v>4410.0</v>
      </c>
      <c r="L89" s="34" t="s">
        <v>48</v>
      </c>
      <c r="M89" s="33" t="n">
        <f>4600</f>
        <v>4600.0</v>
      </c>
      <c r="N89" s="34" t="s">
        <v>79</v>
      </c>
      <c r="O89" s="33" t="n">
        <f>4365</f>
        <v>4365.0</v>
      </c>
      <c r="P89" s="34" t="s">
        <v>116</v>
      </c>
      <c r="Q89" s="33" t="n">
        <f>4450</f>
        <v>4450.0</v>
      </c>
      <c r="R89" s="34" t="s">
        <v>51</v>
      </c>
      <c r="S89" s="35" t="n">
        <f>4514</f>
        <v>4514.0</v>
      </c>
      <c r="T89" s="32" t="n">
        <f>7175</f>
        <v>7175.0</v>
      </c>
      <c r="U89" s="32" t="str">
        <f>"－"</f>
        <v>－</v>
      </c>
      <c r="V89" s="32" t="n">
        <f>32411375</f>
        <v>3.2411375E7</v>
      </c>
      <c r="W89" s="32" t="str">
        <f>"－"</f>
        <v>－</v>
      </c>
      <c r="X89" s="36" t="n">
        <f>20</f>
        <v>20.0</v>
      </c>
    </row>
    <row r="90">
      <c r="A90" s="27" t="s">
        <v>42</v>
      </c>
      <c r="B90" s="27" t="s">
        <v>313</v>
      </c>
      <c r="C90" s="27" t="s">
        <v>314</v>
      </c>
      <c r="D90" s="27" t="s">
        <v>315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2258</f>
        <v>2258.0</v>
      </c>
      <c r="L90" s="34" t="s">
        <v>48</v>
      </c>
      <c r="M90" s="33" t="n">
        <f>2648</f>
        <v>2648.0</v>
      </c>
      <c r="N90" s="34" t="s">
        <v>51</v>
      </c>
      <c r="O90" s="33" t="n">
        <f>2165</f>
        <v>2165.0</v>
      </c>
      <c r="P90" s="34" t="s">
        <v>48</v>
      </c>
      <c r="Q90" s="33" t="n">
        <f>2593</f>
        <v>2593.0</v>
      </c>
      <c r="R90" s="34" t="s">
        <v>51</v>
      </c>
      <c r="S90" s="35" t="n">
        <f>2458.85</f>
        <v>2458.85</v>
      </c>
      <c r="T90" s="32" t="n">
        <f>2689991</f>
        <v>2689991.0</v>
      </c>
      <c r="U90" s="32" t="n">
        <f>30026</f>
        <v>30026.0</v>
      </c>
      <c r="V90" s="32" t="n">
        <f>6635216617</f>
        <v>6.635216617E9</v>
      </c>
      <c r="W90" s="32" t="n">
        <f>76168887</f>
        <v>7.6168887E7</v>
      </c>
      <c r="X90" s="36" t="n">
        <f>20</f>
        <v>20.0</v>
      </c>
    </row>
    <row r="91">
      <c r="A91" s="27" t="s">
        <v>42</v>
      </c>
      <c r="B91" s="27" t="s">
        <v>316</v>
      </c>
      <c r="C91" s="27" t="s">
        <v>317</v>
      </c>
      <c r="D91" s="27" t="s">
        <v>318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46880</f>
        <v>46880.0</v>
      </c>
      <c r="L91" s="34" t="s">
        <v>48</v>
      </c>
      <c r="M91" s="33" t="n">
        <f>48930</f>
        <v>48930.0</v>
      </c>
      <c r="N91" s="34" t="s">
        <v>217</v>
      </c>
      <c r="O91" s="33" t="n">
        <f>46090</f>
        <v>46090.0</v>
      </c>
      <c r="P91" s="34" t="s">
        <v>116</v>
      </c>
      <c r="Q91" s="33" t="n">
        <f>48800</f>
        <v>48800.0</v>
      </c>
      <c r="R91" s="34" t="s">
        <v>51</v>
      </c>
      <c r="S91" s="35" t="n">
        <f>48288</f>
        <v>48288.0</v>
      </c>
      <c r="T91" s="32" t="n">
        <f>20505</f>
        <v>20505.0</v>
      </c>
      <c r="U91" s="32" t="n">
        <f>622</f>
        <v>622.0</v>
      </c>
      <c r="V91" s="32" t="n">
        <f>988841083</f>
        <v>9.88841083E8</v>
      </c>
      <c r="W91" s="32" t="n">
        <f>30005873</f>
        <v>3.0005873E7</v>
      </c>
      <c r="X91" s="36" t="n">
        <f>20</f>
        <v>20.0</v>
      </c>
    </row>
    <row r="92">
      <c r="A92" s="27" t="s">
        <v>42</v>
      </c>
      <c r="B92" s="27" t="s">
        <v>319</v>
      </c>
      <c r="C92" s="27" t="s">
        <v>320</v>
      </c>
      <c r="D92" s="27" t="s">
        <v>321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34570</f>
        <v>34570.0</v>
      </c>
      <c r="L92" s="34" t="s">
        <v>48</v>
      </c>
      <c r="M92" s="33" t="n">
        <f>37700</f>
        <v>37700.0</v>
      </c>
      <c r="N92" s="34" t="s">
        <v>49</v>
      </c>
      <c r="O92" s="33" t="n">
        <f>34350</f>
        <v>34350.0</v>
      </c>
      <c r="P92" s="34" t="s">
        <v>50</v>
      </c>
      <c r="Q92" s="33" t="n">
        <f>36730</f>
        <v>36730.0</v>
      </c>
      <c r="R92" s="34" t="s">
        <v>51</v>
      </c>
      <c r="S92" s="35" t="n">
        <f>36174.5</f>
        <v>36174.5</v>
      </c>
      <c r="T92" s="32" t="n">
        <f>1365490</f>
        <v>1365490.0</v>
      </c>
      <c r="U92" s="32" t="n">
        <f>10000</f>
        <v>10000.0</v>
      </c>
      <c r="V92" s="32" t="n">
        <f>49420988700</f>
        <v>4.94209887E10</v>
      </c>
      <c r="W92" s="32" t="n">
        <f>373300000</f>
        <v>3.733E8</v>
      </c>
      <c r="X92" s="36" t="n">
        <f>20</f>
        <v>20.0</v>
      </c>
    </row>
    <row r="93">
      <c r="A93" s="27" t="s">
        <v>42</v>
      </c>
      <c r="B93" s="27" t="s">
        <v>322</v>
      </c>
      <c r="C93" s="27" t="s">
        <v>323</v>
      </c>
      <c r="D93" s="27" t="s">
        <v>324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1624.5</f>
        <v>1624.5</v>
      </c>
      <c r="L93" s="34" t="s">
        <v>48</v>
      </c>
      <c r="M93" s="33" t="n">
        <f>1625.5</f>
        <v>1625.5</v>
      </c>
      <c r="N93" s="34" t="s">
        <v>48</v>
      </c>
      <c r="O93" s="33" t="n">
        <f>1549.5</f>
        <v>1549.5</v>
      </c>
      <c r="P93" s="34" t="s">
        <v>49</v>
      </c>
      <c r="Q93" s="33" t="n">
        <f>1569.5</f>
        <v>1569.5</v>
      </c>
      <c r="R93" s="34" t="s">
        <v>51</v>
      </c>
      <c r="S93" s="35" t="n">
        <f>1582.3</f>
        <v>1582.3</v>
      </c>
      <c r="T93" s="32" t="n">
        <f>532730</f>
        <v>532730.0</v>
      </c>
      <c r="U93" s="32" t="str">
        <f>"－"</f>
        <v>－</v>
      </c>
      <c r="V93" s="32" t="n">
        <f>843157945</f>
        <v>8.43157945E8</v>
      </c>
      <c r="W93" s="32" t="str">
        <f>"－"</f>
        <v>－</v>
      </c>
      <c r="X93" s="36" t="n">
        <f>20</f>
        <v>20.0</v>
      </c>
    </row>
    <row r="94">
      <c r="A94" s="27" t="s">
        <v>42</v>
      </c>
      <c r="B94" s="27" t="s">
        <v>325</v>
      </c>
      <c r="C94" s="27" t="s">
        <v>326</v>
      </c>
      <c r="D94" s="27" t="s">
        <v>327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18700</f>
        <v>18700.0</v>
      </c>
      <c r="L94" s="34" t="s">
        <v>48</v>
      </c>
      <c r="M94" s="33" t="n">
        <f>21620</f>
        <v>21620.0</v>
      </c>
      <c r="N94" s="34" t="s">
        <v>49</v>
      </c>
      <c r="O94" s="33" t="n">
        <f>18595</f>
        <v>18595.0</v>
      </c>
      <c r="P94" s="34" t="s">
        <v>48</v>
      </c>
      <c r="Q94" s="33" t="n">
        <f>21120</f>
        <v>21120.0</v>
      </c>
      <c r="R94" s="34" t="s">
        <v>51</v>
      </c>
      <c r="S94" s="35" t="n">
        <f>20498.75</f>
        <v>20498.75</v>
      </c>
      <c r="T94" s="32" t="n">
        <f>114997290</f>
        <v>1.1499729E8</v>
      </c>
      <c r="U94" s="32" t="n">
        <f>52456</f>
        <v>52456.0</v>
      </c>
      <c r="V94" s="32" t="n">
        <f>2345350628310</f>
        <v>2.34535062831E12</v>
      </c>
      <c r="W94" s="32" t="n">
        <f>1050658375</f>
        <v>1.050658375E9</v>
      </c>
      <c r="X94" s="36" t="n">
        <f>20</f>
        <v>20.0</v>
      </c>
    </row>
    <row r="95">
      <c r="A95" s="27" t="s">
        <v>42</v>
      </c>
      <c r="B95" s="27" t="s">
        <v>328</v>
      </c>
      <c r="C95" s="27" t="s">
        <v>329</v>
      </c>
      <c r="D95" s="27" t="s">
        <v>330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798</f>
        <v>798.0</v>
      </c>
      <c r="L95" s="34" t="s">
        <v>48</v>
      </c>
      <c r="M95" s="33" t="n">
        <f>799</f>
        <v>799.0</v>
      </c>
      <c r="N95" s="34" t="s">
        <v>48</v>
      </c>
      <c r="O95" s="33" t="n">
        <f>737</f>
        <v>737.0</v>
      </c>
      <c r="P95" s="34" t="s">
        <v>49</v>
      </c>
      <c r="Q95" s="33" t="n">
        <f>746</f>
        <v>746.0</v>
      </c>
      <c r="R95" s="34" t="s">
        <v>51</v>
      </c>
      <c r="S95" s="35" t="n">
        <f>758.35</f>
        <v>758.35</v>
      </c>
      <c r="T95" s="32" t="n">
        <f>33618450</f>
        <v>3.361845E7</v>
      </c>
      <c r="U95" s="32" t="n">
        <f>2415583</f>
        <v>2415583.0</v>
      </c>
      <c r="V95" s="32" t="n">
        <f>25510407175</f>
        <v>2.5510407175E10</v>
      </c>
      <c r="W95" s="32" t="n">
        <f>1807973548</f>
        <v>1.807973548E9</v>
      </c>
      <c r="X95" s="36" t="n">
        <f>20</f>
        <v>20.0</v>
      </c>
    </row>
    <row r="96">
      <c r="A96" s="27" t="s">
        <v>42</v>
      </c>
      <c r="B96" s="27" t="s">
        <v>331</v>
      </c>
      <c r="C96" s="27" t="s">
        <v>332</v>
      </c>
      <c r="D96" s="27" t="s">
        <v>333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3887</f>
        <v>3887.0</v>
      </c>
      <c r="L96" s="34" t="s">
        <v>48</v>
      </c>
      <c r="M96" s="33" t="n">
        <f>4419</f>
        <v>4419.0</v>
      </c>
      <c r="N96" s="34" t="s">
        <v>79</v>
      </c>
      <c r="O96" s="33" t="n">
        <f>3750</f>
        <v>3750.0</v>
      </c>
      <c r="P96" s="34" t="s">
        <v>51</v>
      </c>
      <c r="Q96" s="33" t="n">
        <f>3779</f>
        <v>3779.0</v>
      </c>
      <c r="R96" s="34" t="s">
        <v>51</v>
      </c>
      <c r="S96" s="35" t="n">
        <f>4035.25</f>
        <v>4035.25</v>
      </c>
      <c r="T96" s="32" t="n">
        <f>259700</f>
        <v>259700.0</v>
      </c>
      <c r="U96" s="32" t="str">
        <f>"－"</f>
        <v>－</v>
      </c>
      <c r="V96" s="32" t="n">
        <f>1050832500</f>
        <v>1.0508325E9</v>
      </c>
      <c r="W96" s="32" t="str">
        <f>"－"</f>
        <v>－</v>
      </c>
      <c r="X96" s="36" t="n">
        <f>20</f>
        <v>20.0</v>
      </c>
    </row>
    <row r="97">
      <c r="A97" s="27" t="s">
        <v>42</v>
      </c>
      <c r="B97" s="27" t="s">
        <v>334</v>
      </c>
      <c r="C97" s="27" t="s">
        <v>335</v>
      </c>
      <c r="D97" s="27" t="s">
        <v>336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12800</f>
        <v>12800.0</v>
      </c>
      <c r="L97" s="34" t="s">
        <v>48</v>
      </c>
      <c r="M97" s="33" t="n">
        <f>12945</f>
        <v>12945.0</v>
      </c>
      <c r="N97" s="34" t="s">
        <v>90</v>
      </c>
      <c r="O97" s="33" t="n">
        <f>11905</f>
        <v>11905.0</v>
      </c>
      <c r="P97" s="34" t="s">
        <v>69</v>
      </c>
      <c r="Q97" s="33" t="n">
        <f>12595</f>
        <v>12595.0</v>
      </c>
      <c r="R97" s="34" t="s">
        <v>51</v>
      </c>
      <c r="S97" s="35" t="n">
        <f>12460.5</f>
        <v>12460.5</v>
      </c>
      <c r="T97" s="32" t="n">
        <f>44430</f>
        <v>44430.0</v>
      </c>
      <c r="U97" s="32" t="str">
        <f>"－"</f>
        <v>－</v>
      </c>
      <c r="V97" s="32" t="n">
        <f>551341500</f>
        <v>5.513415E8</v>
      </c>
      <c r="W97" s="32" t="str">
        <f>"－"</f>
        <v>－</v>
      </c>
      <c r="X97" s="36" t="n">
        <f>20</f>
        <v>20.0</v>
      </c>
    </row>
    <row r="98">
      <c r="A98" s="27" t="s">
        <v>42</v>
      </c>
      <c r="B98" s="27" t="s">
        <v>337</v>
      </c>
      <c r="C98" s="27" t="s">
        <v>338</v>
      </c>
      <c r="D98" s="27" t="s">
        <v>339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31830</f>
        <v>31830.0</v>
      </c>
      <c r="L98" s="34" t="s">
        <v>48</v>
      </c>
      <c r="M98" s="33" t="n">
        <f>32620</f>
        <v>32620.0</v>
      </c>
      <c r="N98" s="34" t="s">
        <v>62</v>
      </c>
      <c r="O98" s="33" t="n">
        <f>30790</f>
        <v>30790.0</v>
      </c>
      <c r="P98" s="34" t="s">
        <v>50</v>
      </c>
      <c r="Q98" s="33" t="n">
        <f>32230</f>
        <v>32230.0</v>
      </c>
      <c r="R98" s="34" t="s">
        <v>51</v>
      </c>
      <c r="S98" s="35" t="n">
        <f>32023.5</f>
        <v>32023.5</v>
      </c>
      <c r="T98" s="32" t="n">
        <f>99756</f>
        <v>99756.0</v>
      </c>
      <c r="U98" s="32" t="n">
        <f>51902</f>
        <v>51902.0</v>
      </c>
      <c r="V98" s="32" t="n">
        <f>3193517348</f>
        <v>3.193517348E9</v>
      </c>
      <c r="W98" s="32" t="n">
        <f>1664973748</f>
        <v>1.664973748E9</v>
      </c>
      <c r="X98" s="36" t="n">
        <f>20</f>
        <v>20.0</v>
      </c>
    </row>
    <row r="99">
      <c r="A99" s="27" t="s">
        <v>42</v>
      </c>
      <c r="B99" s="27" t="s">
        <v>340</v>
      </c>
      <c r="C99" s="27" t="s">
        <v>341</v>
      </c>
      <c r="D99" s="27" t="s">
        <v>342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2516</f>
        <v>2516.0</v>
      </c>
      <c r="L99" s="34" t="s">
        <v>48</v>
      </c>
      <c r="M99" s="33" t="n">
        <f>2714</f>
        <v>2714.0</v>
      </c>
      <c r="N99" s="34" t="s">
        <v>49</v>
      </c>
      <c r="O99" s="33" t="n">
        <f>2516</f>
        <v>2516.0</v>
      </c>
      <c r="P99" s="34" t="s">
        <v>48</v>
      </c>
      <c r="Q99" s="33" t="n">
        <f>2683</f>
        <v>2683.0</v>
      </c>
      <c r="R99" s="34" t="s">
        <v>51</v>
      </c>
      <c r="S99" s="35" t="n">
        <f>2642.25</f>
        <v>2642.25</v>
      </c>
      <c r="T99" s="32" t="n">
        <f>400228</f>
        <v>400228.0</v>
      </c>
      <c r="U99" s="32" t="n">
        <f>281478</f>
        <v>281478.0</v>
      </c>
      <c r="V99" s="32" t="n">
        <f>1039380912</f>
        <v>1.039380912E9</v>
      </c>
      <c r="W99" s="32" t="n">
        <f>729809697</f>
        <v>7.29809697E8</v>
      </c>
      <c r="X99" s="36" t="n">
        <f>20</f>
        <v>20.0</v>
      </c>
    </row>
    <row r="100">
      <c r="A100" s="27" t="s">
        <v>42</v>
      </c>
      <c r="B100" s="27" t="s">
        <v>343</v>
      </c>
      <c r="C100" s="27" t="s">
        <v>344</v>
      </c>
      <c r="D100" s="27" t="s">
        <v>345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19990</f>
        <v>19990.0</v>
      </c>
      <c r="L100" s="34" t="s">
        <v>48</v>
      </c>
      <c r="M100" s="33" t="n">
        <f>23100</f>
        <v>23100.0</v>
      </c>
      <c r="N100" s="34" t="s">
        <v>49</v>
      </c>
      <c r="O100" s="33" t="n">
        <f>19870</f>
        <v>19870.0</v>
      </c>
      <c r="P100" s="34" t="s">
        <v>48</v>
      </c>
      <c r="Q100" s="33" t="n">
        <f>22530</f>
        <v>22530.0</v>
      </c>
      <c r="R100" s="34" t="s">
        <v>51</v>
      </c>
      <c r="S100" s="35" t="n">
        <f>21895.75</f>
        <v>21895.75</v>
      </c>
      <c r="T100" s="32" t="n">
        <f>8962270</f>
        <v>8962270.0</v>
      </c>
      <c r="U100" s="32" t="n">
        <f>30</f>
        <v>30.0</v>
      </c>
      <c r="V100" s="32" t="n">
        <f>195175185075</f>
        <v>1.95175185075E11</v>
      </c>
      <c r="W100" s="32" t="n">
        <f>675375</f>
        <v>675375.0</v>
      </c>
      <c r="X100" s="36" t="n">
        <f>20</f>
        <v>20.0</v>
      </c>
    </row>
    <row r="101">
      <c r="A101" s="27" t="s">
        <v>42</v>
      </c>
      <c r="B101" s="27" t="s">
        <v>346</v>
      </c>
      <c r="C101" s="27" t="s">
        <v>347</v>
      </c>
      <c r="D101" s="27" t="s">
        <v>348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2117.5</f>
        <v>2117.5</v>
      </c>
      <c r="L101" s="34" t="s">
        <v>48</v>
      </c>
      <c r="M101" s="33" t="n">
        <f>2117.5</f>
        <v>2117.5</v>
      </c>
      <c r="N101" s="34" t="s">
        <v>48</v>
      </c>
      <c r="O101" s="33" t="n">
        <f>1957</f>
        <v>1957.0</v>
      </c>
      <c r="P101" s="34" t="s">
        <v>49</v>
      </c>
      <c r="Q101" s="33" t="n">
        <f>1979</f>
        <v>1979.0</v>
      </c>
      <c r="R101" s="34" t="s">
        <v>51</v>
      </c>
      <c r="S101" s="35" t="n">
        <f>2013.25</f>
        <v>2013.25</v>
      </c>
      <c r="T101" s="32" t="n">
        <f>3306270</f>
        <v>3306270.0</v>
      </c>
      <c r="U101" s="32" t="n">
        <f>20000</f>
        <v>20000.0</v>
      </c>
      <c r="V101" s="32" t="n">
        <f>6621432240</f>
        <v>6.62143224E9</v>
      </c>
      <c r="W101" s="32" t="n">
        <f>40626000</f>
        <v>4.0626E7</v>
      </c>
      <c r="X101" s="36" t="n">
        <f>20</f>
        <v>20.0</v>
      </c>
    </row>
    <row r="102">
      <c r="A102" s="27" t="s">
        <v>42</v>
      </c>
      <c r="B102" s="27" t="s">
        <v>349</v>
      </c>
      <c r="C102" s="27" t="s">
        <v>350</v>
      </c>
      <c r="D102" s="27" t="s">
        <v>351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1610</f>
        <v>1610.0</v>
      </c>
      <c r="L102" s="34" t="s">
        <v>48</v>
      </c>
      <c r="M102" s="33" t="n">
        <f>1693</f>
        <v>1693.0</v>
      </c>
      <c r="N102" s="34" t="s">
        <v>49</v>
      </c>
      <c r="O102" s="33" t="n">
        <f>1610</f>
        <v>1610.0</v>
      </c>
      <c r="P102" s="34" t="s">
        <v>48</v>
      </c>
      <c r="Q102" s="33" t="n">
        <f>1668</f>
        <v>1668.0</v>
      </c>
      <c r="R102" s="34" t="s">
        <v>51</v>
      </c>
      <c r="S102" s="35" t="n">
        <f>1657.98</f>
        <v>1657.98</v>
      </c>
      <c r="T102" s="32" t="n">
        <f>12540</f>
        <v>12540.0</v>
      </c>
      <c r="U102" s="32" t="str">
        <f>"－"</f>
        <v>－</v>
      </c>
      <c r="V102" s="32" t="n">
        <f>20804500</f>
        <v>2.08045E7</v>
      </c>
      <c r="W102" s="32" t="str">
        <f>"－"</f>
        <v>－</v>
      </c>
      <c r="X102" s="36" t="n">
        <f>20</f>
        <v>20.0</v>
      </c>
    </row>
    <row r="103">
      <c r="A103" s="27" t="s">
        <v>42</v>
      </c>
      <c r="B103" s="27" t="s">
        <v>352</v>
      </c>
      <c r="C103" s="27" t="s">
        <v>353</v>
      </c>
      <c r="D103" s="27" t="s">
        <v>354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1835</f>
        <v>1835.0</v>
      </c>
      <c r="L103" s="34" t="s">
        <v>48</v>
      </c>
      <c r="M103" s="33" t="n">
        <f>1960</f>
        <v>1960.0</v>
      </c>
      <c r="N103" s="34" t="s">
        <v>49</v>
      </c>
      <c r="O103" s="33" t="n">
        <f>1835</f>
        <v>1835.0</v>
      </c>
      <c r="P103" s="34" t="s">
        <v>48</v>
      </c>
      <c r="Q103" s="33" t="n">
        <f>1937</f>
        <v>1937.0</v>
      </c>
      <c r="R103" s="34" t="s">
        <v>51</v>
      </c>
      <c r="S103" s="35" t="n">
        <f>1912.16</f>
        <v>1912.16</v>
      </c>
      <c r="T103" s="32" t="n">
        <f>404787</f>
        <v>404787.0</v>
      </c>
      <c r="U103" s="32" t="n">
        <f>400001</f>
        <v>400001.0</v>
      </c>
      <c r="V103" s="32" t="n">
        <f>773207624</f>
        <v>7.73207624E8</v>
      </c>
      <c r="W103" s="32" t="n">
        <f>764131933</f>
        <v>7.64131933E8</v>
      </c>
      <c r="X103" s="36" t="n">
        <f>19</f>
        <v>19.0</v>
      </c>
    </row>
    <row r="104">
      <c r="A104" s="27" t="s">
        <v>42</v>
      </c>
      <c r="B104" s="27" t="s">
        <v>355</v>
      </c>
      <c r="C104" s="27" t="s">
        <v>356</v>
      </c>
      <c r="D104" s="27" t="s">
        <v>357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20645</f>
        <v>20645.0</v>
      </c>
      <c r="L104" s="34" t="s">
        <v>48</v>
      </c>
      <c r="M104" s="33" t="n">
        <f>21780</f>
        <v>21780.0</v>
      </c>
      <c r="N104" s="34" t="s">
        <v>49</v>
      </c>
      <c r="O104" s="33" t="n">
        <f>20645</f>
        <v>20645.0</v>
      </c>
      <c r="P104" s="34" t="s">
        <v>48</v>
      </c>
      <c r="Q104" s="33" t="n">
        <f>21495</f>
        <v>21495.0</v>
      </c>
      <c r="R104" s="34" t="s">
        <v>51</v>
      </c>
      <c r="S104" s="35" t="n">
        <f>21308.5</f>
        <v>21308.5</v>
      </c>
      <c r="T104" s="32" t="n">
        <f>125477</f>
        <v>125477.0</v>
      </c>
      <c r="U104" s="32" t="n">
        <f>68060</f>
        <v>68060.0</v>
      </c>
      <c r="V104" s="32" t="n">
        <f>2697210858</f>
        <v>2.697210858E9</v>
      </c>
      <c r="W104" s="32" t="n">
        <f>1465874328</f>
        <v>1.465874328E9</v>
      </c>
      <c r="X104" s="36" t="n">
        <f>20</f>
        <v>20.0</v>
      </c>
    </row>
    <row r="105">
      <c r="A105" s="27" t="s">
        <v>42</v>
      </c>
      <c r="B105" s="27" t="s">
        <v>358</v>
      </c>
      <c r="C105" s="27" t="s">
        <v>359</v>
      </c>
      <c r="D105" s="27" t="s">
        <v>360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1907</f>
        <v>1907.0</v>
      </c>
      <c r="L105" s="34" t="s">
        <v>48</v>
      </c>
      <c r="M105" s="33" t="n">
        <f>2009</f>
        <v>2009.0</v>
      </c>
      <c r="N105" s="34" t="s">
        <v>49</v>
      </c>
      <c r="O105" s="33" t="n">
        <f>1904</f>
        <v>1904.0</v>
      </c>
      <c r="P105" s="34" t="s">
        <v>48</v>
      </c>
      <c r="Q105" s="33" t="n">
        <f>1983</f>
        <v>1983.0</v>
      </c>
      <c r="R105" s="34" t="s">
        <v>51</v>
      </c>
      <c r="S105" s="35" t="n">
        <f>1965.75</f>
        <v>1965.75</v>
      </c>
      <c r="T105" s="32" t="n">
        <f>142821</f>
        <v>142821.0</v>
      </c>
      <c r="U105" s="32" t="n">
        <f>105000</f>
        <v>105000.0</v>
      </c>
      <c r="V105" s="32" t="n">
        <f>275370276</f>
        <v>2.75370276E8</v>
      </c>
      <c r="W105" s="32" t="n">
        <f>201024846</f>
        <v>2.01024846E8</v>
      </c>
      <c r="X105" s="36" t="n">
        <f>20</f>
        <v>20.0</v>
      </c>
    </row>
    <row r="106">
      <c r="A106" s="27" t="s">
        <v>42</v>
      </c>
      <c r="B106" s="27" t="s">
        <v>361</v>
      </c>
      <c r="C106" s="27" t="s">
        <v>362</v>
      </c>
      <c r="D106" s="27" t="s">
        <v>363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21310</f>
        <v>21310.0</v>
      </c>
      <c r="L106" s="34" t="s">
        <v>48</v>
      </c>
      <c r="M106" s="33" t="n">
        <f>22470</f>
        <v>22470.0</v>
      </c>
      <c r="N106" s="34" t="s">
        <v>62</v>
      </c>
      <c r="O106" s="33" t="n">
        <f>21310</f>
        <v>21310.0</v>
      </c>
      <c r="P106" s="34" t="s">
        <v>48</v>
      </c>
      <c r="Q106" s="33" t="n">
        <f>22165</f>
        <v>22165.0</v>
      </c>
      <c r="R106" s="34" t="s">
        <v>51</v>
      </c>
      <c r="S106" s="35" t="n">
        <f>21984.25</f>
        <v>21984.25</v>
      </c>
      <c r="T106" s="32" t="n">
        <f>40773</f>
        <v>40773.0</v>
      </c>
      <c r="U106" s="32" t="n">
        <f>20000</f>
        <v>20000.0</v>
      </c>
      <c r="V106" s="32" t="n">
        <f>902311675</f>
        <v>9.02311675E8</v>
      </c>
      <c r="W106" s="32" t="n">
        <f>441642000</f>
        <v>4.41642E8</v>
      </c>
      <c r="X106" s="36" t="n">
        <f>20</f>
        <v>20.0</v>
      </c>
    </row>
    <row r="107">
      <c r="A107" s="27" t="s">
        <v>42</v>
      </c>
      <c r="B107" s="27" t="s">
        <v>364</v>
      </c>
      <c r="C107" s="27" t="s">
        <v>365</v>
      </c>
      <c r="D107" s="27" t="s">
        <v>366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1864.5</f>
        <v>1864.5</v>
      </c>
      <c r="L107" s="34" t="s">
        <v>48</v>
      </c>
      <c r="M107" s="33" t="n">
        <f>1887</f>
        <v>1887.0</v>
      </c>
      <c r="N107" s="34" t="s">
        <v>61</v>
      </c>
      <c r="O107" s="33" t="n">
        <f>1833</f>
        <v>1833.0</v>
      </c>
      <c r="P107" s="34" t="s">
        <v>103</v>
      </c>
      <c r="Q107" s="33" t="n">
        <f>1876.5</f>
        <v>1876.5</v>
      </c>
      <c r="R107" s="34" t="s">
        <v>51</v>
      </c>
      <c r="S107" s="35" t="n">
        <f>1863.73</f>
        <v>1863.73</v>
      </c>
      <c r="T107" s="32" t="n">
        <f>545280</f>
        <v>545280.0</v>
      </c>
      <c r="U107" s="32" t="n">
        <f>135000</f>
        <v>135000.0</v>
      </c>
      <c r="V107" s="32" t="n">
        <f>1013552560</f>
        <v>1.01355256E9</v>
      </c>
      <c r="W107" s="32" t="n">
        <f>249480000</f>
        <v>2.4948E8</v>
      </c>
      <c r="X107" s="36" t="n">
        <f>20</f>
        <v>20.0</v>
      </c>
    </row>
    <row r="108">
      <c r="A108" s="27" t="s">
        <v>42</v>
      </c>
      <c r="B108" s="27" t="s">
        <v>367</v>
      </c>
      <c r="C108" s="27" t="s">
        <v>368</v>
      </c>
      <c r="D108" s="27" t="s">
        <v>369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2000</f>
        <v>2000.0</v>
      </c>
      <c r="L108" s="34" t="s">
        <v>79</v>
      </c>
      <c r="M108" s="33" t="n">
        <f>2000</f>
        <v>2000.0</v>
      </c>
      <c r="N108" s="34" t="s">
        <v>79</v>
      </c>
      <c r="O108" s="33" t="n">
        <f>2000</f>
        <v>2000.0</v>
      </c>
      <c r="P108" s="34" t="s">
        <v>79</v>
      </c>
      <c r="Q108" s="33" t="n">
        <f>2000</f>
        <v>2000.0</v>
      </c>
      <c r="R108" s="34" t="s">
        <v>79</v>
      </c>
      <c r="S108" s="35" t="n">
        <f>2000</f>
        <v>2000.0</v>
      </c>
      <c r="T108" s="32" t="n">
        <f>10</f>
        <v>10.0</v>
      </c>
      <c r="U108" s="32" t="str">
        <f>"－"</f>
        <v>－</v>
      </c>
      <c r="V108" s="32" t="n">
        <f>20000</f>
        <v>20000.0</v>
      </c>
      <c r="W108" s="32" t="str">
        <f>"－"</f>
        <v>－</v>
      </c>
      <c r="X108" s="36" t="n">
        <f>1</f>
        <v>1.0</v>
      </c>
    </row>
    <row r="109">
      <c r="A109" s="27" t="s">
        <v>42</v>
      </c>
      <c r="B109" s="27" t="s">
        <v>370</v>
      </c>
      <c r="C109" s="27" t="s">
        <v>371</v>
      </c>
      <c r="D109" s="27" t="s">
        <v>372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1877.5</f>
        <v>1877.5</v>
      </c>
      <c r="L109" s="34" t="s">
        <v>48</v>
      </c>
      <c r="M109" s="33" t="n">
        <f>1902</f>
        <v>1902.0</v>
      </c>
      <c r="N109" s="34" t="s">
        <v>61</v>
      </c>
      <c r="O109" s="33" t="n">
        <f>1847.5</f>
        <v>1847.5</v>
      </c>
      <c r="P109" s="34" t="s">
        <v>103</v>
      </c>
      <c r="Q109" s="33" t="n">
        <f>1889.5</f>
        <v>1889.5</v>
      </c>
      <c r="R109" s="34" t="s">
        <v>51</v>
      </c>
      <c r="S109" s="35" t="n">
        <f>1880.03</f>
        <v>1880.03</v>
      </c>
      <c r="T109" s="32" t="n">
        <f>3190510</f>
        <v>3190510.0</v>
      </c>
      <c r="U109" s="32" t="n">
        <f>932390</f>
        <v>932390.0</v>
      </c>
      <c r="V109" s="32" t="n">
        <f>5996261044</f>
        <v>5.996261044E9</v>
      </c>
      <c r="W109" s="32" t="n">
        <f>1751174029</f>
        <v>1.751174029E9</v>
      </c>
      <c r="X109" s="36" t="n">
        <f>20</f>
        <v>20.0</v>
      </c>
    </row>
    <row r="110">
      <c r="A110" s="27" t="s">
        <v>42</v>
      </c>
      <c r="B110" s="27" t="s">
        <v>373</v>
      </c>
      <c r="C110" s="27" t="s">
        <v>374</v>
      </c>
      <c r="D110" s="27" t="s">
        <v>375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21000</f>
        <v>21000.0</v>
      </c>
      <c r="L110" s="34" t="s">
        <v>48</v>
      </c>
      <c r="M110" s="33" t="n">
        <f>22210</f>
        <v>22210.0</v>
      </c>
      <c r="N110" s="34" t="s">
        <v>62</v>
      </c>
      <c r="O110" s="33" t="n">
        <f>21000</f>
        <v>21000.0</v>
      </c>
      <c r="P110" s="34" t="s">
        <v>48</v>
      </c>
      <c r="Q110" s="33" t="n">
        <f>21850</f>
        <v>21850.0</v>
      </c>
      <c r="R110" s="34" t="s">
        <v>51</v>
      </c>
      <c r="S110" s="35" t="n">
        <f>21756.18</f>
        <v>21756.18</v>
      </c>
      <c r="T110" s="32" t="n">
        <f>424</f>
        <v>424.0</v>
      </c>
      <c r="U110" s="32" t="str">
        <f>"－"</f>
        <v>－</v>
      </c>
      <c r="V110" s="32" t="n">
        <f>9237920</f>
        <v>9237920.0</v>
      </c>
      <c r="W110" s="32" t="str">
        <f>"－"</f>
        <v>－</v>
      </c>
      <c r="X110" s="36" t="n">
        <f>17</f>
        <v>17.0</v>
      </c>
    </row>
    <row r="111">
      <c r="A111" s="27" t="s">
        <v>42</v>
      </c>
      <c r="B111" s="27" t="s">
        <v>376</v>
      </c>
      <c r="C111" s="27" t="s">
        <v>377</v>
      </c>
      <c r="D111" s="27" t="s">
        <v>378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100.0</v>
      </c>
      <c r="K111" s="33" t="n">
        <f>278.1</f>
        <v>278.1</v>
      </c>
      <c r="L111" s="34" t="s">
        <v>48</v>
      </c>
      <c r="M111" s="33" t="n">
        <f>286.3</f>
        <v>286.3</v>
      </c>
      <c r="N111" s="34" t="s">
        <v>116</v>
      </c>
      <c r="O111" s="33" t="n">
        <f>254.7</f>
        <v>254.7</v>
      </c>
      <c r="P111" s="34" t="s">
        <v>103</v>
      </c>
      <c r="Q111" s="33" t="n">
        <f>271.8</f>
        <v>271.8</v>
      </c>
      <c r="R111" s="34" t="s">
        <v>51</v>
      </c>
      <c r="S111" s="35" t="n">
        <f>273.22</f>
        <v>273.22</v>
      </c>
      <c r="T111" s="32" t="n">
        <f>134037900</f>
        <v>1.340379E8</v>
      </c>
      <c r="U111" s="32" t="n">
        <f>15867800</f>
        <v>1.58678E7</v>
      </c>
      <c r="V111" s="32" t="n">
        <f>36554648521</f>
        <v>3.6554648521E10</v>
      </c>
      <c r="W111" s="32" t="n">
        <f>4293183281</f>
        <v>4.293183281E9</v>
      </c>
      <c r="X111" s="36" t="n">
        <f>20</f>
        <v>20.0</v>
      </c>
    </row>
    <row r="112">
      <c r="A112" s="27" t="s">
        <v>42</v>
      </c>
      <c r="B112" s="27" t="s">
        <v>379</v>
      </c>
      <c r="C112" s="27" t="s">
        <v>380</v>
      </c>
      <c r="D112" s="27" t="s">
        <v>381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35810</f>
        <v>35810.0</v>
      </c>
      <c r="L112" s="34" t="s">
        <v>48</v>
      </c>
      <c r="M112" s="33" t="n">
        <f>36990</f>
        <v>36990.0</v>
      </c>
      <c r="N112" s="34" t="s">
        <v>225</v>
      </c>
      <c r="O112" s="33" t="n">
        <f>35180</f>
        <v>35180.0</v>
      </c>
      <c r="P112" s="34" t="s">
        <v>116</v>
      </c>
      <c r="Q112" s="33" t="n">
        <f>35850</f>
        <v>35850.0</v>
      </c>
      <c r="R112" s="34" t="s">
        <v>51</v>
      </c>
      <c r="S112" s="35" t="n">
        <f>36315</f>
        <v>36315.0</v>
      </c>
      <c r="T112" s="32" t="n">
        <f>6183</f>
        <v>6183.0</v>
      </c>
      <c r="U112" s="32" t="str">
        <f>"－"</f>
        <v>－</v>
      </c>
      <c r="V112" s="32" t="n">
        <f>223195950</f>
        <v>2.2319595E8</v>
      </c>
      <c r="W112" s="32" t="str">
        <f>"－"</f>
        <v>－</v>
      </c>
      <c r="X112" s="36" t="n">
        <f>20</f>
        <v>20.0</v>
      </c>
    </row>
    <row r="113">
      <c r="A113" s="27" t="s">
        <v>42</v>
      </c>
      <c r="B113" s="27" t="s">
        <v>382</v>
      </c>
      <c r="C113" s="27" t="s">
        <v>383</v>
      </c>
      <c r="D113" s="27" t="s">
        <v>384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17720</f>
        <v>17720.0</v>
      </c>
      <c r="L113" s="34" t="s">
        <v>48</v>
      </c>
      <c r="M113" s="33" t="n">
        <f>18645</f>
        <v>18645.0</v>
      </c>
      <c r="N113" s="34" t="s">
        <v>49</v>
      </c>
      <c r="O113" s="33" t="n">
        <f>16480</f>
        <v>16480.0</v>
      </c>
      <c r="P113" s="34" t="s">
        <v>103</v>
      </c>
      <c r="Q113" s="33" t="n">
        <f>18115</f>
        <v>18115.0</v>
      </c>
      <c r="R113" s="34" t="s">
        <v>51</v>
      </c>
      <c r="S113" s="35" t="n">
        <f>17820</f>
        <v>17820.0</v>
      </c>
      <c r="T113" s="32" t="n">
        <f>8508</f>
        <v>8508.0</v>
      </c>
      <c r="U113" s="32" t="str">
        <f>"－"</f>
        <v>－</v>
      </c>
      <c r="V113" s="32" t="n">
        <f>150543510</f>
        <v>1.5054351E8</v>
      </c>
      <c r="W113" s="32" t="str">
        <f>"－"</f>
        <v>－</v>
      </c>
      <c r="X113" s="36" t="n">
        <f>20</f>
        <v>20.0</v>
      </c>
    </row>
    <row r="114">
      <c r="A114" s="27" t="s">
        <v>42</v>
      </c>
      <c r="B114" s="27" t="s">
        <v>385</v>
      </c>
      <c r="C114" s="27" t="s">
        <v>386</v>
      </c>
      <c r="D114" s="27" t="s">
        <v>387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26345</f>
        <v>26345.0</v>
      </c>
      <c r="L114" s="34" t="s">
        <v>48</v>
      </c>
      <c r="M114" s="33" t="n">
        <f>26870</f>
        <v>26870.0</v>
      </c>
      <c r="N114" s="34" t="s">
        <v>116</v>
      </c>
      <c r="O114" s="33" t="n">
        <f>25750</f>
        <v>25750.0</v>
      </c>
      <c r="P114" s="34" t="s">
        <v>50</v>
      </c>
      <c r="Q114" s="33" t="n">
        <f>26320</f>
        <v>26320.0</v>
      </c>
      <c r="R114" s="34" t="s">
        <v>51</v>
      </c>
      <c r="S114" s="35" t="n">
        <f>26338.25</f>
        <v>26338.25</v>
      </c>
      <c r="T114" s="32" t="n">
        <f>1240</f>
        <v>1240.0</v>
      </c>
      <c r="U114" s="32" t="str">
        <f>"－"</f>
        <v>－</v>
      </c>
      <c r="V114" s="32" t="n">
        <f>32642145</f>
        <v>3.2642145E7</v>
      </c>
      <c r="W114" s="32" t="str">
        <f>"－"</f>
        <v>－</v>
      </c>
      <c r="X114" s="36" t="n">
        <f>20</f>
        <v>20.0</v>
      </c>
    </row>
    <row r="115">
      <c r="A115" s="27" t="s">
        <v>42</v>
      </c>
      <c r="B115" s="27" t="s">
        <v>388</v>
      </c>
      <c r="C115" s="27" t="s">
        <v>389</v>
      </c>
      <c r="D115" s="27" t="s">
        <v>390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27220</f>
        <v>27220.0</v>
      </c>
      <c r="L115" s="34" t="s">
        <v>48</v>
      </c>
      <c r="M115" s="33" t="n">
        <f>28555</f>
        <v>28555.0</v>
      </c>
      <c r="N115" s="34" t="s">
        <v>62</v>
      </c>
      <c r="O115" s="33" t="n">
        <f>27180</f>
        <v>27180.0</v>
      </c>
      <c r="P115" s="34" t="s">
        <v>48</v>
      </c>
      <c r="Q115" s="33" t="n">
        <f>28030</f>
        <v>28030.0</v>
      </c>
      <c r="R115" s="34" t="s">
        <v>51</v>
      </c>
      <c r="S115" s="35" t="n">
        <f>27898</f>
        <v>27898.0</v>
      </c>
      <c r="T115" s="32" t="n">
        <f>966</f>
        <v>966.0</v>
      </c>
      <c r="U115" s="32" t="str">
        <f>"－"</f>
        <v>－</v>
      </c>
      <c r="V115" s="32" t="n">
        <f>26974410</f>
        <v>2.697441E7</v>
      </c>
      <c r="W115" s="32" t="str">
        <f>"－"</f>
        <v>－</v>
      </c>
      <c r="X115" s="36" t="n">
        <f>20</f>
        <v>20.0</v>
      </c>
    </row>
    <row r="116">
      <c r="A116" s="27" t="s">
        <v>42</v>
      </c>
      <c r="B116" s="27" t="s">
        <v>391</v>
      </c>
      <c r="C116" s="27" t="s">
        <v>392</v>
      </c>
      <c r="D116" s="27" t="s">
        <v>393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25975</f>
        <v>25975.0</v>
      </c>
      <c r="L116" s="34" t="s">
        <v>48</v>
      </c>
      <c r="M116" s="33" t="n">
        <f>26565</f>
        <v>26565.0</v>
      </c>
      <c r="N116" s="34" t="s">
        <v>116</v>
      </c>
      <c r="O116" s="33" t="n">
        <f>25600</f>
        <v>25600.0</v>
      </c>
      <c r="P116" s="34" t="s">
        <v>217</v>
      </c>
      <c r="Q116" s="33" t="n">
        <f>26320</f>
        <v>26320.0</v>
      </c>
      <c r="R116" s="34" t="s">
        <v>51</v>
      </c>
      <c r="S116" s="35" t="n">
        <f>26080.5</f>
        <v>26080.5</v>
      </c>
      <c r="T116" s="32" t="n">
        <f>4304</f>
        <v>4304.0</v>
      </c>
      <c r="U116" s="32" t="str">
        <f>"－"</f>
        <v>－</v>
      </c>
      <c r="V116" s="32" t="n">
        <f>112263600</f>
        <v>1.122636E8</v>
      </c>
      <c r="W116" s="32" t="str">
        <f>"－"</f>
        <v>－</v>
      </c>
      <c r="X116" s="36" t="n">
        <f>20</f>
        <v>20.0</v>
      </c>
    </row>
    <row r="117">
      <c r="A117" s="27" t="s">
        <v>42</v>
      </c>
      <c r="B117" s="27" t="s">
        <v>394</v>
      </c>
      <c r="C117" s="27" t="s">
        <v>395</v>
      </c>
      <c r="D117" s="27" t="s">
        <v>396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29560</f>
        <v>29560.0</v>
      </c>
      <c r="L117" s="34" t="s">
        <v>48</v>
      </c>
      <c r="M117" s="33" t="n">
        <f>31450</f>
        <v>31450.0</v>
      </c>
      <c r="N117" s="34" t="s">
        <v>49</v>
      </c>
      <c r="O117" s="33" t="n">
        <f>29345</f>
        <v>29345.0</v>
      </c>
      <c r="P117" s="34" t="s">
        <v>48</v>
      </c>
      <c r="Q117" s="33" t="n">
        <f>30340</f>
        <v>30340.0</v>
      </c>
      <c r="R117" s="34" t="s">
        <v>51</v>
      </c>
      <c r="S117" s="35" t="n">
        <f>30455.75</f>
        <v>30455.75</v>
      </c>
      <c r="T117" s="32" t="n">
        <f>15810</f>
        <v>15810.0</v>
      </c>
      <c r="U117" s="32" t="str">
        <f>"－"</f>
        <v>－</v>
      </c>
      <c r="V117" s="32" t="n">
        <f>481240110</f>
        <v>4.8124011E8</v>
      </c>
      <c r="W117" s="32" t="str">
        <f>"－"</f>
        <v>－</v>
      </c>
      <c r="X117" s="36" t="n">
        <f>20</f>
        <v>20.0</v>
      </c>
    </row>
    <row r="118">
      <c r="A118" s="27" t="s">
        <v>42</v>
      </c>
      <c r="B118" s="27" t="s">
        <v>397</v>
      </c>
      <c r="C118" s="27" t="s">
        <v>398</v>
      </c>
      <c r="D118" s="27" t="s">
        <v>399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22485</f>
        <v>22485.0</v>
      </c>
      <c r="L118" s="34" t="s">
        <v>48</v>
      </c>
      <c r="M118" s="33" t="n">
        <f>24025</f>
        <v>24025.0</v>
      </c>
      <c r="N118" s="34" t="s">
        <v>62</v>
      </c>
      <c r="O118" s="33" t="n">
        <f>22195</f>
        <v>22195.0</v>
      </c>
      <c r="P118" s="34" t="s">
        <v>116</v>
      </c>
      <c r="Q118" s="33" t="n">
        <f>23500</f>
        <v>23500.0</v>
      </c>
      <c r="R118" s="34" t="s">
        <v>51</v>
      </c>
      <c r="S118" s="35" t="n">
        <f>23204.5</f>
        <v>23204.5</v>
      </c>
      <c r="T118" s="32" t="n">
        <f>7404</f>
        <v>7404.0</v>
      </c>
      <c r="U118" s="32" t="str">
        <f>"－"</f>
        <v>－</v>
      </c>
      <c r="V118" s="32" t="n">
        <f>171754895</f>
        <v>1.71754895E8</v>
      </c>
      <c r="W118" s="32" t="str">
        <f>"－"</f>
        <v>－</v>
      </c>
      <c r="X118" s="36" t="n">
        <f>20</f>
        <v>20.0</v>
      </c>
    </row>
    <row r="119">
      <c r="A119" s="27" t="s">
        <v>42</v>
      </c>
      <c r="B119" s="27" t="s">
        <v>400</v>
      </c>
      <c r="C119" s="27" t="s">
        <v>401</v>
      </c>
      <c r="D119" s="27" t="s">
        <v>402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44600</f>
        <v>44600.0</v>
      </c>
      <c r="L119" s="34" t="s">
        <v>48</v>
      </c>
      <c r="M119" s="33" t="n">
        <f>48400</f>
        <v>48400.0</v>
      </c>
      <c r="N119" s="34" t="s">
        <v>49</v>
      </c>
      <c r="O119" s="33" t="n">
        <f>44600</f>
        <v>44600.0</v>
      </c>
      <c r="P119" s="34" t="s">
        <v>48</v>
      </c>
      <c r="Q119" s="33" t="n">
        <f>47300</f>
        <v>47300.0</v>
      </c>
      <c r="R119" s="34" t="s">
        <v>51</v>
      </c>
      <c r="S119" s="35" t="n">
        <f>46984.5</f>
        <v>46984.5</v>
      </c>
      <c r="T119" s="32" t="n">
        <f>2439</f>
        <v>2439.0</v>
      </c>
      <c r="U119" s="32" t="n">
        <f>1000</f>
        <v>1000.0</v>
      </c>
      <c r="V119" s="32" t="n">
        <f>114419330</f>
        <v>1.1441933E8</v>
      </c>
      <c r="W119" s="32" t="n">
        <f>47067000</f>
        <v>4.7067E7</v>
      </c>
      <c r="X119" s="36" t="n">
        <f>20</f>
        <v>20.0</v>
      </c>
    </row>
    <row r="120">
      <c r="A120" s="27" t="s">
        <v>42</v>
      </c>
      <c r="B120" s="27" t="s">
        <v>403</v>
      </c>
      <c r="C120" s="27" t="s">
        <v>404</v>
      </c>
      <c r="D120" s="27" t="s">
        <v>405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30290</f>
        <v>30290.0</v>
      </c>
      <c r="L120" s="34" t="s">
        <v>48</v>
      </c>
      <c r="M120" s="33" t="n">
        <f>33230</f>
        <v>33230.0</v>
      </c>
      <c r="N120" s="34" t="s">
        <v>132</v>
      </c>
      <c r="O120" s="33" t="n">
        <f>30190</f>
        <v>30190.0</v>
      </c>
      <c r="P120" s="34" t="s">
        <v>48</v>
      </c>
      <c r="Q120" s="33" t="n">
        <f>32800</f>
        <v>32800.0</v>
      </c>
      <c r="R120" s="34" t="s">
        <v>51</v>
      </c>
      <c r="S120" s="35" t="n">
        <f>32059</f>
        <v>32059.0</v>
      </c>
      <c r="T120" s="32" t="n">
        <f>16410</f>
        <v>16410.0</v>
      </c>
      <c r="U120" s="32" t="n">
        <f>2500</f>
        <v>2500.0</v>
      </c>
      <c r="V120" s="32" t="n">
        <f>527759430</f>
        <v>5.2775943E8</v>
      </c>
      <c r="W120" s="32" t="n">
        <f>82716750</f>
        <v>8.271675E7</v>
      </c>
      <c r="X120" s="36" t="n">
        <f>20</f>
        <v>20.0</v>
      </c>
    </row>
    <row r="121">
      <c r="A121" s="27" t="s">
        <v>42</v>
      </c>
      <c r="B121" s="27" t="s">
        <v>406</v>
      </c>
      <c r="C121" s="27" t="s">
        <v>407</v>
      </c>
      <c r="D121" s="27" t="s">
        <v>408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30010</f>
        <v>30010.0</v>
      </c>
      <c r="L121" s="34" t="s">
        <v>48</v>
      </c>
      <c r="M121" s="33" t="n">
        <f>31310</f>
        <v>31310.0</v>
      </c>
      <c r="N121" s="34" t="s">
        <v>62</v>
      </c>
      <c r="O121" s="33" t="n">
        <f>28690</f>
        <v>28690.0</v>
      </c>
      <c r="P121" s="34" t="s">
        <v>90</v>
      </c>
      <c r="Q121" s="33" t="n">
        <f>31070</f>
        <v>31070.0</v>
      </c>
      <c r="R121" s="34" t="s">
        <v>51</v>
      </c>
      <c r="S121" s="35" t="n">
        <f>30696</f>
        <v>30696.0</v>
      </c>
      <c r="T121" s="32" t="n">
        <f>1330</f>
        <v>1330.0</v>
      </c>
      <c r="U121" s="32" t="n">
        <f>1</f>
        <v>1.0</v>
      </c>
      <c r="V121" s="32" t="n">
        <f>40785085</f>
        <v>4.0785085E7</v>
      </c>
      <c r="W121" s="32" t="n">
        <f>31170</f>
        <v>31170.0</v>
      </c>
      <c r="X121" s="36" t="n">
        <f>20</f>
        <v>20.0</v>
      </c>
    </row>
    <row r="122">
      <c r="A122" s="27" t="s">
        <v>42</v>
      </c>
      <c r="B122" s="27" t="s">
        <v>409</v>
      </c>
      <c r="C122" s="27" t="s">
        <v>410</v>
      </c>
      <c r="D122" s="27" t="s">
        <v>411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7898</f>
        <v>7898.0</v>
      </c>
      <c r="L122" s="34" t="s">
        <v>48</v>
      </c>
      <c r="M122" s="33" t="n">
        <f>8320</f>
        <v>8320.0</v>
      </c>
      <c r="N122" s="34" t="s">
        <v>61</v>
      </c>
      <c r="O122" s="33" t="n">
        <f>7505</f>
        <v>7505.0</v>
      </c>
      <c r="P122" s="34" t="s">
        <v>103</v>
      </c>
      <c r="Q122" s="33" t="n">
        <f>7849</f>
        <v>7849.0</v>
      </c>
      <c r="R122" s="34" t="s">
        <v>51</v>
      </c>
      <c r="S122" s="35" t="n">
        <f>7873.65</f>
        <v>7873.65</v>
      </c>
      <c r="T122" s="32" t="n">
        <f>18992</f>
        <v>18992.0</v>
      </c>
      <c r="U122" s="32" t="str">
        <f>"－"</f>
        <v>－</v>
      </c>
      <c r="V122" s="32" t="n">
        <f>150160291</f>
        <v>1.50160291E8</v>
      </c>
      <c r="W122" s="32" t="str">
        <f>"－"</f>
        <v>－</v>
      </c>
      <c r="X122" s="36" t="n">
        <f>20</f>
        <v>20.0</v>
      </c>
    </row>
    <row r="123">
      <c r="A123" s="27" t="s">
        <v>42</v>
      </c>
      <c r="B123" s="27" t="s">
        <v>412</v>
      </c>
      <c r="C123" s="27" t="s">
        <v>413</v>
      </c>
      <c r="D123" s="27" t="s">
        <v>414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17760</f>
        <v>17760.0</v>
      </c>
      <c r="L123" s="34" t="s">
        <v>48</v>
      </c>
      <c r="M123" s="33" t="n">
        <f>18150</f>
        <v>18150.0</v>
      </c>
      <c r="N123" s="34" t="s">
        <v>116</v>
      </c>
      <c r="O123" s="33" t="n">
        <f>17170</f>
        <v>17170.0</v>
      </c>
      <c r="P123" s="34" t="s">
        <v>50</v>
      </c>
      <c r="Q123" s="33" t="n">
        <f>17880</f>
        <v>17880.0</v>
      </c>
      <c r="R123" s="34" t="s">
        <v>51</v>
      </c>
      <c r="S123" s="35" t="n">
        <f>17790.75</f>
        <v>17790.75</v>
      </c>
      <c r="T123" s="32" t="n">
        <f>12051</f>
        <v>12051.0</v>
      </c>
      <c r="U123" s="32" t="str">
        <f>"－"</f>
        <v>－</v>
      </c>
      <c r="V123" s="32" t="n">
        <f>214714505</f>
        <v>2.14714505E8</v>
      </c>
      <c r="W123" s="32" t="str">
        <f>"－"</f>
        <v>－</v>
      </c>
      <c r="X123" s="36" t="n">
        <f>20</f>
        <v>20.0</v>
      </c>
    </row>
    <row r="124">
      <c r="A124" s="27" t="s">
        <v>42</v>
      </c>
      <c r="B124" s="27" t="s">
        <v>415</v>
      </c>
      <c r="C124" s="27" t="s">
        <v>416</v>
      </c>
      <c r="D124" s="27" t="s">
        <v>417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70850</f>
        <v>70850.0</v>
      </c>
      <c r="L124" s="34" t="s">
        <v>48</v>
      </c>
      <c r="M124" s="33" t="n">
        <f>73830</f>
        <v>73830.0</v>
      </c>
      <c r="N124" s="34" t="s">
        <v>241</v>
      </c>
      <c r="O124" s="33" t="n">
        <f>69900</f>
        <v>69900.0</v>
      </c>
      <c r="P124" s="34" t="s">
        <v>51</v>
      </c>
      <c r="Q124" s="33" t="n">
        <f>70850</f>
        <v>70850.0</v>
      </c>
      <c r="R124" s="34" t="s">
        <v>51</v>
      </c>
      <c r="S124" s="35" t="n">
        <f>71989</f>
        <v>71989.0</v>
      </c>
      <c r="T124" s="32" t="n">
        <f>13205</f>
        <v>13205.0</v>
      </c>
      <c r="U124" s="32" t="str">
        <f>"－"</f>
        <v>－</v>
      </c>
      <c r="V124" s="32" t="n">
        <f>950052820</f>
        <v>9.5005282E8</v>
      </c>
      <c r="W124" s="32" t="str">
        <f>"－"</f>
        <v>－</v>
      </c>
      <c r="X124" s="36" t="n">
        <f>20</f>
        <v>20.0</v>
      </c>
    </row>
    <row r="125">
      <c r="A125" s="27" t="s">
        <v>42</v>
      </c>
      <c r="B125" s="27" t="s">
        <v>418</v>
      </c>
      <c r="C125" s="27" t="s">
        <v>419</v>
      </c>
      <c r="D125" s="27" t="s">
        <v>420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26070</f>
        <v>26070.0</v>
      </c>
      <c r="L125" s="34" t="s">
        <v>48</v>
      </c>
      <c r="M125" s="33" t="n">
        <f>27070</f>
        <v>27070.0</v>
      </c>
      <c r="N125" s="34" t="s">
        <v>132</v>
      </c>
      <c r="O125" s="33" t="n">
        <f>25750</f>
        <v>25750.0</v>
      </c>
      <c r="P125" s="34" t="s">
        <v>116</v>
      </c>
      <c r="Q125" s="33" t="n">
        <f>26635</f>
        <v>26635.0</v>
      </c>
      <c r="R125" s="34" t="s">
        <v>51</v>
      </c>
      <c r="S125" s="35" t="n">
        <f>26430.5</f>
        <v>26430.5</v>
      </c>
      <c r="T125" s="32" t="n">
        <f>6174</f>
        <v>6174.0</v>
      </c>
      <c r="U125" s="32" t="str">
        <f>"－"</f>
        <v>－</v>
      </c>
      <c r="V125" s="32" t="n">
        <f>160832235</f>
        <v>1.60832235E8</v>
      </c>
      <c r="W125" s="32" t="str">
        <f>"－"</f>
        <v>－</v>
      </c>
      <c r="X125" s="36" t="n">
        <f>20</f>
        <v>20.0</v>
      </c>
    </row>
    <row r="126">
      <c r="A126" s="27" t="s">
        <v>42</v>
      </c>
      <c r="B126" s="27" t="s">
        <v>421</v>
      </c>
      <c r="C126" s="27" t="s">
        <v>422</v>
      </c>
      <c r="D126" s="27" t="s">
        <v>423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14635</f>
        <v>14635.0</v>
      </c>
      <c r="L126" s="34" t="s">
        <v>48</v>
      </c>
      <c r="M126" s="33" t="n">
        <f>15000</f>
        <v>15000.0</v>
      </c>
      <c r="N126" s="34" t="s">
        <v>116</v>
      </c>
      <c r="O126" s="33" t="n">
        <f>13375</f>
        <v>13375.0</v>
      </c>
      <c r="P126" s="34" t="s">
        <v>103</v>
      </c>
      <c r="Q126" s="33" t="n">
        <f>14230</f>
        <v>14230.0</v>
      </c>
      <c r="R126" s="34" t="s">
        <v>51</v>
      </c>
      <c r="S126" s="35" t="n">
        <f>14333.75</f>
        <v>14333.75</v>
      </c>
      <c r="T126" s="32" t="n">
        <f>67855</f>
        <v>67855.0</v>
      </c>
      <c r="U126" s="32" t="str">
        <f>"－"</f>
        <v>－</v>
      </c>
      <c r="V126" s="32" t="n">
        <f>967977050</f>
        <v>9.6797705E8</v>
      </c>
      <c r="W126" s="32" t="str">
        <f>"－"</f>
        <v>－</v>
      </c>
      <c r="X126" s="36" t="n">
        <f>20</f>
        <v>20.0</v>
      </c>
    </row>
    <row r="127">
      <c r="A127" s="27" t="s">
        <v>42</v>
      </c>
      <c r="B127" s="27" t="s">
        <v>424</v>
      </c>
      <c r="C127" s="27" t="s">
        <v>425</v>
      </c>
      <c r="D127" s="27" t="s">
        <v>426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19900</f>
        <v>19900.0</v>
      </c>
      <c r="L127" s="34" t="s">
        <v>48</v>
      </c>
      <c r="M127" s="33" t="n">
        <f>20220</f>
        <v>20220.0</v>
      </c>
      <c r="N127" s="34" t="s">
        <v>62</v>
      </c>
      <c r="O127" s="33" t="n">
        <f>19005</f>
        <v>19005.0</v>
      </c>
      <c r="P127" s="34" t="s">
        <v>103</v>
      </c>
      <c r="Q127" s="33" t="n">
        <f>19830</f>
        <v>19830.0</v>
      </c>
      <c r="R127" s="34" t="s">
        <v>51</v>
      </c>
      <c r="S127" s="35" t="n">
        <f>19803.25</f>
        <v>19803.25</v>
      </c>
      <c r="T127" s="32" t="n">
        <f>11942</f>
        <v>11942.0</v>
      </c>
      <c r="U127" s="32" t="n">
        <f>6001</f>
        <v>6001.0</v>
      </c>
      <c r="V127" s="32" t="n">
        <f>237736490</f>
        <v>2.3773649E8</v>
      </c>
      <c r="W127" s="32" t="n">
        <f>119927135</f>
        <v>1.19927135E8</v>
      </c>
      <c r="X127" s="36" t="n">
        <f>20</f>
        <v>20.0</v>
      </c>
    </row>
    <row r="128">
      <c r="A128" s="27" t="s">
        <v>42</v>
      </c>
      <c r="B128" s="27" t="s">
        <v>427</v>
      </c>
      <c r="C128" s="27" t="s">
        <v>428</v>
      </c>
      <c r="D128" s="27" t="s">
        <v>429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33440</f>
        <v>33440.0</v>
      </c>
      <c r="L128" s="34" t="s">
        <v>48</v>
      </c>
      <c r="M128" s="33" t="n">
        <f>34650</f>
        <v>34650.0</v>
      </c>
      <c r="N128" s="34" t="s">
        <v>62</v>
      </c>
      <c r="O128" s="33" t="n">
        <f>33120</f>
        <v>33120.0</v>
      </c>
      <c r="P128" s="34" t="s">
        <v>50</v>
      </c>
      <c r="Q128" s="33" t="n">
        <f>34160</f>
        <v>34160.0</v>
      </c>
      <c r="R128" s="34" t="s">
        <v>51</v>
      </c>
      <c r="S128" s="35" t="n">
        <f>33939.5</f>
        <v>33939.5</v>
      </c>
      <c r="T128" s="32" t="n">
        <f>1431</f>
        <v>1431.0</v>
      </c>
      <c r="U128" s="32" t="str">
        <f>"－"</f>
        <v>－</v>
      </c>
      <c r="V128" s="32" t="n">
        <f>48722480</f>
        <v>4.872248E7</v>
      </c>
      <c r="W128" s="32" t="str">
        <f>"－"</f>
        <v>－</v>
      </c>
      <c r="X128" s="36" t="n">
        <f>20</f>
        <v>20.0</v>
      </c>
    </row>
    <row r="129">
      <c r="A129" s="27" t="s">
        <v>42</v>
      </c>
      <c r="B129" s="27" t="s">
        <v>430</v>
      </c>
      <c r="C129" s="27" t="s">
        <v>431</v>
      </c>
      <c r="D129" s="27" t="s">
        <v>432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10.0</v>
      </c>
      <c r="K129" s="33" t="n">
        <f>1664</f>
        <v>1664.0</v>
      </c>
      <c r="L129" s="34" t="s">
        <v>48</v>
      </c>
      <c r="M129" s="33" t="n">
        <f>1723</f>
        <v>1723.0</v>
      </c>
      <c r="N129" s="34" t="s">
        <v>116</v>
      </c>
      <c r="O129" s="33" t="n">
        <f>1635</f>
        <v>1635.0</v>
      </c>
      <c r="P129" s="34" t="s">
        <v>103</v>
      </c>
      <c r="Q129" s="33" t="n">
        <f>1673</f>
        <v>1673.0</v>
      </c>
      <c r="R129" s="34" t="s">
        <v>51</v>
      </c>
      <c r="S129" s="35" t="n">
        <f>1684.58</f>
        <v>1684.58</v>
      </c>
      <c r="T129" s="32" t="n">
        <f>1082250</f>
        <v>1082250.0</v>
      </c>
      <c r="U129" s="32" t="n">
        <f>534600</f>
        <v>534600.0</v>
      </c>
      <c r="V129" s="32" t="n">
        <f>1821597086</f>
        <v>1.821597086E9</v>
      </c>
      <c r="W129" s="32" t="n">
        <f>897778816</f>
        <v>8.97778816E8</v>
      </c>
      <c r="X129" s="36" t="n">
        <f>20</f>
        <v>20.0</v>
      </c>
    </row>
    <row r="130">
      <c r="A130" s="27" t="s">
        <v>42</v>
      </c>
      <c r="B130" s="27" t="s">
        <v>433</v>
      </c>
      <c r="C130" s="27" t="s">
        <v>434</v>
      </c>
      <c r="D130" s="27" t="s">
        <v>435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10.0</v>
      </c>
      <c r="K130" s="33" t="n">
        <f>2619</f>
        <v>2619.0</v>
      </c>
      <c r="L130" s="34" t="s">
        <v>48</v>
      </c>
      <c r="M130" s="33" t="n">
        <f>2750</f>
        <v>2750.0</v>
      </c>
      <c r="N130" s="34" t="s">
        <v>62</v>
      </c>
      <c r="O130" s="33" t="n">
        <f>2619</f>
        <v>2619.0</v>
      </c>
      <c r="P130" s="34" t="s">
        <v>48</v>
      </c>
      <c r="Q130" s="33" t="n">
        <f>2714.5</f>
        <v>2714.5</v>
      </c>
      <c r="R130" s="34" t="s">
        <v>51</v>
      </c>
      <c r="S130" s="35" t="n">
        <f>2694.41</f>
        <v>2694.41</v>
      </c>
      <c r="T130" s="32" t="n">
        <f>6020</f>
        <v>6020.0</v>
      </c>
      <c r="U130" s="32" t="str">
        <f>"－"</f>
        <v>－</v>
      </c>
      <c r="V130" s="32" t="n">
        <f>16024200</f>
        <v>1.60242E7</v>
      </c>
      <c r="W130" s="32" t="str">
        <f>"－"</f>
        <v>－</v>
      </c>
      <c r="X130" s="36" t="n">
        <f>17</f>
        <v>17.0</v>
      </c>
    </row>
    <row r="131">
      <c r="A131" s="27" t="s">
        <v>42</v>
      </c>
      <c r="B131" s="27" t="s">
        <v>436</v>
      </c>
      <c r="C131" s="27" t="s">
        <v>437</v>
      </c>
      <c r="D131" s="27" t="s">
        <v>438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10.0</v>
      </c>
      <c r="K131" s="33" t="n">
        <f>2924</f>
        <v>2924.0</v>
      </c>
      <c r="L131" s="34" t="s">
        <v>116</v>
      </c>
      <c r="M131" s="33" t="n">
        <f>3050</f>
        <v>3050.0</v>
      </c>
      <c r="N131" s="34" t="s">
        <v>49</v>
      </c>
      <c r="O131" s="33" t="n">
        <f>2923</f>
        <v>2923.0</v>
      </c>
      <c r="P131" s="34" t="s">
        <v>116</v>
      </c>
      <c r="Q131" s="33" t="n">
        <f>3002</f>
        <v>3002.0</v>
      </c>
      <c r="R131" s="34" t="s">
        <v>51</v>
      </c>
      <c r="S131" s="35" t="n">
        <f>2996.11</f>
        <v>2996.11</v>
      </c>
      <c r="T131" s="32" t="n">
        <f>95390</f>
        <v>95390.0</v>
      </c>
      <c r="U131" s="32" t="str">
        <f>"－"</f>
        <v>－</v>
      </c>
      <c r="V131" s="32" t="n">
        <f>284016685</f>
        <v>2.84016685E8</v>
      </c>
      <c r="W131" s="32" t="str">
        <f>"－"</f>
        <v>－</v>
      </c>
      <c r="X131" s="36" t="n">
        <f>9</f>
        <v>9.0</v>
      </c>
    </row>
    <row r="132">
      <c r="A132" s="27" t="s">
        <v>42</v>
      </c>
      <c r="B132" s="27" t="s">
        <v>439</v>
      </c>
      <c r="C132" s="27" t="s">
        <v>440</v>
      </c>
      <c r="D132" s="27" t="s">
        <v>441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1851.5</f>
        <v>1851.5</v>
      </c>
      <c r="L132" s="34" t="s">
        <v>116</v>
      </c>
      <c r="M132" s="33" t="n">
        <f>1911.5</f>
        <v>1911.5</v>
      </c>
      <c r="N132" s="34" t="s">
        <v>49</v>
      </c>
      <c r="O132" s="33" t="n">
        <f>1830.5</f>
        <v>1830.5</v>
      </c>
      <c r="P132" s="34" t="s">
        <v>50</v>
      </c>
      <c r="Q132" s="33" t="n">
        <f>1873</f>
        <v>1873.0</v>
      </c>
      <c r="R132" s="34" t="s">
        <v>51</v>
      </c>
      <c r="S132" s="35" t="n">
        <f>1878.33</f>
        <v>1878.33</v>
      </c>
      <c r="T132" s="32" t="n">
        <f>17130</f>
        <v>17130.0</v>
      </c>
      <c r="U132" s="32" t="str">
        <f>"－"</f>
        <v>－</v>
      </c>
      <c r="V132" s="32" t="n">
        <f>32102515</f>
        <v>3.2102515E7</v>
      </c>
      <c r="W132" s="32" t="str">
        <f>"－"</f>
        <v>－</v>
      </c>
      <c r="X132" s="36" t="n">
        <f>12</f>
        <v>12.0</v>
      </c>
    </row>
    <row r="133">
      <c r="A133" s="27" t="s">
        <v>42</v>
      </c>
      <c r="B133" s="27" t="s">
        <v>442</v>
      </c>
      <c r="C133" s="27" t="s">
        <v>443</v>
      </c>
      <c r="D133" s="27" t="s">
        <v>444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456.2</f>
        <v>456.2</v>
      </c>
      <c r="L133" s="34" t="s">
        <v>48</v>
      </c>
      <c r="M133" s="33" t="n">
        <f>492.4</f>
        <v>492.4</v>
      </c>
      <c r="N133" s="34" t="s">
        <v>132</v>
      </c>
      <c r="O133" s="33" t="n">
        <f>455.6</f>
        <v>455.6</v>
      </c>
      <c r="P133" s="34" t="s">
        <v>48</v>
      </c>
      <c r="Q133" s="33" t="n">
        <f>483.8</f>
        <v>483.8</v>
      </c>
      <c r="R133" s="34" t="s">
        <v>51</v>
      </c>
      <c r="S133" s="35" t="n">
        <f>480.54</f>
        <v>480.54</v>
      </c>
      <c r="T133" s="32" t="n">
        <f>36489260</f>
        <v>3.648926E7</v>
      </c>
      <c r="U133" s="32" t="n">
        <f>951140</f>
        <v>951140.0</v>
      </c>
      <c r="V133" s="32" t="n">
        <f>17457295485</f>
        <v>1.7457295485E10</v>
      </c>
      <c r="W133" s="32" t="n">
        <f>458509252</f>
        <v>4.58509252E8</v>
      </c>
      <c r="X133" s="36" t="n">
        <f>20</f>
        <v>20.0</v>
      </c>
    </row>
    <row r="134">
      <c r="A134" s="27" t="s">
        <v>42</v>
      </c>
      <c r="B134" s="27" t="s">
        <v>445</v>
      </c>
      <c r="C134" s="27" t="s">
        <v>446</v>
      </c>
      <c r="D134" s="27" t="s">
        <v>447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281.9</f>
        <v>281.9</v>
      </c>
      <c r="L134" s="34" t="s">
        <v>48</v>
      </c>
      <c r="M134" s="33" t="n">
        <f>290.8</f>
        <v>290.8</v>
      </c>
      <c r="N134" s="34" t="s">
        <v>217</v>
      </c>
      <c r="O134" s="33" t="n">
        <f>281.1</f>
        <v>281.1</v>
      </c>
      <c r="P134" s="34" t="s">
        <v>48</v>
      </c>
      <c r="Q134" s="33" t="n">
        <f>287.2</f>
        <v>287.2</v>
      </c>
      <c r="R134" s="34" t="s">
        <v>51</v>
      </c>
      <c r="S134" s="35" t="n">
        <f>287.17</f>
        <v>287.17</v>
      </c>
      <c r="T134" s="32" t="n">
        <f>59849290</f>
        <v>5.984929E7</v>
      </c>
      <c r="U134" s="32" t="n">
        <f>55057570</f>
        <v>5.505757E7</v>
      </c>
      <c r="V134" s="32" t="n">
        <f>17253072747</f>
        <v>1.7253072747E10</v>
      </c>
      <c r="W134" s="32" t="n">
        <f>15872615125</f>
        <v>1.5872615125E10</v>
      </c>
      <c r="X134" s="36" t="n">
        <f>20</f>
        <v>20.0</v>
      </c>
    </row>
    <row r="135">
      <c r="A135" s="27" t="s">
        <v>42</v>
      </c>
      <c r="B135" s="27" t="s">
        <v>448</v>
      </c>
      <c r="C135" s="27" t="s">
        <v>449</v>
      </c>
      <c r="D135" s="27" t="s">
        <v>450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1.0</v>
      </c>
      <c r="K135" s="33" t="n">
        <f>3885</f>
        <v>3885.0</v>
      </c>
      <c r="L135" s="34" t="s">
        <v>48</v>
      </c>
      <c r="M135" s="33" t="n">
        <f>4195</f>
        <v>4195.0</v>
      </c>
      <c r="N135" s="34" t="s">
        <v>79</v>
      </c>
      <c r="O135" s="33" t="n">
        <f>3880</f>
        <v>3880.0</v>
      </c>
      <c r="P135" s="34" t="s">
        <v>48</v>
      </c>
      <c r="Q135" s="33" t="n">
        <f>4130</f>
        <v>4130.0</v>
      </c>
      <c r="R135" s="34" t="s">
        <v>51</v>
      </c>
      <c r="S135" s="35" t="n">
        <f>4091</f>
        <v>4091.0</v>
      </c>
      <c r="T135" s="32" t="n">
        <f>117355</f>
        <v>117355.0</v>
      </c>
      <c r="U135" s="32" t="n">
        <f>77982</f>
        <v>77982.0</v>
      </c>
      <c r="V135" s="32" t="n">
        <f>467473971</f>
        <v>4.67473971E8</v>
      </c>
      <c r="W135" s="32" t="n">
        <f>306195076</f>
        <v>3.06195076E8</v>
      </c>
      <c r="X135" s="36" t="n">
        <f>20</f>
        <v>20.0</v>
      </c>
    </row>
    <row r="136">
      <c r="A136" s="27" t="s">
        <v>42</v>
      </c>
      <c r="B136" s="27" t="s">
        <v>451</v>
      </c>
      <c r="C136" s="27" t="s">
        <v>452</v>
      </c>
      <c r="D136" s="27" t="s">
        <v>453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1.0</v>
      </c>
      <c r="K136" s="33" t="n">
        <f>2337</f>
        <v>2337.0</v>
      </c>
      <c r="L136" s="34" t="s">
        <v>48</v>
      </c>
      <c r="M136" s="33" t="n">
        <f>2532</f>
        <v>2532.0</v>
      </c>
      <c r="N136" s="34" t="s">
        <v>79</v>
      </c>
      <c r="O136" s="33" t="n">
        <f>2315</f>
        <v>2315.0</v>
      </c>
      <c r="P136" s="34" t="s">
        <v>48</v>
      </c>
      <c r="Q136" s="33" t="n">
        <f>2441</f>
        <v>2441.0</v>
      </c>
      <c r="R136" s="34" t="s">
        <v>51</v>
      </c>
      <c r="S136" s="35" t="n">
        <f>2444.5</f>
        <v>2444.5</v>
      </c>
      <c r="T136" s="32" t="n">
        <f>100977</f>
        <v>100977.0</v>
      </c>
      <c r="U136" s="32" t="n">
        <f>4079</f>
        <v>4079.0</v>
      </c>
      <c r="V136" s="32" t="n">
        <f>247724347</f>
        <v>2.47724347E8</v>
      </c>
      <c r="W136" s="32" t="n">
        <f>10015850</f>
        <v>1.001585E7</v>
      </c>
      <c r="X136" s="36" t="n">
        <f>20</f>
        <v>20.0</v>
      </c>
    </row>
    <row r="137">
      <c r="A137" s="27" t="s">
        <v>42</v>
      </c>
      <c r="B137" s="27" t="s">
        <v>454</v>
      </c>
      <c r="C137" s="27" t="s">
        <v>455</v>
      </c>
      <c r="D137" s="27" t="s">
        <v>456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2541</f>
        <v>2541.0</v>
      </c>
      <c r="L137" s="34" t="s">
        <v>48</v>
      </c>
      <c r="M137" s="33" t="n">
        <f>2727</f>
        <v>2727.0</v>
      </c>
      <c r="N137" s="34" t="s">
        <v>79</v>
      </c>
      <c r="O137" s="33" t="n">
        <f>2538</f>
        <v>2538.0</v>
      </c>
      <c r="P137" s="34" t="s">
        <v>48</v>
      </c>
      <c r="Q137" s="33" t="n">
        <f>2697</f>
        <v>2697.0</v>
      </c>
      <c r="R137" s="34" t="s">
        <v>51</v>
      </c>
      <c r="S137" s="35" t="n">
        <f>2655.05</f>
        <v>2655.05</v>
      </c>
      <c r="T137" s="32" t="n">
        <f>152772</f>
        <v>152772.0</v>
      </c>
      <c r="U137" s="32" t="n">
        <f>42</f>
        <v>42.0</v>
      </c>
      <c r="V137" s="32" t="n">
        <f>405751702</f>
        <v>4.05751702E8</v>
      </c>
      <c r="W137" s="32" t="n">
        <f>97355</f>
        <v>97355.0</v>
      </c>
      <c r="X137" s="36" t="n">
        <f>20</f>
        <v>20.0</v>
      </c>
    </row>
    <row r="138">
      <c r="A138" s="27" t="s">
        <v>42</v>
      </c>
      <c r="B138" s="27" t="s">
        <v>457</v>
      </c>
      <c r="C138" s="27" t="s">
        <v>458</v>
      </c>
      <c r="D138" s="27" t="s">
        <v>459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10520</f>
        <v>10520.0</v>
      </c>
      <c r="L138" s="34" t="s">
        <v>48</v>
      </c>
      <c r="M138" s="33" t="n">
        <f>10645</f>
        <v>10645.0</v>
      </c>
      <c r="N138" s="34" t="s">
        <v>61</v>
      </c>
      <c r="O138" s="33" t="n">
        <f>10285</f>
        <v>10285.0</v>
      </c>
      <c r="P138" s="34" t="s">
        <v>103</v>
      </c>
      <c r="Q138" s="33" t="n">
        <f>10540</f>
        <v>10540.0</v>
      </c>
      <c r="R138" s="34" t="s">
        <v>51</v>
      </c>
      <c r="S138" s="35" t="n">
        <f>10490.25</f>
        <v>10490.25</v>
      </c>
      <c r="T138" s="32" t="n">
        <f>98689</f>
        <v>98689.0</v>
      </c>
      <c r="U138" s="32" t="n">
        <f>18910</f>
        <v>18910.0</v>
      </c>
      <c r="V138" s="32" t="n">
        <f>1036856105</f>
        <v>1.036856105E9</v>
      </c>
      <c r="W138" s="32" t="n">
        <f>199316790</f>
        <v>1.9931679E8</v>
      </c>
      <c r="X138" s="36" t="n">
        <f>20</f>
        <v>20.0</v>
      </c>
    </row>
    <row r="139">
      <c r="A139" s="27" t="s">
        <v>42</v>
      </c>
      <c r="B139" s="27" t="s">
        <v>460</v>
      </c>
      <c r="C139" s="27" t="s">
        <v>461</v>
      </c>
      <c r="D139" s="27" t="s">
        <v>462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3135</f>
        <v>3135.0</v>
      </c>
      <c r="L139" s="34" t="s">
        <v>48</v>
      </c>
      <c r="M139" s="33" t="n">
        <f>3145</f>
        <v>3145.0</v>
      </c>
      <c r="N139" s="34" t="s">
        <v>48</v>
      </c>
      <c r="O139" s="33" t="n">
        <f>2822</f>
        <v>2822.0</v>
      </c>
      <c r="P139" s="34" t="s">
        <v>217</v>
      </c>
      <c r="Q139" s="33" t="n">
        <f>2964</f>
        <v>2964.0</v>
      </c>
      <c r="R139" s="34" t="s">
        <v>51</v>
      </c>
      <c r="S139" s="35" t="n">
        <f>2977.3</f>
        <v>2977.3</v>
      </c>
      <c r="T139" s="32" t="n">
        <f>6638229</f>
        <v>6638229.0</v>
      </c>
      <c r="U139" s="32" t="n">
        <f>110</f>
        <v>110.0</v>
      </c>
      <c r="V139" s="32" t="n">
        <f>19695008257</f>
        <v>1.9695008257E10</v>
      </c>
      <c r="W139" s="32" t="n">
        <f>336800</f>
        <v>336800.0</v>
      </c>
      <c r="X139" s="36" t="n">
        <f>20</f>
        <v>20.0</v>
      </c>
    </row>
    <row r="140">
      <c r="A140" s="27" t="s">
        <v>42</v>
      </c>
      <c r="B140" s="27" t="s">
        <v>463</v>
      </c>
      <c r="C140" s="27" t="s">
        <v>464</v>
      </c>
      <c r="D140" s="27" t="s">
        <v>465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28085</f>
        <v>28085.0</v>
      </c>
      <c r="L140" s="34" t="s">
        <v>48</v>
      </c>
      <c r="M140" s="33" t="n">
        <f>28230</f>
        <v>28230.0</v>
      </c>
      <c r="N140" s="34" t="s">
        <v>51</v>
      </c>
      <c r="O140" s="33" t="n">
        <f>27510</f>
        <v>27510.0</v>
      </c>
      <c r="P140" s="34" t="s">
        <v>69</v>
      </c>
      <c r="Q140" s="33" t="n">
        <f>28160</f>
        <v>28160.0</v>
      </c>
      <c r="R140" s="34" t="s">
        <v>51</v>
      </c>
      <c r="S140" s="35" t="n">
        <f>27851.5</f>
        <v>27851.5</v>
      </c>
      <c r="T140" s="32" t="n">
        <f>6469</f>
        <v>6469.0</v>
      </c>
      <c r="U140" s="32" t="str">
        <f>"－"</f>
        <v>－</v>
      </c>
      <c r="V140" s="32" t="n">
        <f>180194720</f>
        <v>1.8019472E8</v>
      </c>
      <c r="W140" s="32" t="str">
        <f>"－"</f>
        <v>－</v>
      </c>
      <c r="X140" s="36" t="n">
        <f>20</f>
        <v>20.0</v>
      </c>
    </row>
    <row r="141">
      <c r="A141" s="27" t="s">
        <v>42</v>
      </c>
      <c r="B141" s="27" t="s">
        <v>466</v>
      </c>
      <c r="C141" s="27" t="s">
        <v>467</v>
      </c>
      <c r="D141" s="27" t="s">
        <v>468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10.0</v>
      </c>
      <c r="K141" s="33" t="n">
        <f>3180</f>
        <v>3180.0</v>
      </c>
      <c r="L141" s="34" t="s">
        <v>48</v>
      </c>
      <c r="M141" s="33" t="n">
        <f>3416</f>
        <v>3416.0</v>
      </c>
      <c r="N141" s="34" t="s">
        <v>62</v>
      </c>
      <c r="O141" s="33" t="n">
        <f>3083</f>
        <v>3083.0</v>
      </c>
      <c r="P141" s="34" t="s">
        <v>90</v>
      </c>
      <c r="Q141" s="33" t="n">
        <f>3389</f>
        <v>3389.0</v>
      </c>
      <c r="R141" s="34" t="s">
        <v>51</v>
      </c>
      <c r="S141" s="35" t="n">
        <f>3234.7</f>
        <v>3234.7</v>
      </c>
      <c r="T141" s="32" t="n">
        <f>24840</f>
        <v>24840.0</v>
      </c>
      <c r="U141" s="32" t="str">
        <f>"－"</f>
        <v>－</v>
      </c>
      <c r="V141" s="32" t="n">
        <f>81322230</f>
        <v>8.132223E7</v>
      </c>
      <c r="W141" s="32" t="str">
        <f>"－"</f>
        <v>－</v>
      </c>
      <c r="X141" s="36" t="n">
        <f>20</f>
        <v>20.0</v>
      </c>
    </row>
    <row r="142">
      <c r="A142" s="27" t="s">
        <v>42</v>
      </c>
      <c r="B142" s="27" t="s">
        <v>469</v>
      </c>
      <c r="C142" s="27" t="s">
        <v>470</v>
      </c>
      <c r="D142" s="27" t="s">
        <v>471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13035</f>
        <v>13035.0</v>
      </c>
      <c r="L142" s="34" t="s">
        <v>48</v>
      </c>
      <c r="M142" s="33" t="n">
        <f>13075</f>
        <v>13075.0</v>
      </c>
      <c r="N142" s="34" t="s">
        <v>116</v>
      </c>
      <c r="O142" s="33" t="n">
        <f>11850</f>
        <v>11850.0</v>
      </c>
      <c r="P142" s="34" t="s">
        <v>90</v>
      </c>
      <c r="Q142" s="33" t="n">
        <f>12680</f>
        <v>12680.0</v>
      </c>
      <c r="R142" s="34" t="s">
        <v>51</v>
      </c>
      <c r="S142" s="35" t="n">
        <f>12561</f>
        <v>12561.0</v>
      </c>
      <c r="T142" s="32" t="n">
        <f>9242</f>
        <v>9242.0</v>
      </c>
      <c r="U142" s="32" t="str">
        <f>"－"</f>
        <v>－</v>
      </c>
      <c r="V142" s="32" t="n">
        <f>116488455</f>
        <v>1.16488455E8</v>
      </c>
      <c r="W142" s="32" t="str">
        <f>"－"</f>
        <v>－</v>
      </c>
      <c r="X142" s="36" t="n">
        <f>20</f>
        <v>20.0</v>
      </c>
    </row>
    <row r="143">
      <c r="A143" s="27" t="s">
        <v>42</v>
      </c>
      <c r="B143" s="27" t="s">
        <v>472</v>
      </c>
      <c r="C143" s="27" t="s">
        <v>473</v>
      </c>
      <c r="D143" s="27" t="s">
        <v>474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15620</f>
        <v>15620.0</v>
      </c>
      <c r="L143" s="34" t="s">
        <v>48</v>
      </c>
      <c r="M143" s="33" t="n">
        <f>15785</f>
        <v>15785.0</v>
      </c>
      <c r="N143" s="34" t="s">
        <v>116</v>
      </c>
      <c r="O143" s="33" t="n">
        <f>13540</f>
        <v>13540.0</v>
      </c>
      <c r="P143" s="34" t="s">
        <v>90</v>
      </c>
      <c r="Q143" s="33" t="n">
        <f>14000</f>
        <v>14000.0</v>
      </c>
      <c r="R143" s="34" t="s">
        <v>51</v>
      </c>
      <c r="S143" s="35" t="n">
        <f>14707.5</f>
        <v>14707.5</v>
      </c>
      <c r="T143" s="32" t="n">
        <f>6502</f>
        <v>6502.0</v>
      </c>
      <c r="U143" s="32" t="str">
        <f>"－"</f>
        <v>－</v>
      </c>
      <c r="V143" s="32" t="n">
        <f>95299560</f>
        <v>9.529956E7</v>
      </c>
      <c r="W143" s="32" t="str">
        <f>"－"</f>
        <v>－</v>
      </c>
      <c r="X143" s="36" t="n">
        <f>20</f>
        <v>20.0</v>
      </c>
    </row>
    <row r="144">
      <c r="A144" s="27" t="s">
        <v>42</v>
      </c>
      <c r="B144" s="27" t="s">
        <v>475</v>
      </c>
      <c r="C144" s="27" t="s">
        <v>476</v>
      </c>
      <c r="D144" s="27" t="s">
        <v>477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19700</f>
        <v>19700.0</v>
      </c>
      <c r="L144" s="34" t="s">
        <v>48</v>
      </c>
      <c r="M144" s="33" t="n">
        <f>19995</f>
        <v>19995.0</v>
      </c>
      <c r="N144" s="34" t="s">
        <v>293</v>
      </c>
      <c r="O144" s="33" t="n">
        <f>18615</f>
        <v>18615.0</v>
      </c>
      <c r="P144" s="34" t="s">
        <v>218</v>
      </c>
      <c r="Q144" s="33" t="n">
        <f>19310</f>
        <v>19310.0</v>
      </c>
      <c r="R144" s="34" t="s">
        <v>293</v>
      </c>
      <c r="S144" s="35" t="n">
        <f>19258.93</f>
        <v>19258.93</v>
      </c>
      <c r="T144" s="32" t="n">
        <f>674</f>
        <v>674.0</v>
      </c>
      <c r="U144" s="32" t="str">
        <f>"－"</f>
        <v>－</v>
      </c>
      <c r="V144" s="32" t="n">
        <f>13219775</f>
        <v>1.3219775E7</v>
      </c>
      <c r="W144" s="32" t="str">
        <f>"－"</f>
        <v>－</v>
      </c>
      <c r="X144" s="36" t="n">
        <f>14</f>
        <v>14.0</v>
      </c>
    </row>
    <row r="145">
      <c r="A145" s="27" t="s">
        <v>42</v>
      </c>
      <c r="B145" s="27" t="s">
        <v>478</v>
      </c>
      <c r="C145" s="27" t="s">
        <v>479</v>
      </c>
      <c r="D145" s="27" t="s">
        <v>480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10.0</v>
      </c>
      <c r="K145" s="33" t="n">
        <f>52440</f>
        <v>52440.0</v>
      </c>
      <c r="L145" s="34" t="s">
        <v>48</v>
      </c>
      <c r="M145" s="33" t="n">
        <f>54250</f>
        <v>54250.0</v>
      </c>
      <c r="N145" s="34" t="s">
        <v>241</v>
      </c>
      <c r="O145" s="33" t="n">
        <f>52440</f>
        <v>52440.0</v>
      </c>
      <c r="P145" s="34" t="s">
        <v>48</v>
      </c>
      <c r="Q145" s="33" t="n">
        <f>53740</f>
        <v>53740.0</v>
      </c>
      <c r="R145" s="34" t="s">
        <v>51</v>
      </c>
      <c r="S145" s="35" t="n">
        <f>53536.5</f>
        <v>53536.5</v>
      </c>
      <c r="T145" s="32" t="n">
        <f>31360</f>
        <v>31360.0</v>
      </c>
      <c r="U145" s="32" t="n">
        <f>26450</f>
        <v>26450.0</v>
      </c>
      <c r="V145" s="32" t="n">
        <f>1692326420</f>
        <v>1.69232642E9</v>
      </c>
      <c r="W145" s="32" t="n">
        <f>1429770620</f>
        <v>1.42977062E9</v>
      </c>
      <c r="X145" s="36" t="n">
        <f>20</f>
        <v>20.0</v>
      </c>
    </row>
    <row r="146">
      <c r="A146" s="27" t="s">
        <v>42</v>
      </c>
      <c r="B146" s="27" t="s">
        <v>481</v>
      </c>
      <c r="C146" s="27" t="s">
        <v>482</v>
      </c>
      <c r="D146" s="27" t="s">
        <v>483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10.0</v>
      </c>
      <c r="K146" s="33" t="n">
        <f>305.6</f>
        <v>305.6</v>
      </c>
      <c r="L146" s="34" t="s">
        <v>48</v>
      </c>
      <c r="M146" s="33" t="n">
        <f>318.4</f>
        <v>318.4</v>
      </c>
      <c r="N146" s="34" t="s">
        <v>79</v>
      </c>
      <c r="O146" s="33" t="n">
        <f>305</f>
        <v>305.0</v>
      </c>
      <c r="P146" s="34" t="s">
        <v>48</v>
      </c>
      <c r="Q146" s="33" t="n">
        <f>313.5</f>
        <v>313.5</v>
      </c>
      <c r="R146" s="34" t="s">
        <v>51</v>
      </c>
      <c r="S146" s="35" t="n">
        <f>312.22</f>
        <v>312.22</v>
      </c>
      <c r="T146" s="32" t="n">
        <f>21257000</f>
        <v>2.1257E7</v>
      </c>
      <c r="U146" s="32" t="n">
        <f>350720</f>
        <v>350720.0</v>
      </c>
      <c r="V146" s="32" t="n">
        <f>6636519646</f>
        <v>6.636519646E9</v>
      </c>
      <c r="W146" s="32" t="n">
        <f>108975967</f>
        <v>1.08975967E8</v>
      </c>
      <c r="X146" s="36" t="n">
        <f>20</f>
        <v>20.0</v>
      </c>
    </row>
    <row r="147">
      <c r="A147" s="27" t="s">
        <v>42</v>
      </c>
      <c r="B147" s="27" t="s">
        <v>484</v>
      </c>
      <c r="C147" s="27" t="s">
        <v>485</v>
      </c>
      <c r="D147" s="27" t="s">
        <v>486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42430</f>
        <v>42430.0</v>
      </c>
      <c r="L147" s="34" t="s">
        <v>48</v>
      </c>
      <c r="M147" s="33" t="n">
        <f>45050</f>
        <v>45050.0</v>
      </c>
      <c r="N147" s="34" t="s">
        <v>79</v>
      </c>
      <c r="O147" s="33" t="n">
        <f>42420</f>
        <v>42420.0</v>
      </c>
      <c r="P147" s="34" t="s">
        <v>48</v>
      </c>
      <c r="Q147" s="33" t="n">
        <f>44570</f>
        <v>44570.0</v>
      </c>
      <c r="R147" s="34" t="s">
        <v>51</v>
      </c>
      <c r="S147" s="35" t="n">
        <f>44095.26</f>
        <v>44095.26</v>
      </c>
      <c r="T147" s="32" t="n">
        <f>3890</f>
        <v>3890.0</v>
      </c>
      <c r="U147" s="32" t="str">
        <f>"－"</f>
        <v>－</v>
      </c>
      <c r="V147" s="32" t="n">
        <f>172205900</f>
        <v>1.722059E8</v>
      </c>
      <c r="W147" s="32" t="str">
        <f>"－"</f>
        <v>－</v>
      </c>
      <c r="X147" s="36" t="n">
        <f>19</f>
        <v>19.0</v>
      </c>
    </row>
    <row r="148">
      <c r="A148" s="27" t="s">
        <v>42</v>
      </c>
      <c r="B148" s="27" t="s">
        <v>487</v>
      </c>
      <c r="C148" s="27" t="s">
        <v>488</v>
      </c>
      <c r="D148" s="27" t="s">
        <v>489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4463</f>
        <v>4463.0</v>
      </c>
      <c r="L148" s="34" t="s">
        <v>48</v>
      </c>
      <c r="M148" s="33" t="n">
        <f>4814</f>
        <v>4814.0</v>
      </c>
      <c r="N148" s="34" t="s">
        <v>132</v>
      </c>
      <c r="O148" s="33" t="n">
        <f>4459</f>
        <v>4459.0</v>
      </c>
      <c r="P148" s="34" t="s">
        <v>48</v>
      </c>
      <c r="Q148" s="33" t="n">
        <f>4747</f>
        <v>4747.0</v>
      </c>
      <c r="R148" s="34" t="s">
        <v>51</v>
      </c>
      <c r="S148" s="35" t="n">
        <f>4697.4</f>
        <v>4697.4</v>
      </c>
      <c r="T148" s="32" t="n">
        <f>56770</f>
        <v>56770.0</v>
      </c>
      <c r="U148" s="32" t="str">
        <f>"－"</f>
        <v>－</v>
      </c>
      <c r="V148" s="32" t="n">
        <f>267149070</f>
        <v>2.6714907E8</v>
      </c>
      <c r="W148" s="32" t="str">
        <f>"－"</f>
        <v>－</v>
      </c>
      <c r="X148" s="36" t="n">
        <f>20</f>
        <v>20.0</v>
      </c>
    </row>
    <row r="149">
      <c r="A149" s="27" t="s">
        <v>42</v>
      </c>
      <c r="B149" s="27" t="s">
        <v>490</v>
      </c>
      <c r="C149" s="27" t="s">
        <v>491</v>
      </c>
      <c r="D149" s="27" t="s">
        <v>492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1760</f>
        <v>1760.0</v>
      </c>
      <c r="L149" s="34" t="s">
        <v>48</v>
      </c>
      <c r="M149" s="33" t="n">
        <f>1898.5</f>
        <v>1898.5</v>
      </c>
      <c r="N149" s="34" t="s">
        <v>79</v>
      </c>
      <c r="O149" s="33" t="n">
        <f>1751</f>
        <v>1751.0</v>
      </c>
      <c r="P149" s="34" t="s">
        <v>48</v>
      </c>
      <c r="Q149" s="33" t="n">
        <f>1836</f>
        <v>1836.0</v>
      </c>
      <c r="R149" s="34" t="s">
        <v>51</v>
      </c>
      <c r="S149" s="35" t="n">
        <f>1839.08</f>
        <v>1839.08</v>
      </c>
      <c r="T149" s="32" t="n">
        <f>168010</f>
        <v>168010.0</v>
      </c>
      <c r="U149" s="32" t="str">
        <f>"－"</f>
        <v>－</v>
      </c>
      <c r="V149" s="32" t="n">
        <f>309830835</f>
        <v>3.09830835E8</v>
      </c>
      <c r="W149" s="32" t="str">
        <f>"－"</f>
        <v>－</v>
      </c>
      <c r="X149" s="36" t="n">
        <f>20</f>
        <v>20.0</v>
      </c>
    </row>
    <row r="150">
      <c r="A150" s="27" t="s">
        <v>42</v>
      </c>
      <c r="B150" s="27" t="s">
        <v>493</v>
      </c>
      <c r="C150" s="27" t="s">
        <v>494</v>
      </c>
      <c r="D150" s="27" t="s">
        <v>495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100.0</v>
      </c>
      <c r="K150" s="33" t="n">
        <f>239.9</f>
        <v>239.9</v>
      </c>
      <c r="L150" s="34" t="s">
        <v>48</v>
      </c>
      <c r="M150" s="33" t="n">
        <f>240.2</f>
        <v>240.2</v>
      </c>
      <c r="N150" s="34" t="s">
        <v>48</v>
      </c>
      <c r="O150" s="33" t="n">
        <f>222.9</f>
        <v>222.9</v>
      </c>
      <c r="P150" s="34" t="s">
        <v>90</v>
      </c>
      <c r="Q150" s="33" t="n">
        <f>233</f>
        <v>233.0</v>
      </c>
      <c r="R150" s="34" t="s">
        <v>51</v>
      </c>
      <c r="S150" s="35" t="n">
        <f>232.37</f>
        <v>232.37</v>
      </c>
      <c r="T150" s="32" t="n">
        <f>167600</f>
        <v>167600.0</v>
      </c>
      <c r="U150" s="32" t="str">
        <f>"－"</f>
        <v>－</v>
      </c>
      <c r="V150" s="32" t="n">
        <f>38833570</f>
        <v>3.883357E7</v>
      </c>
      <c r="W150" s="32" t="str">
        <f>"－"</f>
        <v>－</v>
      </c>
      <c r="X150" s="36" t="n">
        <f>20</f>
        <v>20.0</v>
      </c>
    </row>
    <row r="151">
      <c r="A151" s="27" t="s">
        <v>42</v>
      </c>
      <c r="B151" s="27" t="s">
        <v>496</v>
      </c>
      <c r="C151" s="27" t="s">
        <v>497</v>
      </c>
      <c r="D151" s="27" t="s">
        <v>498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1683.5</f>
        <v>1683.5</v>
      </c>
      <c r="L151" s="34" t="s">
        <v>48</v>
      </c>
      <c r="M151" s="33" t="n">
        <f>1702.5</f>
        <v>1702.5</v>
      </c>
      <c r="N151" s="34" t="s">
        <v>241</v>
      </c>
      <c r="O151" s="33" t="n">
        <f>1611</f>
        <v>1611.0</v>
      </c>
      <c r="P151" s="34" t="s">
        <v>293</v>
      </c>
      <c r="Q151" s="33" t="n">
        <f>1658</f>
        <v>1658.0</v>
      </c>
      <c r="R151" s="34" t="s">
        <v>51</v>
      </c>
      <c r="S151" s="35" t="n">
        <f>1662.71</f>
        <v>1662.71</v>
      </c>
      <c r="T151" s="32" t="n">
        <f>2290</f>
        <v>2290.0</v>
      </c>
      <c r="U151" s="32" t="str">
        <f>"－"</f>
        <v>－</v>
      </c>
      <c r="V151" s="32" t="n">
        <f>3799450</f>
        <v>3799450.0</v>
      </c>
      <c r="W151" s="32" t="str">
        <f>"－"</f>
        <v>－</v>
      </c>
      <c r="X151" s="36" t="n">
        <f>14</f>
        <v>14.0</v>
      </c>
    </row>
    <row r="152">
      <c r="A152" s="27" t="s">
        <v>42</v>
      </c>
      <c r="B152" s="27" t="s">
        <v>499</v>
      </c>
      <c r="C152" s="27" t="s">
        <v>500</v>
      </c>
      <c r="D152" s="27" t="s">
        <v>501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638.6</f>
        <v>638.6</v>
      </c>
      <c r="L152" s="34" t="s">
        <v>48</v>
      </c>
      <c r="M152" s="33" t="n">
        <f>640.1</f>
        <v>640.1</v>
      </c>
      <c r="N152" s="34" t="s">
        <v>48</v>
      </c>
      <c r="O152" s="33" t="n">
        <f>565.2</f>
        <v>565.2</v>
      </c>
      <c r="P152" s="34" t="s">
        <v>62</v>
      </c>
      <c r="Q152" s="33" t="n">
        <f>573.1</f>
        <v>573.1</v>
      </c>
      <c r="R152" s="34" t="s">
        <v>51</v>
      </c>
      <c r="S152" s="35" t="n">
        <f>589.99</f>
        <v>589.99</v>
      </c>
      <c r="T152" s="32" t="n">
        <f>26260</f>
        <v>26260.0</v>
      </c>
      <c r="U152" s="32" t="str">
        <f>"－"</f>
        <v>－</v>
      </c>
      <c r="V152" s="32" t="n">
        <f>15431424</f>
        <v>1.5431424E7</v>
      </c>
      <c r="W152" s="32" t="str">
        <f>"－"</f>
        <v>－</v>
      </c>
      <c r="X152" s="36" t="n">
        <f>20</f>
        <v>20.0</v>
      </c>
    </row>
    <row r="153">
      <c r="A153" s="27" t="s">
        <v>42</v>
      </c>
      <c r="B153" s="27" t="s">
        <v>502</v>
      </c>
      <c r="C153" s="27" t="s">
        <v>503</v>
      </c>
      <c r="D153" s="27" t="s">
        <v>504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2105.5</f>
        <v>2105.5</v>
      </c>
      <c r="L153" s="34" t="s">
        <v>48</v>
      </c>
      <c r="M153" s="33" t="n">
        <f>2133</f>
        <v>2133.0</v>
      </c>
      <c r="N153" s="34" t="s">
        <v>79</v>
      </c>
      <c r="O153" s="33" t="n">
        <f>1989.5</f>
        <v>1989.5</v>
      </c>
      <c r="P153" s="34" t="s">
        <v>293</v>
      </c>
      <c r="Q153" s="33" t="n">
        <f>2053.5</f>
        <v>2053.5</v>
      </c>
      <c r="R153" s="34" t="s">
        <v>51</v>
      </c>
      <c r="S153" s="35" t="n">
        <f>2097.48</f>
        <v>2097.48</v>
      </c>
      <c r="T153" s="32" t="n">
        <f>5190</f>
        <v>5190.0</v>
      </c>
      <c r="U153" s="32" t="str">
        <f>"－"</f>
        <v>－</v>
      </c>
      <c r="V153" s="32" t="n">
        <f>10854180</f>
        <v>1.085418E7</v>
      </c>
      <c r="W153" s="32" t="str">
        <f>"－"</f>
        <v>－</v>
      </c>
      <c r="X153" s="36" t="n">
        <f>20</f>
        <v>20.0</v>
      </c>
    </row>
    <row r="154">
      <c r="A154" s="27" t="s">
        <v>42</v>
      </c>
      <c r="B154" s="27" t="s">
        <v>505</v>
      </c>
      <c r="C154" s="27" t="s">
        <v>506</v>
      </c>
      <c r="D154" s="27" t="s">
        <v>507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988.4</f>
        <v>988.4</v>
      </c>
      <c r="L154" s="34" t="s">
        <v>48</v>
      </c>
      <c r="M154" s="33" t="n">
        <f>1028</f>
        <v>1028.0</v>
      </c>
      <c r="N154" s="34" t="s">
        <v>79</v>
      </c>
      <c r="O154" s="33" t="n">
        <f>969.1</f>
        <v>969.1</v>
      </c>
      <c r="P154" s="34" t="s">
        <v>89</v>
      </c>
      <c r="Q154" s="33" t="n">
        <f>978.3</f>
        <v>978.3</v>
      </c>
      <c r="R154" s="34" t="s">
        <v>51</v>
      </c>
      <c r="S154" s="35" t="n">
        <f>994.35</f>
        <v>994.35</v>
      </c>
      <c r="T154" s="32" t="n">
        <f>34280</f>
        <v>34280.0</v>
      </c>
      <c r="U154" s="32" t="str">
        <f>"－"</f>
        <v>－</v>
      </c>
      <c r="V154" s="32" t="n">
        <f>34347700</f>
        <v>3.43477E7</v>
      </c>
      <c r="W154" s="32" t="str">
        <f>"－"</f>
        <v>－</v>
      </c>
      <c r="X154" s="36" t="n">
        <f>20</f>
        <v>20.0</v>
      </c>
    </row>
    <row r="155">
      <c r="A155" s="27" t="s">
        <v>42</v>
      </c>
      <c r="B155" s="27" t="s">
        <v>508</v>
      </c>
      <c r="C155" s="27" t="s">
        <v>509</v>
      </c>
      <c r="D155" s="27" t="s">
        <v>510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642.4</f>
        <v>642.4</v>
      </c>
      <c r="L155" s="34" t="s">
        <v>48</v>
      </c>
      <c r="M155" s="33" t="n">
        <f>665.9</f>
        <v>665.9</v>
      </c>
      <c r="N155" s="34" t="s">
        <v>225</v>
      </c>
      <c r="O155" s="33" t="n">
        <f>620.3</f>
        <v>620.3</v>
      </c>
      <c r="P155" s="34" t="s">
        <v>293</v>
      </c>
      <c r="Q155" s="33" t="n">
        <f>628.5</f>
        <v>628.5</v>
      </c>
      <c r="R155" s="34" t="s">
        <v>51</v>
      </c>
      <c r="S155" s="35" t="n">
        <f>645.15</f>
        <v>645.15</v>
      </c>
      <c r="T155" s="32" t="n">
        <f>155150</f>
        <v>155150.0</v>
      </c>
      <c r="U155" s="32" t="str">
        <f>"－"</f>
        <v>－</v>
      </c>
      <c r="V155" s="32" t="n">
        <f>100827064</f>
        <v>1.00827064E8</v>
      </c>
      <c r="W155" s="32" t="str">
        <f>"－"</f>
        <v>－</v>
      </c>
      <c r="X155" s="36" t="n">
        <f>20</f>
        <v>20.0</v>
      </c>
    </row>
    <row r="156">
      <c r="A156" s="27" t="s">
        <v>42</v>
      </c>
      <c r="B156" s="27" t="s">
        <v>511</v>
      </c>
      <c r="C156" s="27" t="s">
        <v>512</v>
      </c>
      <c r="D156" s="27" t="s">
        <v>513</v>
      </c>
      <c r="E156" s="28" t="s">
        <v>514</v>
      </c>
      <c r="F156" s="29" t="s">
        <v>515</v>
      </c>
      <c r="G156" s="30" t="s">
        <v>46</v>
      </c>
      <c r="H156" s="31"/>
      <c r="I156" s="31" t="s">
        <v>47</v>
      </c>
      <c r="J156" s="32" t="n">
        <v>100.0</v>
      </c>
      <c r="K156" s="33" t="n">
        <f>1.3</f>
        <v>1.3</v>
      </c>
      <c r="L156" s="34" t="s">
        <v>48</v>
      </c>
      <c r="M156" s="33" t="n">
        <f>1.4</f>
        <v>1.4</v>
      </c>
      <c r="N156" s="34" t="s">
        <v>48</v>
      </c>
      <c r="O156" s="33" t="n">
        <f>1</f>
        <v>1.0</v>
      </c>
      <c r="P156" s="34" t="s">
        <v>69</v>
      </c>
      <c r="Q156" s="33" t="n">
        <f>1</f>
        <v>1.0</v>
      </c>
      <c r="R156" s="34" t="s">
        <v>89</v>
      </c>
      <c r="S156" s="35" t="n">
        <f>1.15</f>
        <v>1.15</v>
      </c>
      <c r="T156" s="32" t="n">
        <f>2873820000</f>
        <v>2.87382E9</v>
      </c>
      <c r="U156" s="32" t="str">
        <f>"－"</f>
        <v>－</v>
      </c>
      <c r="V156" s="32" t="n">
        <f>3262820000</f>
        <v>3.26282E9</v>
      </c>
      <c r="W156" s="32" t="str">
        <f>"－"</f>
        <v>－</v>
      </c>
      <c r="X156" s="36" t="n">
        <f>19</f>
        <v>19.0</v>
      </c>
    </row>
    <row r="157">
      <c r="A157" s="27" t="s">
        <v>42</v>
      </c>
      <c r="B157" s="27" t="s">
        <v>511</v>
      </c>
      <c r="C157" s="27" t="s">
        <v>512</v>
      </c>
      <c r="D157" s="27" t="s">
        <v>513</v>
      </c>
      <c r="E157" s="28" t="s">
        <v>514</v>
      </c>
      <c r="F157" s="29" t="s">
        <v>515</v>
      </c>
      <c r="G157" s="30" t="s">
        <v>46</v>
      </c>
      <c r="H157" s="31"/>
      <c r="I157" s="31" t="s">
        <v>47</v>
      </c>
      <c r="J157" s="32" t="n">
        <v>100.0</v>
      </c>
      <c r="K157" s="33" t="str">
        <f>"－"</f>
        <v>－</v>
      </c>
      <c r="L157" s="34"/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5" t="str">
        <f>"－"</f>
        <v>－</v>
      </c>
      <c r="T157" s="32" t="str">
        <f>"－"</f>
        <v>－</v>
      </c>
      <c r="U157" s="32" t="str">
        <f>"－"</f>
        <v>－</v>
      </c>
      <c r="V157" s="32" t="str">
        <f>"－"</f>
        <v>－</v>
      </c>
      <c r="W157" s="32" t="str">
        <f>"－"</f>
        <v>－</v>
      </c>
      <c r="X157" s="36" t="str">
        <f>"－"</f>
        <v>－</v>
      </c>
    </row>
    <row r="158">
      <c r="A158" s="27" t="s">
        <v>42</v>
      </c>
      <c r="B158" s="27" t="s">
        <v>516</v>
      </c>
      <c r="C158" s="27" t="s">
        <v>517</v>
      </c>
      <c r="D158" s="27" t="s">
        <v>518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1512</f>
        <v>1512.0</v>
      </c>
      <c r="L158" s="34" t="s">
        <v>48</v>
      </c>
      <c r="M158" s="33" t="n">
        <f>1512</f>
        <v>1512.0</v>
      </c>
      <c r="N158" s="34" t="s">
        <v>48</v>
      </c>
      <c r="O158" s="33" t="n">
        <f>1375</f>
        <v>1375.0</v>
      </c>
      <c r="P158" s="34" t="s">
        <v>217</v>
      </c>
      <c r="Q158" s="33" t="n">
        <f>1433</f>
        <v>1433.0</v>
      </c>
      <c r="R158" s="34" t="s">
        <v>51</v>
      </c>
      <c r="S158" s="35" t="n">
        <f>1440.6</f>
        <v>1440.6</v>
      </c>
      <c r="T158" s="32" t="n">
        <f>106930</f>
        <v>106930.0</v>
      </c>
      <c r="U158" s="32" t="str">
        <f>"－"</f>
        <v>－</v>
      </c>
      <c r="V158" s="32" t="n">
        <f>152772390</f>
        <v>1.5277239E8</v>
      </c>
      <c r="W158" s="32" t="str">
        <f>"－"</f>
        <v>－</v>
      </c>
      <c r="X158" s="36" t="n">
        <f>20</f>
        <v>20.0</v>
      </c>
    </row>
    <row r="159">
      <c r="A159" s="27" t="s">
        <v>42</v>
      </c>
      <c r="B159" s="27" t="s">
        <v>519</v>
      </c>
      <c r="C159" s="27" t="s">
        <v>520</v>
      </c>
      <c r="D159" s="27" t="s">
        <v>521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1.0</v>
      </c>
      <c r="K159" s="33" t="n">
        <f>7940</f>
        <v>7940.0</v>
      </c>
      <c r="L159" s="34" t="s">
        <v>48</v>
      </c>
      <c r="M159" s="33" t="n">
        <f>7977</f>
        <v>7977.0</v>
      </c>
      <c r="N159" s="34" t="s">
        <v>225</v>
      </c>
      <c r="O159" s="33" t="n">
        <f>7288</f>
        <v>7288.0</v>
      </c>
      <c r="P159" s="34" t="s">
        <v>217</v>
      </c>
      <c r="Q159" s="33" t="n">
        <f>7760</f>
        <v>7760.0</v>
      </c>
      <c r="R159" s="34" t="s">
        <v>51</v>
      </c>
      <c r="S159" s="35" t="n">
        <f>7643.79</f>
        <v>7643.79</v>
      </c>
      <c r="T159" s="32" t="n">
        <f>1783</f>
        <v>1783.0</v>
      </c>
      <c r="U159" s="32" t="str">
        <f>"－"</f>
        <v>－</v>
      </c>
      <c r="V159" s="32" t="n">
        <f>13583248</f>
        <v>1.3583248E7</v>
      </c>
      <c r="W159" s="32" t="str">
        <f>"－"</f>
        <v>－</v>
      </c>
      <c r="X159" s="36" t="n">
        <f>19</f>
        <v>19.0</v>
      </c>
    </row>
    <row r="160">
      <c r="A160" s="27" t="s">
        <v>42</v>
      </c>
      <c r="B160" s="27" t="s">
        <v>522</v>
      </c>
      <c r="C160" s="27" t="s">
        <v>523</v>
      </c>
      <c r="D160" s="27" t="s">
        <v>524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100.0</v>
      </c>
      <c r="K160" s="33" t="n">
        <f>457.5</f>
        <v>457.5</v>
      </c>
      <c r="L160" s="34" t="s">
        <v>48</v>
      </c>
      <c r="M160" s="33" t="n">
        <f>457.5</f>
        <v>457.5</v>
      </c>
      <c r="N160" s="34" t="s">
        <v>48</v>
      </c>
      <c r="O160" s="33" t="n">
        <f>430</f>
        <v>430.0</v>
      </c>
      <c r="P160" s="34" t="s">
        <v>293</v>
      </c>
      <c r="Q160" s="33" t="n">
        <f>431.6</f>
        <v>431.6</v>
      </c>
      <c r="R160" s="34" t="s">
        <v>51</v>
      </c>
      <c r="S160" s="35" t="n">
        <f>446.51</f>
        <v>446.51</v>
      </c>
      <c r="T160" s="32" t="n">
        <f>63800</f>
        <v>63800.0</v>
      </c>
      <c r="U160" s="32" t="str">
        <f>"－"</f>
        <v>－</v>
      </c>
      <c r="V160" s="32" t="n">
        <f>28534850</f>
        <v>2.853485E7</v>
      </c>
      <c r="W160" s="32" t="str">
        <f>"－"</f>
        <v>－</v>
      </c>
      <c r="X160" s="36" t="n">
        <f>19</f>
        <v>19.0</v>
      </c>
    </row>
    <row r="161">
      <c r="A161" s="27" t="s">
        <v>42</v>
      </c>
      <c r="B161" s="27" t="s">
        <v>525</v>
      </c>
      <c r="C161" s="27" t="s">
        <v>526</v>
      </c>
      <c r="D161" s="27" t="s">
        <v>527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10.0</v>
      </c>
      <c r="K161" s="33" t="n">
        <f>4941</f>
        <v>4941.0</v>
      </c>
      <c r="L161" s="34" t="s">
        <v>48</v>
      </c>
      <c r="M161" s="33" t="n">
        <f>5079</f>
        <v>5079.0</v>
      </c>
      <c r="N161" s="34" t="s">
        <v>293</v>
      </c>
      <c r="O161" s="33" t="n">
        <f>4872</f>
        <v>4872.0</v>
      </c>
      <c r="P161" s="34" t="s">
        <v>90</v>
      </c>
      <c r="Q161" s="33" t="n">
        <f>5001</f>
        <v>5001.0</v>
      </c>
      <c r="R161" s="34" t="s">
        <v>51</v>
      </c>
      <c r="S161" s="35" t="n">
        <f>4974.7</f>
        <v>4974.7</v>
      </c>
      <c r="T161" s="32" t="n">
        <f>28220</f>
        <v>28220.0</v>
      </c>
      <c r="U161" s="32" t="str">
        <f>"－"</f>
        <v>－</v>
      </c>
      <c r="V161" s="32" t="n">
        <f>140121580</f>
        <v>1.4012158E8</v>
      </c>
      <c r="W161" s="32" t="str">
        <f>"－"</f>
        <v>－</v>
      </c>
      <c r="X161" s="36" t="n">
        <f>20</f>
        <v>20.0</v>
      </c>
    </row>
    <row r="162">
      <c r="A162" s="27" t="s">
        <v>42</v>
      </c>
      <c r="B162" s="27" t="s">
        <v>528</v>
      </c>
      <c r="C162" s="27" t="s">
        <v>529</v>
      </c>
      <c r="D162" s="27" t="s">
        <v>530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2512.5</f>
        <v>2512.5</v>
      </c>
      <c r="L162" s="34" t="s">
        <v>48</v>
      </c>
      <c r="M162" s="33" t="n">
        <f>2542.5</f>
        <v>2542.5</v>
      </c>
      <c r="N162" s="34" t="s">
        <v>531</v>
      </c>
      <c r="O162" s="33" t="n">
        <f>2170.5</f>
        <v>2170.5</v>
      </c>
      <c r="P162" s="34" t="s">
        <v>62</v>
      </c>
      <c r="Q162" s="33" t="n">
        <f>2280</f>
        <v>2280.0</v>
      </c>
      <c r="R162" s="34" t="s">
        <v>51</v>
      </c>
      <c r="S162" s="35" t="n">
        <f>2385.85</f>
        <v>2385.85</v>
      </c>
      <c r="T162" s="32" t="n">
        <f>29450</f>
        <v>29450.0</v>
      </c>
      <c r="U162" s="32" t="str">
        <f>"－"</f>
        <v>－</v>
      </c>
      <c r="V162" s="32" t="n">
        <f>68317955</f>
        <v>6.8317955E7</v>
      </c>
      <c r="W162" s="32" t="str">
        <f>"－"</f>
        <v>－</v>
      </c>
      <c r="X162" s="36" t="n">
        <f>20</f>
        <v>20.0</v>
      </c>
    </row>
    <row r="163">
      <c r="A163" s="27" t="s">
        <v>42</v>
      </c>
      <c r="B163" s="27" t="s">
        <v>532</v>
      </c>
      <c r="C163" s="27" t="s">
        <v>533</v>
      </c>
      <c r="D163" s="27" t="s">
        <v>534</v>
      </c>
      <c r="E163" s="28" t="s">
        <v>514</v>
      </c>
      <c r="F163" s="29" t="s">
        <v>515</v>
      </c>
      <c r="G163" s="30" t="s">
        <v>46</v>
      </c>
      <c r="H163" s="31"/>
      <c r="I163" s="31" t="s">
        <v>47</v>
      </c>
      <c r="J163" s="32" t="n">
        <v>100.0</v>
      </c>
      <c r="K163" s="33" t="n">
        <f>78.3</f>
        <v>78.3</v>
      </c>
      <c r="L163" s="34" t="s">
        <v>48</v>
      </c>
      <c r="M163" s="33" t="n">
        <f>82.7</f>
        <v>82.7</v>
      </c>
      <c r="N163" s="34" t="s">
        <v>103</v>
      </c>
      <c r="O163" s="33" t="n">
        <f>74.5</f>
        <v>74.5</v>
      </c>
      <c r="P163" s="34" t="s">
        <v>293</v>
      </c>
      <c r="Q163" s="33" t="n">
        <f>75.7</f>
        <v>75.7</v>
      </c>
      <c r="R163" s="34" t="s">
        <v>89</v>
      </c>
      <c r="S163" s="35" t="n">
        <f>78.71</f>
        <v>78.71</v>
      </c>
      <c r="T163" s="32" t="n">
        <f>13161700</f>
        <v>1.31617E7</v>
      </c>
      <c r="U163" s="32" t="str">
        <f>"－"</f>
        <v>－</v>
      </c>
      <c r="V163" s="32" t="n">
        <f>1032113320</f>
        <v>1.03211332E9</v>
      </c>
      <c r="W163" s="32" t="str">
        <f>"－"</f>
        <v>－</v>
      </c>
      <c r="X163" s="36" t="n">
        <f>19</f>
        <v>19.0</v>
      </c>
    </row>
    <row r="164">
      <c r="A164" s="27" t="s">
        <v>42</v>
      </c>
      <c r="B164" s="27" t="s">
        <v>532</v>
      </c>
      <c r="C164" s="27" t="s">
        <v>533</v>
      </c>
      <c r="D164" s="27" t="s">
        <v>534</v>
      </c>
      <c r="E164" s="28" t="s">
        <v>514</v>
      </c>
      <c r="F164" s="29" t="s">
        <v>515</v>
      </c>
      <c r="G164" s="30" t="s">
        <v>46</v>
      </c>
      <c r="H164" s="31"/>
      <c r="I164" s="31" t="s">
        <v>47</v>
      </c>
      <c r="J164" s="32" t="n">
        <v>100.0</v>
      </c>
      <c r="K164" s="33" t="str">
        <f>"－"</f>
        <v>－</v>
      </c>
      <c r="L164" s="34"/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5" t="str">
        <f>"－"</f>
        <v>－</v>
      </c>
      <c r="T164" s="32" t="str">
        <f>"－"</f>
        <v>－</v>
      </c>
      <c r="U164" s="32" t="str">
        <f>"－"</f>
        <v>－</v>
      </c>
      <c r="V164" s="32" t="str">
        <f>"－"</f>
        <v>－</v>
      </c>
      <c r="W164" s="32" t="str">
        <f>"－"</f>
        <v>－</v>
      </c>
      <c r="X164" s="36" t="str">
        <f>"－"</f>
        <v>－</v>
      </c>
    </row>
    <row r="165">
      <c r="A165" s="27" t="s">
        <v>42</v>
      </c>
      <c r="B165" s="27" t="s">
        <v>535</v>
      </c>
      <c r="C165" s="27" t="s">
        <v>536</v>
      </c>
      <c r="D165" s="27" t="s">
        <v>537</v>
      </c>
      <c r="E165" s="28" t="s">
        <v>514</v>
      </c>
      <c r="F165" s="29" t="s">
        <v>515</v>
      </c>
      <c r="G165" s="30" t="s">
        <v>46</v>
      </c>
      <c r="H165" s="31"/>
      <c r="I165" s="31" t="s">
        <v>47</v>
      </c>
      <c r="J165" s="32" t="n">
        <v>100.0</v>
      </c>
      <c r="K165" s="33" t="n">
        <f>171.6</f>
        <v>171.6</v>
      </c>
      <c r="L165" s="34" t="s">
        <v>48</v>
      </c>
      <c r="M165" s="33" t="n">
        <f>172.1</f>
        <v>172.1</v>
      </c>
      <c r="N165" s="34" t="s">
        <v>225</v>
      </c>
      <c r="O165" s="33" t="n">
        <f>160.3</f>
        <v>160.3</v>
      </c>
      <c r="P165" s="34" t="s">
        <v>89</v>
      </c>
      <c r="Q165" s="33" t="n">
        <f>160.8</f>
        <v>160.8</v>
      </c>
      <c r="R165" s="34" t="s">
        <v>89</v>
      </c>
      <c r="S165" s="35" t="n">
        <f>168.07</f>
        <v>168.07</v>
      </c>
      <c r="T165" s="32" t="n">
        <f>923100</f>
        <v>923100.0</v>
      </c>
      <c r="U165" s="32" t="str">
        <f>"－"</f>
        <v>－</v>
      </c>
      <c r="V165" s="32" t="n">
        <f>154214170</f>
        <v>1.5421417E8</v>
      </c>
      <c r="W165" s="32" t="str">
        <f>"－"</f>
        <v>－</v>
      </c>
      <c r="X165" s="36" t="n">
        <f>19</f>
        <v>19.0</v>
      </c>
    </row>
    <row r="166">
      <c r="A166" s="27" t="s">
        <v>42</v>
      </c>
      <c r="B166" s="27" t="s">
        <v>535</v>
      </c>
      <c r="C166" s="27" t="s">
        <v>536</v>
      </c>
      <c r="D166" s="27" t="s">
        <v>537</v>
      </c>
      <c r="E166" s="28" t="s">
        <v>514</v>
      </c>
      <c r="F166" s="29" t="s">
        <v>515</v>
      </c>
      <c r="G166" s="30" t="s">
        <v>46</v>
      </c>
      <c r="H166" s="31"/>
      <c r="I166" s="31" t="s">
        <v>47</v>
      </c>
      <c r="J166" s="32" t="n">
        <v>100.0</v>
      </c>
      <c r="K166" s="33" t="str">
        <f>"－"</f>
        <v>－</v>
      </c>
      <c r="L166" s="34"/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5" t="str">
        <f>"－"</f>
        <v>－</v>
      </c>
      <c r="T166" s="32" t="str">
        <f>"－"</f>
        <v>－</v>
      </c>
      <c r="U166" s="32" t="str">
        <f>"－"</f>
        <v>－</v>
      </c>
      <c r="V166" s="32" t="str">
        <f>"－"</f>
        <v>－</v>
      </c>
      <c r="W166" s="32" t="str">
        <f>"－"</f>
        <v>－</v>
      </c>
      <c r="X166" s="36" t="str">
        <f>"－"</f>
        <v>－</v>
      </c>
    </row>
    <row r="167">
      <c r="A167" s="27" t="s">
        <v>42</v>
      </c>
      <c r="B167" s="27" t="s">
        <v>538</v>
      </c>
      <c r="C167" s="27" t="s">
        <v>539</v>
      </c>
      <c r="D167" s="27" t="s">
        <v>540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4755</f>
        <v>4755.0</v>
      </c>
      <c r="L167" s="34" t="s">
        <v>48</v>
      </c>
      <c r="M167" s="33" t="n">
        <f>5071</f>
        <v>5071.0</v>
      </c>
      <c r="N167" s="34" t="s">
        <v>79</v>
      </c>
      <c r="O167" s="33" t="n">
        <f>4604</f>
        <v>4604.0</v>
      </c>
      <c r="P167" s="34" t="s">
        <v>293</v>
      </c>
      <c r="Q167" s="33" t="n">
        <f>4785</f>
        <v>4785.0</v>
      </c>
      <c r="R167" s="34" t="s">
        <v>51</v>
      </c>
      <c r="S167" s="35" t="n">
        <f>4897.9</f>
        <v>4897.9</v>
      </c>
      <c r="T167" s="32" t="n">
        <f>10150</f>
        <v>10150.0</v>
      </c>
      <c r="U167" s="32" t="str">
        <f>"－"</f>
        <v>－</v>
      </c>
      <c r="V167" s="32" t="n">
        <f>49935740</f>
        <v>4.993574E7</v>
      </c>
      <c r="W167" s="32" t="str">
        <f>"－"</f>
        <v>－</v>
      </c>
      <c r="X167" s="36" t="n">
        <f>20</f>
        <v>20.0</v>
      </c>
    </row>
    <row r="168">
      <c r="A168" s="27" t="s">
        <v>42</v>
      </c>
      <c r="B168" s="27" t="s">
        <v>541</v>
      </c>
      <c r="C168" s="27" t="s">
        <v>542</v>
      </c>
      <c r="D168" s="27" t="s">
        <v>543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2594.5</f>
        <v>2594.5</v>
      </c>
      <c r="L168" s="34" t="s">
        <v>48</v>
      </c>
      <c r="M168" s="33" t="n">
        <f>2656</f>
        <v>2656.0</v>
      </c>
      <c r="N168" s="34" t="s">
        <v>62</v>
      </c>
      <c r="O168" s="33" t="n">
        <f>2539</f>
        <v>2539.0</v>
      </c>
      <c r="P168" s="34" t="s">
        <v>50</v>
      </c>
      <c r="Q168" s="33" t="n">
        <f>2641</f>
        <v>2641.0</v>
      </c>
      <c r="R168" s="34" t="s">
        <v>51</v>
      </c>
      <c r="S168" s="35" t="n">
        <f>2615.63</f>
        <v>2615.63</v>
      </c>
      <c r="T168" s="32" t="n">
        <f>198210</f>
        <v>198210.0</v>
      </c>
      <c r="U168" s="32" t="n">
        <f>17650</f>
        <v>17650.0</v>
      </c>
      <c r="V168" s="32" t="n">
        <f>519326091</f>
        <v>5.19326091E8</v>
      </c>
      <c r="W168" s="32" t="n">
        <f>45876471</f>
        <v>4.5876471E7</v>
      </c>
      <c r="X168" s="36" t="n">
        <f>20</f>
        <v>20.0</v>
      </c>
    </row>
    <row r="169">
      <c r="A169" s="27" t="s">
        <v>42</v>
      </c>
      <c r="B169" s="27" t="s">
        <v>544</v>
      </c>
      <c r="C169" s="27" t="s">
        <v>545</v>
      </c>
      <c r="D169" s="27" t="s">
        <v>546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413.5</f>
        <v>413.5</v>
      </c>
      <c r="L169" s="34" t="s">
        <v>48</v>
      </c>
      <c r="M169" s="33" t="n">
        <f>414.4</f>
        <v>414.4</v>
      </c>
      <c r="N169" s="34" t="s">
        <v>48</v>
      </c>
      <c r="O169" s="33" t="n">
        <f>377.9</f>
        <v>377.9</v>
      </c>
      <c r="P169" s="34" t="s">
        <v>217</v>
      </c>
      <c r="Q169" s="33" t="n">
        <f>394.7</f>
        <v>394.7</v>
      </c>
      <c r="R169" s="34" t="s">
        <v>51</v>
      </c>
      <c r="S169" s="35" t="n">
        <f>396.26</f>
        <v>396.26</v>
      </c>
      <c r="T169" s="32" t="n">
        <f>13242060</f>
        <v>1.324206E7</v>
      </c>
      <c r="U169" s="32" t="n">
        <f>1670</f>
        <v>1670.0</v>
      </c>
      <c r="V169" s="32" t="n">
        <f>5210777087</f>
        <v>5.210777087E9</v>
      </c>
      <c r="W169" s="32" t="n">
        <f>656976</f>
        <v>656976.0</v>
      </c>
      <c r="X169" s="36" t="n">
        <f>20</f>
        <v>20.0</v>
      </c>
    </row>
    <row r="170">
      <c r="A170" s="27" t="s">
        <v>42</v>
      </c>
      <c r="B170" s="27" t="s">
        <v>547</v>
      </c>
      <c r="C170" s="27" t="s">
        <v>548</v>
      </c>
      <c r="D170" s="27" t="s">
        <v>549</v>
      </c>
      <c r="E170" s="28" t="s">
        <v>550</v>
      </c>
      <c r="F170" s="29" t="s">
        <v>551</v>
      </c>
      <c r="G170" s="30" t="s">
        <v>552</v>
      </c>
      <c r="H170" s="31"/>
      <c r="I170" s="31" t="s">
        <v>47</v>
      </c>
      <c r="J170" s="32" t="n">
        <v>10.0</v>
      </c>
      <c r="K170" s="33" t="n">
        <f>505.8</f>
        <v>505.8</v>
      </c>
      <c r="L170" s="34" t="s">
        <v>89</v>
      </c>
      <c r="M170" s="33" t="n">
        <f>505.8</f>
        <v>505.8</v>
      </c>
      <c r="N170" s="34" t="s">
        <v>89</v>
      </c>
      <c r="O170" s="33" t="n">
        <f>496</f>
        <v>496.0</v>
      </c>
      <c r="P170" s="34" t="s">
        <v>51</v>
      </c>
      <c r="Q170" s="33" t="n">
        <f>500.6</f>
        <v>500.6</v>
      </c>
      <c r="R170" s="34" t="s">
        <v>51</v>
      </c>
      <c r="S170" s="35" t="n">
        <f>499.5</f>
        <v>499.5</v>
      </c>
      <c r="T170" s="32" t="n">
        <f>167110</f>
        <v>167110.0</v>
      </c>
      <c r="U170" s="32" t="str">
        <f>"－"</f>
        <v>－</v>
      </c>
      <c r="V170" s="32" t="n">
        <f>83298302</f>
        <v>8.3298302E7</v>
      </c>
      <c r="W170" s="32" t="str">
        <f>"－"</f>
        <v>－</v>
      </c>
      <c r="X170" s="36" t="n">
        <f>2</f>
        <v>2.0</v>
      </c>
    </row>
    <row r="171">
      <c r="A171" s="27" t="s">
        <v>42</v>
      </c>
      <c r="B171" s="27" t="s">
        <v>553</v>
      </c>
      <c r="C171" s="27" t="s">
        <v>554</v>
      </c>
      <c r="D171" s="27" t="s">
        <v>555</v>
      </c>
      <c r="E171" s="28" t="s">
        <v>46</v>
      </c>
      <c r="F171" s="29" t="s">
        <v>46</v>
      </c>
      <c r="G171" s="30" t="s">
        <v>46</v>
      </c>
      <c r="H171" s="31"/>
      <c r="I171" s="31" t="s">
        <v>556</v>
      </c>
      <c r="J171" s="32" t="n">
        <v>1.0</v>
      </c>
      <c r="K171" s="33" t="n">
        <f>4580</f>
        <v>4580.0</v>
      </c>
      <c r="L171" s="34" t="s">
        <v>48</v>
      </c>
      <c r="M171" s="33" t="n">
        <f>5150</f>
        <v>5150.0</v>
      </c>
      <c r="N171" s="34" t="s">
        <v>79</v>
      </c>
      <c r="O171" s="33" t="n">
        <f>4305</f>
        <v>4305.0</v>
      </c>
      <c r="P171" s="34" t="s">
        <v>51</v>
      </c>
      <c r="Q171" s="33" t="n">
        <f>4355</f>
        <v>4355.0</v>
      </c>
      <c r="R171" s="34" t="s">
        <v>51</v>
      </c>
      <c r="S171" s="35" t="n">
        <f>4742</f>
        <v>4742.0</v>
      </c>
      <c r="T171" s="32" t="n">
        <f>55074</f>
        <v>55074.0</v>
      </c>
      <c r="U171" s="32" t="n">
        <f>4</f>
        <v>4.0</v>
      </c>
      <c r="V171" s="32" t="n">
        <f>259865100</f>
        <v>2.598651E8</v>
      </c>
      <c r="W171" s="32" t="n">
        <f>19070</f>
        <v>19070.0</v>
      </c>
      <c r="X171" s="36" t="n">
        <f>20</f>
        <v>20.0</v>
      </c>
    </row>
    <row r="172">
      <c r="A172" s="27" t="s">
        <v>42</v>
      </c>
      <c r="B172" s="27" t="s">
        <v>557</v>
      </c>
      <c r="C172" s="27" t="s">
        <v>558</v>
      </c>
      <c r="D172" s="27" t="s">
        <v>559</v>
      </c>
      <c r="E172" s="28" t="s">
        <v>46</v>
      </c>
      <c r="F172" s="29" t="s">
        <v>46</v>
      </c>
      <c r="G172" s="30" t="s">
        <v>46</v>
      </c>
      <c r="H172" s="31"/>
      <c r="I172" s="31" t="s">
        <v>556</v>
      </c>
      <c r="J172" s="32" t="n">
        <v>1.0</v>
      </c>
      <c r="K172" s="33" t="n">
        <f>9628</f>
        <v>9628.0</v>
      </c>
      <c r="L172" s="34" t="s">
        <v>48</v>
      </c>
      <c r="M172" s="33" t="n">
        <f>9705</f>
        <v>9705.0</v>
      </c>
      <c r="N172" s="34" t="s">
        <v>48</v>
      </c>
      <c r="O172" s="33" t="n">
        <f>8920</f>
        <v>8920.0</v>
      </c>
      <c r="P172" s="34" t="s">
        <v>69</v>
      </c>
      <c r="Q172" s="33" t="n">
        <f>9439</f>
        <v>9439.0</v>
      </c>
      <c r="R172" s="34" t="s">
        <v>51</v>
      </c>
      <c r="S172" s="35" t="n">
        <f>9361.4</f>
        <v>9361.4</v>
      </c>
      <c r="T172" s="32" t="n">
        <f>9340</f>
        <v>9340.0</v>
      </c>
      <c r="U172" s="32" t="str">
        <f>"－"</f>
        <v>－</v>
      </c>
      <c r="V172" s="32" t="n">
        <f>87005458</f>
        <v>8.7005458E7</v>
      </c>
      <c r="W172" s="32" t="str">
        <f>"－"</f>
        <v>－</v>
      </c>
      <c r="X172" s="36" t="n">
        <f>20</f>
        <v>20.0</v>
      </c>
    </row>
    <row r="173">
      <c r="A173" s="27" t="s">
        <v>42</v>
      </c>
      <c r="B173" s="27" t="s">
        <v>560</v>
      </c>
      <c r="C173" s="27" t="s">
        <v>561</v>
      </c>
      <c r="D173" s="27" t="s">
        <v>562</v>
      </c>
      <c r="E173" s="28" t="s">
        <v>46</v>
      </c>
      <c r="F173" s="29" t="s">
        <v>46</v>
      </c>
      <c r="G173" s="30" t="s">
        <v>46</v>
      </c>
      <c r="H173" s="31"/>
      <c r="I173" s="31" t="s">
        <v>556</v>
      </c>
      <c r="J173" s="32" t="n">
        <v>1.0</v>
      </c>
      <c r="K173" s="33" t="n">
        <f>10370</f>
        <v>10370.0</v>
      </c>
      <c r="L173" s="34" t="s">
        <v>48</v>
      </c>
      <c r="M173" s="33" t="n">
        <f>12670</f>
        <v>12670.0</v>
      </c>
      <c r="N173" s="34" t="s">
        <v>69</v>
      </c>
      <c r="O173" s="33" t="n">
        <f>10300</f>
        <v>10300.0</v>
      </c>
      <c r="P173" s="34" t="s">
        <v>48</v>
      </c>
      <c r="Q173" s="33" t="n">
        <f>12190</f>
        <v>12190.0</v>
      </c>
      <c r="R173" s="34" t="s">
        <v>51</v>
      </c>
      <c r="S173" s="35" t="n">
        <f>11907.89</f>
        <v>11907.89</v>
      </c>
      <c r="T173" s="32" t="n">
        <f>1282</f>
        <v>1282.0</v>
      </c>
      <c r="U173" s="32" t="str">
        <f>"－"</f>
        <v>－</v>
      </c>
      <c r="V173" s="32" t="n">
        <f>14773425</f>
        <v>1.4773425E7</v>
      </c>
      <c r="W173" s="32" t="str">
        <f>"－"</f>
        <v>－</v>
      </c>
      <c r="X173" s="36" t="n">
        <f>19</f>
        <v>19.0</v>
      </c>
    </row>
    <row r="174">
      <c r="A174" s="27" t="s">
        <v>42</v>
      </c>
      <c r="B174" s="27" t="s">
        <v>563</v>
      </c>
      <c r="C174" s="27" t="s">
        <v>564</v>
      </c>
      <c r="D174" s="27" t="s">
        <v>565</v>
      </c>
      <c r="E174" s="28" t="s">
        <v>46</v>
      </c>
      <c r="F174" s="29" t="s">
        <v>46</v>
      </c>
      <c r="G174" s="30" t="s">
        <v>46</v>
      </c>
      <c r="H174" s="31"/>
      <c r="I174" s="31" t="s">
        <v>556</v>
      </c>
      <c r="J174" s="32" t="n">
        <v>1.0</v>
      </c>
      <c r="K174" s="33" t="n">
        <f>9134</f>
        <v>9134.0</v>
      </c>
      <c r="L174" s="34" t="s">
        <v>48</v>
      </c>
      <c r="M174" s="33" t="n">
        <f>9134</f>
        <v>9134.0</v>
      </c>
      <c r="N174" s="34" t="s">
        <v>48</v>
      </c>
      <c r="O174" s="33" t="n">
        <f>8316</f>
        <v>8316.0</v>
      </c>
      <c r="P174" s="34" t="s">
        <v>69</v>
      </c>
      <c r="Q174" s="33" t="n">
        <f>8452</f>
        <v>8452.0</v>
      </c>
      <c r="R174" s="34" t="s">
        <v>51</v>
      </c>
      <c r="S174" s="35" t="n">
        <f>8632.7</f>
        <v>8632.7</v>
      </c>
      <c r="T174" s="32" t="n">
        <f>8167</f>
        <v>8167.0</v>
      </c>
      <c r="U174" s="32" t="str">
        <f>"－"</f>
        <v>－</v>
      </c>
      <c r="V174" s="32" t="n">
        <f>70573969</f>
        <v>7.0573969E7</v>
      </c>
      <c r="W174" s="32" t="str">
        <f>"－"</f>
        <v>－</v>
      </c>
      <c r="X174" s="36" t="n">
        <f>20</f>
        <v>20.0</v>
      </c>
    </row>
    <row r="175">
      <c r="A175" s="27" t="s">
        <v>42</v>
      </c>
      <c r="B175" s="27" t="s">
        <v>566</v>
      </c>
      <c r="C175" s="27" t="s">
        <v>567</v>
      </c>
      <c r="D175" s="27" t="s">
        <v>568</v>
      </c>
      <c r="E175" s="28" t="s">
        <v>46</v>
      </c>
      <c r="F175" s="29" t="s">
        <v>46</v>
      </c>
      <c r="G175" s="30" t="s">
        <v>46</v>
      </c>
      <c r="H175" s="31"/>
      <c r="I175" s="31" t="s">
        <v>556</v>
      </c>
      <c r="J175" s="32" t="n">
        <v>1.0</v>
      </c>
      <c r="K175" s="33" t="n">
        <f>38620</f>
        <v>38620.0</v>
      </c>
      <c r="L175" s="34" t="s">
        <v>48</v>
      </c>
      <c r="M175" s="33" t="n">
        <f>39210</f>
        <v>39210.0</v>
      </c>
      <c r="N175" s="34" t="s">
        <v>89</v>
      </c>
      <c r="O175" s="33" t="n">
        <f>36860</f>
        <v>36860.0</v>
      </c>
      <c r="P175" s="34" t="s">
        <v>90</v>
      </c>
      <c r="Q175" s="33" t="n">
        <f>38530</f>
        <v>38530.0</v>
      </c>
      <c r="R175" s="34" t="s">
        <v>51</v>
      </c>
      <c r="S175" s="35" t="n">
        <f>37872.5</f>
        <v>37872.5</v>
      </c>
      <c r="T175" s="32" t="n">
        <f>34828</f>
        <v>34828.0</v>
      </c>
      <c r="U175" s="32" t="n">
        <f>17</f>
        <v>17.0</v>
      </c>
      <c r="V175" s="32" t="n">
        <f>1321643860</f>
        <v>1.32164386E9</v>
      </c>
      <c r="W175" s="32" t="n">
        <f>636560</f>
        <v>636560.0</v>
      </c>
      <c r="X175" s="36" t="n">
        <f>20</f>
        <v>20.0</v>
      </c>
    </row>
    <row r="176">
      <c r="A176" s="27" t="s">
        <v>42</v>
      </c>
      <c r="B176" s="27" t="s">
        <v>569</v>
      </c>
      <c r="C176" s="27" t="s">
        <v>570</v>
      </c>
      <c r="D176" s="27" t="s">
        <v>571</v>
      </c>
      <c r="E176" s="28" t="s">
        <v>46</v>
      </c>
      <c r="F176" s="29" t="s">
        <v>46</v>
      </c>
      <c r="G176" s="30" t="s">
        <v>46</v>
      </c>
      <c r="H176" s="31"/>
      <c r="I176" s="31" t="s">
        <v>556</v>
      </c>
      <c r="J176" s="32" t="n">
        <v>1.0</v>
      </c>
      <c r="K176" s="33" t="n">
        <f>3500</f>
        <v>3500.0</v>
      </c>
      <c r="L176" s="34" t="s">
        <v>48</v>
      </c>
      <c r="M176" s="33" t="n">
        <f>3580</f>
        <v>3580.0</v>
      </c>
      <c r="N176" s="34" t="s">
        <v>103</v>
      </c>
      <c r="O176" s="33" t="n">
        <f>3480</f>
        <v>3480.0</v>
      </c>
      <c r="P176" s="34" t="s">
        <v>50</v>
      </c>
      <c r="Q176" s="33" t="n">
        <f>3500</f>
        <v>3500.0</v>
      </c>
      <c r="R176" s="34" t="s">
        <v>51</v>
      </c>
      <c r="S176" s="35" t="n">
        <f>3531</f>
        <v>3531.0</v>
      </c>
      <c r="T176" s="32" t="n">
        <f>11105</f>
        <v>11105.0</v>
      </c>
      <c r="U176" s="32" t="str">
        <f>"－"</f>
        <v>－</v>
      </c>
      <c r="V176" s="32" t="n">
        <f>39158345</f>
        <v>3.9158345E7</v>
      </c>
      <c r="W176" s="32" t="str">
        <f>"－"</f>
        <v>－</v>
      </c>
      <c r="X176" s="36" t="n">
        <f>20</f>
        <v>20.0</v>
      </c>
    </row>
    <row r="177">
      <c r="A177" s="27" t="s">
        <v>42</v>
      </c>
      <c r="B177" s="27" t="s">
        <v>572</v>
      </c>
      <c r="C177" s="27" t="s">
        <v>573</v>
      </c>
      <c r="D177" s="27" t="s">
        <v>574</v>
      </c>
      <c r="E177" s="28" t="s">
        <v>46</v>
      </c>
      <c r="F177" s="29" t="s">
        <v>46</v>
      </c>
      <c r="G177" s="30" t="s">
        <v>46</v>
      </c>
      <c r="H177" s="31"/>
      <c r="I177" s="31" t="s">
        <v>556</v>
      </c>
      <c r="J177" s="32" t="n">
        <v>1.0</v>
      </c>
      <c r="K177" s="33" t="n">
        <f>2089</f>
        <v>2089.0</v>
      </c>
      <c r="L177" s="34" t="s">
        <v>48</v>
      </c>
      <c r="M177" s="33" t="n">
        <f>2097</f>
        <v>2097.0</v>
      </c>
      <c r="N177" s="34" t="s">
        <v>48</v>
      </c>
      <c r="O177" s="33" t="n">
        <f>1777</f>
        <v>1777.0</v>
      </c>
      <c r="P177" s="34" t="s">
        <v>217</v>
      </c>
      <c r="Q177" s="33" t="n">
        <f>1932</f>
        <v>1932.0</v>
      </c>
      <c r="R177" s="34" t="s">
        <v>51</v>
      </c>
      <c r="S177" s="35" t="n">
        <f>1932.6</f>
        <v>1932.6</v>
      </c>
      <c r="T177" s="32" t="n">
        <f>14248548</f>
        <v>1.4248548E7</v>
      </c>
      <c r="U177" s="32" t="n">
        <f>2980</f>
        <v>2980.0</v>
      </c>
      <c r="V177" s="32" t="n">
        <f>27358777361</f>
        <v>2.7358777361E10</v>
      </c>
      <c r="W177" s="32" t="n">
        <f>5608285</f>
        <v>5608285.0</v>
      </c>
      <c r="X177" s="36" t="n">
        <f>20</f>
        <v>20.0</v>
      </c>
    </row>
    <row r="178">
      <c r="A178" s="27" t="s">
        <v>42</v>
      </c>
      <c r="B178" s="27" t="s">
        <v>575</v>
      </c>
      <c r="C178" s="27" t="s">
        <v>576</v>
      </c>
      <c r="D178" s="27" t="s">
        <v>577</v>
      </c>
      <c r="E178" s="28" t="s">
        <v>46</v>
      </c>
      <c r="F178" s="29" t="s">
        <v>46</v>
      </c>
      <c r="G178" s="30" t="s">
        <v>46</v>
      </c>
      <c r="H178" s="31"/>
      <c r="I178" s="31" t="s">
        <v>556</v>
      </c>
      <c r="J178" s="32" t="n">
        <v>1.0</v>
      </c>
      <c r="K178" s="33" t="n">
        <f>1039</f>
        <v>1039.0</v>
      </c>
      <c r="L178" s="34" t="s">
        <v>48</v>
      </c>
      <c r="M178" s="33" t="n">
        <f>1112</f>
        <v>1112.0</v>
      </c>
      <c r="N178" s="34" t="s">
        <v>217</v>
      </c>
      <c r="O178" s="33" t="n">
        <f>1034</f>
        <v>1034.0</v>
      </c>
      <c r="P178" s="34" t="s">
        <v>48</v>
      </c>
      <c r="Q178" s="33" t="n">
        <f>1065</f>
        <v>1065.0</v>
      </c>
      <c r="R178" s="34" t="s">
        <v>51</v>
      </c>
      <c r="S178" s="35" t="n">
        <f>1069.65</f>
        <v>1069.65</v>
      </c>
      <c r="T178" s="32" t="n">
        <f>1285456</f>
        <v>1285456.0</v>
      </c>
      <c r="U178" s="32" t="n">
        <f>40</f>
        <v>40.0</v>
      </c>
      <c r="V178" s="32" t="n">
        <f>1382805450</f>
        <v>1.38280545E9</v>
      </c>
      <c r="W178" s="32" t="n">
        <f>39720</f>
        <v>39720.0</v>
      </c>
      <c r="X178" s="36" t="n">
        <f>20</f>
        <v>20.0</v>
      </c>
    </row>
    <row r="179">
      <c r="A179" s="27" t="s">
        <v>42</v>
      </c>
      <c r="B179" s="27" t="s">
        <v>578</v>
      </c>
      <c r="C179" s="27" t="s">
        <v>579</v>
      </c>
      <c r="D179" s="27" t="s">
        <v>580</v>
      </c>
      <c r="E179" s="28" t="s">
        <v>46</v>
      </c>
      <c r="F179" s="29" t="s">
        <v>46</v>
      </c>
      <c r="G179" s="30" t="s">
        <v>46</v>
      </c>
      <c r="H179" s="31"/>
      <c r="I179" s="31" t="s">
        <v>556</v>
      </c>
      <c r="J179" s="32" t="n">
        <v>1.0</v>
      </c>
      <c r="K179" s="33" t="n">
        <f>22195</f>
        <v>22195.0</v>
      </c>
      <c r="L179" s="34" t="s">
        <v>48</v>
      </c>
      <c r="M179" s="33" t="n">
        <f>25020</f>
        <v>25020.0</v>
      </c>
      <c r="N179" s="34" t="s">
        <v>51</v>
      </c>
      <c r="O179" s="33" t="n">
        <f>22100</f>
        <v>22100.0</v>
      </c>
      <c r="P179" s="34" t="s">
        <v>48</v>
      </c>
      <c r="Q179" s="33" t="n">
        <f>25000</f>
        <v>25000.0</v>
      </c>
      <c r="R179" s="34" t="s">
        <v>51</v>
      </c>
      <c r="S179" s="35" t="n">
        <f>23886.5</f>
        <v>23886.5</v>
      </c>
      <c r="T179" s="32" t="n">
        <f>59657</f>
        <v>59657.0</v>
      </c>
      <c r="U179" s="32" t="n">
        <f>76</f>
        <v>76.0</v>
      </c>
      <c r="V179" s="32" t="n">
        <f>1425421235</f>
        <v>1.425421235E9</v>
      </c>
      <c r="W179" s="32" t="n">
        <f>1814370</f>
        <v>1814370.0</v>
      </c>
      <c r="X179" s="36" t="n">
        <f>20</f>
        <v>20.0</v>
      </c>
    </row>
    <row r="180">
      <c r="A180" s="27" t="s">
        <v>42</v>
      </c>
      <c r="B180" s="27" t="s">
        <v>581</v>
      </c>
      <c r="C180" s="27" t="s">
        <v>582</v>
      </c>
      <c r="D180" s="27" t="s">
        <v>583</v>
      </c>
      <c r="E180" s="28" t="s">
        <v>46</v>
      </c>
      <c r="F180" s="29" t="s">
        <v>46</v>
      </c>
      <c r="G180" s="30" t="s">
        <v>46</v>
      </c>
      <c r="H180" s="31"/>
      <c r="I180" s="31" t="s">
        <v>556</v>
      </c>
      <c r="J180" s="32" t="n">
        <v>1.0</v>
      </c>
      <c r="K180" s="33" t="n">
        <f>2980</f>
        <v>2980.0</v>
      </c>
      <c r="L180" s="34" t="s">
        <v>48</v>
      </c>
      <c r="M180" s="33" t="n">
        <f>2984</f>
        <v>2984.0</v>
      </c>
      <c r="N180" s="34" t="s">
        <v>48</v>
      </c>
      <c r="O180" s="33" t="n">
        <f>2783</f>
        <v>2783.0</v>
      </c>
      <c r="P180" s="34" t="s">
        <v>51</v>
      </c>
      <c r="Q180" s="33" t="n">
        <f>2786</f>
        <v>2786.0</v>
      </c>
      <c r="R180" s="34" t="s">
        <v>51</v>
      </c>
      <c r="S180" s="35" t="n">
        <f>2854.65</f>
        <v>2854.65</v>
      </c>
      <c r="T180" s="32" t="n">
        <f>187327</f>
        <v>187327.0</v>
      </c>
      <c r="U180" s="32" t="n">
        <f>48</f>
        <v>48.0</v>
      </c>
      <c r="V180" s="32" t="n">
        <f>535526871</f>
        <v>5.35526871E8</v>
      </c>
      <c r="W180" s="32" t="n">
        <f>137626</f>
        <v>137626.0</v>
      </c>
      <c r="X180" s="36" t="n">
        <f>20</f>
        <v>20.0</v>
      </c>
    </row>
    <row r="181">
      <c r="A181" s="27" t="s">
        <v>42</v>
      </c>
      <c r="B181" s="27" t="s">
        <v>584</v>
      </c>
      <c r="C181" s="27" t="s">
        <v>585</v>
      </c>
      <c r="D181" s="27" t="s">
        <v>586</v>
      </c>
      <c r="E181" s="28" t="s">
        <v>46</v>
      </c>
      <c r="F181" s="29" t="s">
        <v>46</v>
      </c>
      <c r="G181" s="30" t="s">
        <v>46</v>
      </c>
      <c r="H181" s="31"/>
      <c r="I181" s="31" t="s">
        <v>556</v>
      </c>
      <c r="J181" s="32" t="n">
        <v>1.0</v>
      </c>
      <c r="K181" s="33" t="n">
        <f>6998</f>
        <v>6998.0</v>
      </c>
      <c r="L181" s="34" t="s">
        <v>48</v>
      </c>
      <c r="M181" s="33" t="n">
        <f>7746</f>
        <v>7746.0</v>
      </c>
      <c r="N181" s="34" t="s">
        <v>62</v>
      </c>
      <c r="O181" s="33" t="n">
        <f>6812</f>
        <v>6812.0</v>
      </c>
      <c r="P181" s="34" t="s">
        <v>48</v>
      </c>
      <c r="Q181" s="33" t="n">
        <f>7592</f>
        <v>7592.0</v>
      </c>
      <c r="R181" s="34" t="s">
        <v>51</v>
      </c>
      <c r="S181" s="35" t="n">
        <f>7375.15</f>
        <v>7375.15</v>
      </c>
      <c r="T181" s="32" t="n">
        <f>81015</f>
        <v>81015.0</v>
      </c>
      <c r="U181" s="32" t="n">
        <f>4112</f>
        <v>4112.0</v>
      </c>
      <c r="V181" s="32" t="n">
        <f>598648788</f>
        <v>5.98648788E8</v>
      </c>
      <c r="W181" s="32" t="n">
        <f>29141580</f>
        <v>2.914158E7</v>
      </c>
      <c r="X181" s="36" t="n">
        <f>20</f>
        <v>20.0</v>
      </c>
    </row>
    <row r="182">
      <c r="A182" s="27" t="s">
        <v>42</v>
      </c>
      <c r="B182" s="27" t="s">
        <v>587</v>
      </c>
      <c r="C182" s="27" t="s">
        <v>588</v>
      </c>
      <c r="D182" s="27" t="s">
        <v>589</v>
      </c>
      <c r="E182" s="28" t="s">
        <v>46</v>
      </c>
      <c r="F182" s="29" t="s">
        <v>46</v>
      </c>
      <c r="G182" s="30" t="s">
        <v>46</v>
      </c>
      <c r="H182" s="31"/>
      <c r="I182" s="31" t="s">
        <v>556</v>
      </c>
      <c r="J182" s="32" t="n">
        <v>1.0</v>
      </c>
      <c r="K182" s="33" t="n">
        <f>17420</f>
        <v>17420.0</v>
      </c>
      <c r="L182" s="34" t="s">
        <v>48</v>
      </c>
      <c r="M182" s="33" t="n">
        <f>17800</f>
        <v>17800.0</v>
      </c>
      <c r="N182" s="34" t="s">
        <v>217</v>
      </c>
      <c r="O182" s="33" t="n">
        <f>16990</f>
        <v>16990.0</v>
      </c>
      <c r="P182" s="34" t="s">
        <v>116</v>
      </c>
      <c r="Q182" s="33" t="n">
        <f>17530</f>
        <v>17530.0</v>
      </c>
      <c r="R182" s="34" t="s">
        <v>51</v>
      </c>
      <c r="S182" s="35" t="n">
        <f>17555.33</f>
        <v>17555.33</v>
      </c>
      <c r="T182" s="32" t="n">
        <f>217</f>
        <v>217.0</v>
      </c>
      <c r="U182" s="32" t="str">
        <f>"－"</f>
        <v>－</v>
      </c>
      <c r="V182" s="32" t="n">
        <f>3788680</f>
        <v>3788680.0</v>
      </c>
      <c r="W182" s="32" t="str">
        <f>"－"</f>
        <v>－</v>
      </c>
      <c r="X182" s="36" t="n">
        <f>15</f>
        <v>15.0</v>
      </c>
    </row>
    <row r="183">
      <c r="A183" s="27" t="s">
        <v>42</v>
      </c>
      <c r="B183" s="27" t="s">
        <v>590</v>
      </c>
      <c r="C183" s="27" t="s">
        <v>591</v>
      </c>
      <c r="D183" s="27" t="s">
        <v>592</v>
      </c>
      <c r="E183" s="28" t="s">
        <v>46</v>
      </c>
      <c r="F183" s="29" t="s">
        <v>46</v>
      </c>
      <c r="G183" s="30" t="s">
        <v>46</v>
      </c>
      <c r="H183" s="31"/>
      <c r="I183" s="31" t="s">
        <v>556</v>
      </c>
      <c r="J183" s="32" t="n">
        <v>1.0</v>
      </c>
      <c r="K183" s="33" t="n">
        <f>24315</f>
        <v>24315.0</v>
      </c>
      <c r="L183" s="34" t="s">
        <v>48</v>
      </c>
      <c r="M183" s="33" t="n">
        <f>25550</f>
        <v>25550.0</v>
      </c>
      <c r="N183" s="34" t="s">
        <v>79</v>
      </c>
      <c r="O183" s="33" t="n">
        <f>24315</f>
        <v>24315.0</v>
      </c>
      <c r="P183" s="34" t="s">
        <v>48</v>
      </c>
      <c r="Q183" s="33" t="n">
        <f>25000</f>
        <v>25000.0</v>
      </c>
      <c r="R183" s="34" t="s">
        <v>51</v>
      </c>
      <c r="S183" s="35" t="n">
        <f>25055</f>
        <v>25055.0</v>
      </c>
      <c r="T183" s="32" t="n">
        <f>15224</f>
        <v>15224.0</v>
      </c>
      <c r="U183" s="32" t="str">
        <f>"－"</f>
        <v>－</v>
      </c>
      <c r="V183" s="32" t="n">
        <f>381795205</f>
        <v>3.81795205E8</v>
      </c>
      <c r="W183" s="32" t="str">
        <f>"－"</f>
        <v>－</v>
      </c>
      <c r="X183" s="36" t="n">
        <f>20</f>
        <v>20.0</v>
      </c>
    </row>
    <row r="184">
      <c r="A184" s="27" t="s">
        <v>42</v>
      </c>
      <c r="B184" s="27" t="s">
        <v>593</v>
      </c>
      <c r="C184" s="27" t="s">
        <v>594</v>
      </c>
      <c r="D184" s="27" t="s">
        <v>595</v>
      </c>
      <c r="E184" s="28" t="s">
        <v>46</v>
      </c>
      <c r="F184" s="29" t="s">
        <v>46</v>
      </c>
      <c r="G184" s="30" t="s">
        <v>46</v>
      </c>
      <c r="H184" s="31"/>
      <c r="I184" s="31" t="s">
        <v>556</v>
      </c>
      <c r="J184" s="32" t="n">
        <v>1.0</v>
      </c>
      <c r="K184" s="33" t="n">
        <f>14700</f>
        <v>14700.0</v>
      </c>
      <c r="L184" s="34" t="s">
        <v>48</v>
      </c>
      <c r="M184" s="33" t="n">
        <f>16100</f>
        <v>16100.0</v>
      </c>
      <c r="N184" s="34" t="s">
        <v>132</v>
      </c>
      <c r="O184" s="33" t="n">
        <f>14700</f>
        <v>14700.0</v>
      </c>
      <c r="P184" s="34" t="s">
        <v>48</v>
      </c>
      <c r="Q184" s="33" t="n">
        <f>15835</f>
        <v>15835.0</v>
      </c>
      <c r="R184" s="34" t="s">
        <v>51</v>
      </c>
      <c r="S184" s="35" t="n">
        <f>15597.86</f>
        <v>15597.86</v>
      </c>
      <c r="T184" s="32" t="n">
        <f>457</f>
        <v>457.0</v>
      </c>
      <c r="U184" s="32" t="str">
        <f>"－"</f>
        <v>－</v>
      </c>
      <c r="V184" s="32" t="n">
        <f>7110795</f>
        <v>7110795.0</v>
      </c>
      <c r="W184" s="32" t="str">
        <f>"－"</f>
        <v>－</v>
      </c>
      <c r="X184" s="36" t="n">
        <f>14</f>
        <v>14.0</v>
      </c>
    </row>
    <row r="185">
      <c r="A185" s="27" t="s">
        <v>42</v>
      </c>
      <c r="B185" s="27" t="s">
        <v>596</v>
      </c>
      <c r="C185" s="27" t="s">
        <v>597</v>
      </c>
      <c r="D185" s="27" t="s">
        <v>598</v>
      </c>
      <c r="E185" s="28" t="s">
        <v>46</v>
      </c>
      <c r="F185" s="29" t="s">
        <v>46</v>
      </c>
      <c r="G185" s="30" t="s">
        <v>46</v>
      </c>
      <c r="H185" s="31"/>
      <c r="I185" s="31" t="s">
        <v>556</v>
      </c>
      <c r="J185" s="32" t="n">
        <v>1.0</v>
      </c>
      <c r="K185" s="33" t="n">
        <f>22300</f>
        <v>22300.0</v>
      </c>
      <c r="L185" s="34" t="s">
        <v>48</v>
      </c>
      <c r="M185" s="33" t="n">
        <f>23485</f>
        <v>23485.0</v>
      </c>
      <c r="N185" s="34" t="s">
        <v>217</v>
      </c>
      <c r="O185" s="33" t="n">
        <f>21610</f>
        <v>21610.0</v>
      </c>
      <c r="P185" s="34" t="s">
        <v>116</v>
      </c>
      <c r="Q185" s="33" t="n">
        <f>23290</f>
        <v>23290.0</v>
      </c>
      <c r="R185" s="34" t="s">
        <v>51</v>
      </c>
      <c r="S185" s="35" t="n">
        <f>22861</f>
        <v>22861.0</v>
      </c>
      <c r="T185" s="32" t="n">
        <f>33606</f>
        <v>33606.0</v>
      </c>
      <c r="U185" s="32" t="str">
        <f>"－"</f>
        <v>－</v>
      </c>
      <c r="V185" s="32" t="n">
        <f>765952485</f>
        <v>7.65952485E8</v>
      </c>
      <c r="W185" s="32" t="str">
        <f>"－"</f>
        <v>－</v>
      </c>
      <c r="X185" s="36" t="n">
        <f>20</f>
        <v>20.0</v>
      </c>
    </row>
    <row r="186">
      <c r="A186" s="27" t="s">
        <v>42</v>
      </c>
      <c r="B186" s="27" t="s">
        <v>599</v>
      </c>
      <c r="C186" s="27" t="s">
        <v>600</v>
      </c>
      <c r="D186" s="27" t="s">
        <v>601</v>
      </c>
      <c r="E186" s="28" t="s">
        <v>46</v>
      </c>
      <c r="F186" s="29" t="s">
        <v>46</v>
      </c>
      <c r="G186" s="30" t="s">
        <v>46</v>
      </c>
      <c r="H186" s="31"/>
      <c r="I186" s="31" t="s">
        <v>556</v>
      </c>
      <c r="J186" s="32" t="n">
        <v>1.0</v>
      </c>
      <c r="K186" s="33" t="n">
        <f>4530</f>
        <v>4530.0</v>
      </c>
      <c r="L186" s="34" t="s">
        <v>48</v>
      </c>
      <c r="M186" s="33" t="n">
        <f>4545</f>
        <v>4545.0</v>
      </c>
      <c r="N186" s="34" t="s">
        <v>48</v>
      </c>
      <c r="O186" s="33" t="n">
        <f>4115</f>
        <v>4115.0</v>
      </c>
      <c r="P186" s="34" t="s">
        <v>51</v>
      </c>
      <c r="Q186" s="33" t="n">
        <f>4155</f>
        <v>4155.0</v>
      </c>
      <c r="R186" s="34" t="s">
        <v>51</v>
      </c>
      <c r="S186" s="35" t="n">
        <f>4341</f>
        <v>4341.0</v>
      </c>
      <c r="T186" s="32" t="n">
        <f>4022</f>
        <v>4022.0</v>
      </c>
      <c r="U186" s="32" t="str">
        <f>"－"</f>
        <v>－</v>
      </c>
      <c r="V186" s="32" t="n">
        <f>17314110</f>
        <v>1.731411E7</v>
      </c>
      <c r="W186" s="32" t="str">
        <f>"－"</f>
        <v>－</v>
      </c>
      <c r="X186" s="36" t="n">
        <f>20</f>
        <v>20.0</v>
      </c>
    </row>
    <row r="187">
      <c r="A187" s="27" t="s">
        <v>42</v>
      </c>
      <c r="B187" s="27" t="s">
        <v>602</v>
      </c>
      <c r="C187" s="27" t="s">
        <v>603</v>
      </c>
      <c r="D187" s="27" t="s">
        <v>604</v>
      </c>
      <c r="E187" s="28" t="s">
        <v>46</v>
      </c>
      <c r="F187" s="29" t="s">
        <v>46</v>
      </c>
      <c r="G187" s="30" t="s">
        <v>46</v>
      </c>
      <c r="H187" s="31"/>
      <c r="I187" s="31" t="s">
        <v>556</v>
      </c>
      <c r="J187" s="32" t="n">
        <v>1.0</v>
      </c>
      <c r="K187" s="33" t="n">
        <f>24000</f>
        <v>24000.0</v>
      </c>
      <c r="L187" s="34" t="s">
        <v>48</v>
      </c>
      <c r="M187" s="33" t="n">
        <f>24710</f>
        <v>24710.0</v>
      </c>
      <c r="N187" s="34" t="s">
        <v>62</v>
      </c>
      <c r="O187" s="33" t="n">
        <f>23525</f>
        <v>23525.0</v>
      </c>
      <c r="P187" s="34" t="s">
        <v>103</v>
      </c>
      <c r="Q187" s="33" t="n">
        <f>23750</f>
        <v>23750.0</v>
      </c>
      <c r="R187" s="34" t="s">
        <v>51</v>
      </c>
      <c r="S187" s="35" t="n">
        <f>24169</f>
        <v>24169.0</v>
      </c>
      <c r="T187" s="32" t="n">
        <f>763</f>
        <v>763.0</v>
      </c>
      <c r="U187" s="32" t="str">
        <f>"－"</f>
        <v>－</v>
      </c>
      <c r="V187" s="32" t="n">
        <f>18480895</f>
        <v>1.8480895E7</v>
      </c>
      <c r="W187" s="32" t="str">
        <f>"－"</f>
        <v>－</v>
      </c>
      <c r="X187" s="36" t="n">
        <f>15</f>
        <v>15.0</v>
      </c>
    </row>
    <row r="188">
      <c r="A188" s="27" t="s">
        <v>42</v>
      </c>
      <c r="B188" s="27" t="s">
        <v>605</v>
      </c>
      <c r="C188" s="27" t="s">
        <v>606</v>
      </c>
      <c r="D188" s="27" t="s">
        <v>607</v>
      </c>
      <c r="E188" s="28" t="s">
        <v>46</v>
      </c>
      <c r="F188" s="29" t="s">
        <v>46</v>
      </c>
      <c r="G188" s="30" t="s">
        <v>46</v>
      </c>
      <c r="H188" s="31"/>
      <c r="I188" s="31" t="s">
        <v>556</v>
      </c>
      <c r="J188" s="32" t="n">
        <v>1.0</v>
      </c>
      <c r="K188" s="33" t="n">
        <f>15815</f>
        <v>15815.0</v>
      </c>
      <c r="L188" s="34" t="s">
        <v>48</v>
      </c>
      <c r="M188" s="33" t="n">
        <f>16305</f>
        <v>16305.0</v>
      </c>
      <c r="N188" s="34" t="s">
        <v>89</v>
      </c>
      <c r="O188" s="33" t="n">
        <f>15815</f>
        <v>15815.0</v>
      </c>
      <c r="P188" s="34" t="s">
        <v>48</v>
      </c>
      <c r="Q188" s="33" t="n">
        <f>16305</f>
        <v>16305.0</v>
      </c>
      <c r="R188" s="34" t="s">
        <v>89</v>
      </c>
      <c r="S188" s="35" t="n">
        <f>16037.5</f>
        <v>16037.5</v>
      </c>
      <c r="T188" s="32" t="n">
        <f>33</f>
        <v>33.0</v>
      </c>
      <c r="U188" s="32" t="str">
        <f>"－"</f>
        <v>－</v>
      </c>
      <c r="V188" s="32" t="n">
        <f>530075</f>
        <v>530075.0</v>
      </c>
      <c r="W188" s="32" t="str">
        <f>"－"</f>
        <v>－</v>
      </c>
      <c r="X188" s="36" t="n">
        <f>6</f>
        <v>6.0</v>
      </c>
    </row>
    <row r="189">
      <c r="A189" s="27" t="s">
        <v>42</v>
      </c>
      <c r="B189" s="27" t="s">
        <v>608</v>
      </c>
      <c r="C189" s="27" t="s">
        <v>609</v>
      </c>
      <c r="D189" s="27" t="s">
        <v>610</v>
      </c>
      <c r="E189" s="28" t="s">
        <v>46</v>
      </c>
      <c r="F189" s="29" t="s">
        <v>46</v>
      </c>
      <c r="G189" s="30" t="s">
        <v>46</v>
      </c>
      <c r="H189" s="31"/>
      <c r="I189" s="31" t="s">
        <v>556</v>
      </c>
      <c r="J189" s="32" t="n">
        <v>1.0</v>
      </c>
      <c r="K189" s="33" t="n">
        <f>28120</f>
        <v>28120.0</v>
      </c>
      <c r="L189" s="34" t="s">
        <v>48</v>
      </c>
      <c r="M189" s="33" t="n">
        <f>28405</f>
        <v>28405.0</v>
      </c>
      <c r="N189" s="34" t="s">
        <v>116</v>
      </c>
      <c r="O189" s="33" t="n">
        <f>27200</f>
        <v>27200.0</v>
      </c>
      <c r="P189" s="34" t="s">
        <v>103</v>
      </c>
      <c r="Q189" s="33" t="n">
        <f>28135</f>
        <v>28135.0</v>
      </c>
      <c r="R189" s="34" t="s">
        <v>62</v>
      </c>
      <c r="S189" s="35" t="n">
        <f>27846.54</f>
        <v>27846.54</v>
      </c>
      <c r="T189" s="32" t="n">
        <f>138</f>
        <v>138.0</v>
      </c>
      <c r="U189" s="32" t="str">
        <f>"－"</f>
        <v>－</v>
      </c>
      <c r="V189" s="32" t="n">
        <f>3834575</f>
        <v>3834575.0</v>
      </c>
      <c r="W189" s="32" t="str">
        <f>"－"</f>
        <v>－</v>
      </c>
      <c r="X189" s="36" t="n">
        <f>13</f>
        <v>13.0</v>
      </c>
    </row>
    <row r="190">
      <c r="A190" s="27" t="s">
        <v>42</v>
      </c>
      <c r="B190" s="27" t="s">
        <v>611</v>
      </c>
      <c r="C190" s="27" t="s">
        <v>612</v>
      </c>
      <c r="D190" s="27" t="s">
        <v>613</v>
      </c>
      <c r="E190" s="28" t="s">
        <v>46</v>
      </c>
      <c r="F190" s="29" t="s">
        <v>46</v>
      </c>
      <c r="G190" s="30" t="s">
        <v>46</v>
      </c>
      <c r="H190" s="31"/>
      <c r="I190" s="31" t="s">
        <v>556</v>
      </c>
      <c r="J190" s="32" t="n">
        <v>1.0</v>
      </c>
      <c r="K190" s="33" t="n">
        <f>18655</f>
        <v>18655.0</v>
      </c>
      <c r="L190" s="34" t="s">
        <v>50</v>
      </c>
      <c r="M190" s="33" t="n">
        <f>18840</f>
        <v>18840.0</v>
      </c>
      <c r="N190" s="34" t="s">
        <v>49</v>
      </c>
      <c r="O190" s="33" t="n">
        <f>18655</f>
        <v>18655.0</v>
      </c>
      <c r="P190" s="34" t="s">
        <v>50</v>
      </c>
      <c r="Q190" s="33" t="n">
        <f>18840</f>
        <v>18840.0</v>
      </c>
      <c r="R190" s="34" t="s">
        <v>49</v>
      </c>
      <c r="S190" s="35" t="n">
        <f>18747.5</f>
        <v>18747.5</v>
      </c>
      <c r="T190" s="32" t="n">
        <f>4</f>
        <v>4.0</v>
      </c>
      <c r="U190" s="32" t="str">
        <f>"－"</f>
        <v>－</v>
      </c>
      <c r="V190" s="32" t="n">
        <f>75175</f>
        <v>75175.0</v>
      </c>
      <c r="W190" s="32" t="str">
        <f>"－"</f>
        <v>－</v>
      </c>
      <c r="X190" s="36" t="n">
        <f>2</f>
        <v>2.0</v>
      </c>
    </row>
    <row r="191">
      <c r="A191" s="27" t="s">
        <v>42</v>
      </c>
      <c r="B191" s="27" t="s">
        <v>614</v>
      </c>
      <c r="C191" s="27" t="s">
        <v>615</v>
      </c>
      <c r="D191" s="27" t="s">
        <v>616</v>
      </c>
      <c r="E191" s="28" t="s">
        <v>46</v>
      </c>
      <c r="F191" s="29" t="s">
        <v>46</v>
      </c>
      <c r="G191" s="30" t="s">
        <v>46</v>
      </c>
      <c r="H191" s="31"/>
      <c r="I191" s="31" t="s">
        <v>556</v>
      </c>
      <c r="J191" s="32" t="n">
        <v>1.0</v>
      </c>
      <c r="K191" s="33" t="n">
        <f>16085</f>
        <v>16085.0</v>
      </c>
      <c r="L191" s="34" t="s">
        <v>48</v>
      </c>
      <c r="M191" s="33" t="n">
        <f>16870</f>
        <v>16870.0</v>
      </c>
      <c r="N191" s="34" t="s">
        <v>49</v>
      </c>
      <c r="O191" s="33" t="n">
        <f>16085</f>
        <v>16085.0</v>
      </c>
      <c r="P191" s="34" t="s">
        <v>48</v>
      </c>
      <c r="Q191" s="33" t="n">
        <f>16540</f>
        <v>16540.0</v>
      </c>
      <c r="R191" s="34" t="s">
        <v>51</v>
      </c>
      <c r="S191" s="35" t="n">
        <f>16544.44</f>
        <v>16544.44</v>
      </c>
      <c r="T191" s="32" t="n">
        <f>535</f>
        <v>535.0</v>
      </c>
      <c r="U191" s="32" t="n">
        <f>3</f>
        <v>3.0</v>
      </c>
      <c r="V191" s="32" t="n">
        <f>8866980</f>
        <v>8866980.0</v>
      </c>
      <c r="W191" s="32" t="n">
        <f>49855</f>
        <v>49855.0</v>
      </c>
      <c r="X191" s="36" t="n">
        <f>18</f>
        <v>18.0</v>
      </c>
    </row>
    <row r="192">
      <c r="A192" s="27" t="s">
        <v>42</v>
      </c>
      <c r="B192" s="27" t="s">
        <v>617</v>
      </c>
      <c r="C192" s="27" t="s">
        <v>618</v>
      </c>
      <c r="D192" s="27" t="s">
        <v>619</v>
      </c>
      <c r="E192" s="28" t="s">
        <v>46</v>
      </c>
      <c r="F192" s="29" t="s">
        <v>46</v>
      </c>
      <c r="G192" s="30" t="s">
        <v>46</v>
      </c>
      <c r="H192" s="31"/>
      <c r="I192" s="31" t="s">
        <v>556</v>
      </c>
      <c r="J192" s="32" t="n">
        <v>1.0</v>
      </c>
      <c r="K192" s="33" t="n">
        <f>18845</f>
        <v>18845.0</v>
      </c>
      <c r="L192" s="34" t="s">
        <v>48</v>
      </c>
      <c r="M192" s="33" t="n">
        <f>18845</f>
        <v>18845.0</v>
      </c>
      <c r="N192" s="34" t="s">
        <v>48</v>
      </c>
      <c r="O192" s="33" t="n">
        <f>18845</f>
        <v>18845.0</v>
      </c>
      <c r="P192" s="34" t="s">
        <v>48</v>
      </c>
      <c r="Q192" s="33" t="n">
        <f>18845</f>
        <v>18845.0</v>
      </c>
      <c r="R192" s="34" t="s">
        <v>48</v>
      </c>
      <c r="S192" s="35" t="n">
        <f>18845</f>
        <v>18845.0</v>
      </c>
      <c r="T192" s="32" t="n">
        <f>1</f>
        <v>1.0</v>
      </c>
      <c r="U192" s="32" t="str">
        <f>"－"</f>
        <v>－</v>
      </c>
      <c r="V192" s="32" t="n">
        <f>18845</f>
        <v>18845.0</v>
      </c>
      <c r="W192" s="32" t="str">
        <f>"－"</f>
        <v>－</v>
      </c>
      <c r="X192" s="36" t="n">
        <f>1</f>
        <v>1.0</v>
      </c>
    </row>
    <row r="193">
      <c r="A193" s="27" t="s">
        <v>42</v>
      </c>
      <c r="B193" s="27" t="s">
        <v>620</v>
      </c>
      <c r="C193" s="27" t="s">
        <v>621</v>
      </c>
      <c r="D193" s="27" t="s">
        <v>622</v>
      </c>
      <c r="E193" s="28" t="s">
        <v>46</v>
      </c>
      <c r="F193" s="29" t="s">
        <v>46</v>
      </c>
      <c r="G193" s="30" t="s">
        <v>46</v>
      </c>
      <c r="H193" s="31"/>
      <c r="I193" s="31" t="s">
        <v>556</v>
      </c>
      <c r="J193" s="32" t="n">
        <v>1.0</v>
      </c>
      <c r="K193" s="33" t="str">
        <f>"－"</f>
        <v>－</v>
      </c>
      <c r="L193" s="34"/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5" t="str">
        <f>"－"</f>
        <v>－</v>
      </c>
      <c r="T193" s="32" t="str">
        <f>"－"</f>
        <v>－</v>
      </c>
      <c r="U193" s="32" t="str">
        <f>"－"</f>
        <v>－</v>
      </c>
      <c r="V193" s="32" t="str">
        <f>"－"</f>
        <v>－</v>
      </c>
      <c r="W193" s="32" t="str">
        <f>"－"</f>
        <v>－</v>
      </c>
      <c r="X193" s="36" t="str">
        <f>"－"</f>
        <v>－</v>
      </c>
    </row>
    <row r="194">
      <c r="A194" s="27" t="s">
        <v>42</v>
      </c>
      <c r="B194" s="27" t="s">
        <v>623</v>
      </c>
      <c r="C194" s="27" t="s">
        <v>624</v>
      </c>
      <c r="D194" s="27" t="s">
        <v>625</v>
      </c>
      <c r="E194" s="28" t="s">
        <v>46</v>
      </c>
      <c r="F194" s="29" t="s">
        <v>46</v>
      </c>
      <c r="G194" s="30" t="s">
        <v>46</v>
      </c>
      <c r="H194" s="31"/>
      <c r="I194" s="31" t="s">
        <v>556</v>
      </c>
      <c r="J194" s="32" t="n">
        <v>1.0</v>
      </c>
      <c r="K194" s="33" t="n">
        <f>10425</f>
        <v>10425.0</v>
      </c>
      <c r="L194" s="34" t="s">
        <v>531</v>
      </c>
      <c r="M194" s="33" t="n">
        <f>10735</f>
        <v>10735.0</v>
      </c>
      <c r="N194" s="34" t="s">
        <v>62</v>
      </c>
      <c r="O194" s="33" t="n">
        <f>10300</f>
        <v>10300.0</v>
      </c>
      <c r="P194" s="34" t="s">
        <v>50</v>
      </c>
      <c r="Q194" s="33" t="n">
        <f>10595</f>
        <v>10595.0</v>
      </c>
      <c r="R194" s="34" t="s">
        <v>51</v>
      </c>
      <c r="S194" s="35" t="n">
        <f>10496.11</f>
        <v>10496.11</v>
      </c>
      <c r="T194" s="32" t="n">
        <f>4752</f>
        <v>4752.0</v>
      </c>
      <c r="U194" s="32" t="str">
        <f>"－"</f>
        <v>－</v>
      </c>
      <c r="V194" s="32" t="n">
        <f>49972220</f>
        <v>4.997222E7</v>
      </c>
      <c r="W194" s="32" t="str">
        <f>"－"</f>
        <v>－</v>
      </c>
      <c r="X194" s="36" t="n">
        <f>9</f>
        <v>9.0</v>
      </c>
    </row>
    <row r="195">
      <c r="A195" s="27" t="s">
        <v>42</v>
      </c>
      <c r="B195" s="27" t="s">
        <v>626</v>
      </c>
      <c r="C195" s="27" t="s">
        <v>627</v>
      </c>
      <c r="D195" s="27" t="s">
        <v>628</v>
      </c>
      <c r="E195" s="28" t="s">
        <v>46</v>
      </c>
      <c r="F195" s="29" t="s">
        <v>46</v>
      </c>
      <c r="G195" s="30" t="s">
        <v>46</v>
      </c>
      <c r="H195" s="31"/>
      <c r="I195" s="31" t="s">
        <v>556</v>
      </c>
      <c r="J195" s="32" t="n">
        <v>1.0</v>
      </c>
      <c r="K195" s="33" t="n">
        <f>11320</f>
        <v>11320.0</v>
      </c>
      <c r="L195" s="34" t="s">
        <v>116</v>
      </c>
      <c r="M195" s="33" t="n">
        <f>12165</f>
        <v>12165.0</v>
      </c>
      <c r="N195" s="34" t="s">
        <v>62</v>
      </c>
      <c r="O195" s="33" t="n">
        <f>11320</f>
        <v>11320.0</v>
      </c>
      <c r="P195" s="34" t="s">
        <v>116</v>
      </c>
      <c r="Q195" s="33" t="n">
        <f>12100</f>
        <v>12100.0</v>
      </c>
      <c r="R195" s="34" t="s">
        <v>51</v>
      </c>
      <c r="S195" s="35" t="n">
        <f>11829.74</f>
        <v>11829.74</v>
      </c>
      <c r="T195" s="32" t="n">
        <f>28712</f>
        <v>28712.0</v>
      </c>
      <c r="U195" s="32" t="str">
        <f>"－"</f>
        <v>－</v>
      </c>
      <c r="V195" s="32" t="n">
        <f>340779060</f>
        <v>3.4077906E8</v>
      </c>
      <c r="W195" s="32" t="str">
        <f>"－"</f>
        <v>－</v>
      </c>
      <c r="X195" s="36" t="n">
        <f>19</f>
        <v>19.0</v>
      </c>
    </row>
    <row r="196">
      <c r="A196" s="27" t="s">
        <v>42</v>
      </c>
      <c r="B196" s="27" t="s">
        <v>629</v>
      </c>
      <c r="C196" s="27" t="s">
        <v>630</v>
      </c>
      <c r="D196" s="27" t="s">
        <v>631</v>
      </c>
      <c r="E196" s="28" t="s">
        <v>46</v>
      </c>
      <c r="F196" s="29" t="s">
        <v>46</v>
      </c>
      <c r="G196" s="30" t="s">
        <v>46</v>
      </c>
      <c r="H196" s="31"/>
      <c r="I196" s="31" t="s">
        <v>556</v>
      </c>
      <c r="J196" s="32" t="n">
        <v>1.0</v>
      </c>
      <c r="K196" s="33" t="n">
        <f>11180</f>
        <v>11180.0</v>
      </c>
      <c r="L196" s="34" t="s">
        <v>61</v>
      </c>
      <c r="M196" s="33" t="n">
        <f>11410</f>
        <v>11410.0</v>
      </c>
      <c r="N196" s="34" t="s">
        <v>293</v>
      </c>
      <c r="O196" s="33" t="n">
        <f>11040</f>
        <v>11040.0</v>
      </c>
      <c r="P196" s="34" t="s">
        <v>103</v>
      </c>
      <c r="Q196" s="33" t="n">
        <f>11365</f>
        <v>11365.0</v>
      </c>
      <c r="R196" s="34" t="s">
        <v>51</v>
      </c>
      <c r="S196" s="35" t="n">
        <f>11277.5</f>
        <v>11277.5</v>
      </c>
      <c r="T196" s="32" t="n">
        <f>4686</f>
        <v>4686.0</v>
      </c>
      <c r="U196" s="32" t="str">
        <f>"－"</f>
        <v>－</v>
      </c>
      <c r="V196" s="32" t="n">
        <f>52703370</f>
        <v>5.270337E7</v>
      </c>
      <c r="W196" s="32" t="str">
        <f>"－"</f>
        <v>－</v>
      </c>
      <c r="X196" s="36" t="n">
        <f>10</f>
        <v>10.0</v>
      </c>
    </row>
    <row r="197">
      <c r="A197" s="27" t="s">
        <v>42</v>
      </c>
      <c r="B197" s="27" t="s">
        <v>632</v>
      </c>
      <c r="C197" s="27" t="s">
        <v>633</v>
      </c>
      <c r="D197" s="27" t="s">
        <v>634</v>
      </c>
      <c r="E197" s="28" t="s">
        <v>46</v>
      </c>
      <c r="F197" s="29" t="s">
        <v>46</v>
      </c>
      <c r="G197" s="30" t="s">
        <v>46</v>
      </c>
      <c r="H197" s="31"/>
      <c r="I197" s="31" t="s">
        <v>556</v>
      </c>
      <c r="J197" s="32" t="n">
        <v>1.0</v>
      </c>
      <c r="K197" s="33" t="n">
        <f>11515</f>
        <v>11515.0</v>
      </c>
      <c r="L197" s="34" t="s">
        <v>49</v>
      </c>
      <c r="M197" s="33" t="n">
        <f>11775</f>
        <v>11775.0</v>
      </c>
      <c r="N197" s="34" t="s">
        <v>51</v>
      </c>
      <c r="O197" s="33" t="n">
        <f>11515</f>
        <v>11515.0</v>
      </c>
      <c r="P197" s="34" t="s">
        <v>49</v>
      </c>
      <c r="Q197" s="33" t="n">
        <f>11775</f>
        <v>11775.0</v>
      </c>
      <c r="R197" s="34" t="s">
        <v>51</v>
      </c>
      <c r="S197" s="35" t="n">
        <f>11657.5</f>
        <v>11657.5</v>
      </c>
      <c r="T197" s="32" t="n">
        <f>404</f>
        <v>404.0</v>
      </c>
      <c r="U197" s="32" t="str">
        <f>"－"</f>
        <v>－</v>
      </c>
      <c r="V197" s="32" t="n">
        <f>4756135</f>
        <v>4756135.0</v>
      </c>
      <c r="W197" s="32" t="str">
        <f>"－"</f>
        <v>－</v>
      </c>
      <c r="X197" s="36" t="n">
        <f>2</f>
        <v>2.0</v>
      </c>
    </row>
    <row r="198">
      <c r="A198" s="27" t="s">
        <v>42</v>
      </c>
      <c r="B198" s="27" t="s">
        <v>635</v>
      </c>
      <c r="C198" s="27" t="s">
        <v>636</v>
      </c>
      <c r="D198" s="27" t="s">
        <v>637</v>
      </c>
      <c r="E198" s="28" t="s">
        <v>46</v>
      </c>
      <c r="F198" s="29" t="s">
        <v>46</v>
      </c>
      <c r="G198" s="30" t="s">
        <v>46</v>
      </c>
      <c r="H198" s="31"/>
      <c r="I198" s="31" t="s">
        <v>47</v>
      </c>
      <c r="J198" s="32" t="n">
        <v>1.0</v>
      </c>
      <c r="K198" s="33" t="n">
        <f>1006</f>
        <v>1006.0</v>
      </c>
      <c r="L198" s="34" t="s">
        <v>48</v>
      </c>
      <c r="M198" s="33" t="n">
        <f>1030</f>
        <v>1030.0</v>
      </c>
      <c r="N198" s="34" t="s">
        <v>116</v>
      </c>
      <c r="O198" s="33" t="n">
        <f>969</f>
        <v>969.0</v>
      </c>
      <c r="P198" s="34" t="s">
        <v>103</v>
      </c>
      <c r="Q198" s="33" t="n">
        <f>1011</f>
        <v>1011.0</v>
      </c>
      <c r="R198" s="34" t="s">
        <v>51</v>
      </c>
      <c r="S198" s="35" t="n">
        <f>1007.75</f>
        <v>1007.75</v>
      </c>
      <c r="T198" s="32" t="n">
        <f>10995553</f>
        <v>1.0995553E7</v>
      </c>
      <c r="U198" s="32" t="n">
        <f>443697</f>
        <v>443697.0</v>
      </c>
      <c r="V198" s="32" t="n">
        <f>11065855909</f>
        <v>1.1065855909E10</v>
      </c>
      <c r="W198" s="32" t="n">
        <f>447888270</f>
        <v>4.4788827E8</v>
      </c>
      <c r="X198" s="36" t="n">
        <f>20</f>
        <v>20.0</v>
      </c>
    </row>
    <row r="199">
      <c r="A199" s="27" t="s">
        <v>42</v>
      </c>
      <c r="B199" s="27" t="s">
        <v>638</v>
      </c>
      <c r="C199" s="27" t="s">
        <v>639</v>
      </c>
      <c r="D199" s="27" t="s">
        <v>640</v>
      </c>
      <c r="E199" s="28" t="s">
        <v>46</v>
      </c>
      <c r="F199" s="29" t="s">
        <v>46</v>
      </c>
      <c r="G199" s="30" t="s">
        <v>46</v>
      </c>
      <c r="H199" s="31"/>
      <c r="I199" s="31" t="s">
        <v>47</v>
      </c>
      <c r="J199" s="32" t="n">
        <v>1.0</v>
      </c>
      <c r="K199" s="33" t="n">
        <f>985</f>
        <v>985.0</v>
      </c>
      <c r="L199" s="34" t="s">
        <v>48</v>
      </c>
      <c r="M199" s="33" t="n">
        <f>1021</f>
        <v>1021.0</v>
      </c>
      <c r="N199" s="34" t="s">
        <v>49</v>
      </c>
      <c r="O199" s="33" t="n">
        <f>967</f>
        <v>967.0</v>
      </c>
      <c r="P199" s="34" t="s">
        <v>103</v>
      </c>
      <c r="Q199" s="33" t="n">
        <f>1007</f>
        <v>1007.0</v>
      </c>
      <c r="R199" s="34" t="s">
        <v>51</v>
      </c>
      <c r="S199" s="35" t="n">
        <f>1002.6</f>
        <v>1002.6</v>
      </c>
      <c r="T199" s="32" t="n">
        <f>211664</f>
        <v>211664.0</v>
      </c>
      <c r="U199" s="32" t="str">
        <f>"－"</f>
        <v>－</v>
      </c>
      <c r="V199" s="32" t="n">
        <f>214253359</f>
        <v>2.14253359E8</v>
      </c>
      <c r="W199" s="32" t="str">
        <f>"－"</f>
        <v>－</v>
      </c>
      <c r="X199" s="36" t="n">
        <f>20</f>
        <v>20.0</v>
      </c>
    </row>
    <row r="200">
      <c r="A200" s="27" t="s">
        <v>42</v>
      </c>
      <c r="B200" s="27" t="s">
        <v>641</v>
      </c>
      <c r="C200" s="27" t="s">
        <v>642</v>
      </c>
      <c r="D200" s="27" t="s">
        <v>643</v>
      </c>
      <c r="E200" s="28" t="s">
        <v>46</v>
      </c>
      <c r="F200" s="29" t="s">
        <v>46</v>
      </c>
      <c r="G200" s="30" t="s">
        <v>46</v>
      </c>
      <c r="H200" s="31"/>
      <c r="I200" s="31" t="s">
        <v>47</v>
      </c>
      <c r="J200" s="32" t="n">
        <v>1.0</v>
      </c>
      <c r="K200" s="33" t="n">
        <f>917</f>
        <v>917.0</v>
      </c>
      <c r="L200" s="34" t="s">
        <v>48</v>
      </c>
      <c r="M200" s="33" t="n">
        <f>977</f>
        <v>977.0</v>
      </c>
      <c r="N200" s="34" t="s">
        <v>89</v>
      </c>
      <c r="O200" s="33" t="n">
        <f>912</f>
        <v>912.0</v>
      </c>
      <c r="P200" s="34" t="s">
        <v>48</v>
      </c>
      <c r="Q200" s="33" t="n">
        <f>971</f>
        <v>971.0</v>
      </c>
      <c r="R200" s="34" t="s">
        <v>51</v>
      </c>
      <c r="S200" s="35" t="n">
        <f>952.9</f>
        <v>952.9</v>
      </c>
      <c r="T200" s="32" t="n">
        <f>691160</f>
        <v>691160.0</v>
      </c>
      <c r="U200" s="32" t="str">
        <f>"－"</f>
        <v>－</v>
      </c>
      <c r="V200" s="32" t="n">
        <f>663370390</f>
        <v>6.6337039E8</v>
      </c>
      <c r="W200" s="32" t="str">
        <f>"－"</f>
        <v>－</v>
      </c>
      <c r="X200" s="36" t="n">
        <f>20</f>
        <v>20.0</v>
      </c>
    </row>
    <row r="201">
      <c r="A201" s="27" t="s">
        <v>42</v>
      </c>
      <c r="B201" s="27" t="s">
        <v>644</v>
      </c>
      <c r="C201" s="27" t="s">
        <v>645</v>
      </c>
      <c r="D201" s="27" t="s">
        <v>646</v>
      </c>
      <c r="E201" s="28" t="s">
        <v>46</v>
      </c>
      <c r="F201" s="29" t="s">
        <v>46</v>
      </c>
      <c r="G201" s="30" t="s">
        <v>46</v>
      </c>
      <c r="H201" s="31"/>
      <c r="I201" s="31" t="s">
        <v>47</v>
      </c>
      <c r="J201" s="32" t="n">
        <v>1.0</v>
      </c>
      <c r="K201" s="33" t="n">
        <f>1838</f>
        <v>1838.0</v>
      </c>
      <c r="L201" s="34" t="s">
        <v>48</v>
      </c>
      <c r="M201" s="33" t="n">
        <f>2038</f>
        <v>2038.0</v>
      </c>
      <c r="N201" s="34" t="s">
        <v>132</v>
      </c>
      <c r="O201" s="33" t="n">
        <f>1831</f>
        <v>1831.0</v>
      </c>
      <c r="P201" s="34" t="s">
        <v>48</v>
      </c>
      <c r="Q201" s="33" t="n">
        <f>2029</f>
        <v>2029.0</v>
      </c>
      <c r="R201" s="34" t="s">
        <v>51</v>
      </c>
      <c r="S201" s="35" t="n">
        <f>1971.55</f>
        <v>1971.55</v>
      </c>
      <c r="T201" s="32" t="n">
        <f>872576</f>
        <v>872576.0</v>
      </c>
      <c r="U201" s="32" t="n">
        <f>23584</f>
        <v>23584.0</v>
      </c>
      <c r="V201" s="32" t="n">
        <f>1732459332</f>
        <v>1.732459332E9</v>
      </c>
      <c r="W201" s="32" t="n">
        <f>45955267</f>
        <v>4.5955267E7</v>
      </c>
      <c r="X201" s="36" t="n">
        <f>20</f>
        <v>20.0</v>
      </c>
    </row>
    <row r="202">
      <c r="A202" s="27" t="s">
        <v>42</v>
      </c>
      <c r="B202" s="27" t="s">
        <v>647</v>
      </c>
      <c r="C202" s="27" t="s">
        <v>648</v>
      </c>
      <c r="D202" s="27" t="s">
        <v>649</v>
      </c>
      <c r="E202" s="28" t="s">
        <v>46</v>
      </c>
      <c r="F202" s="29" t="s">
        <v>46</v>
      </c>
      <c r="G202" s="30" t="s">
        <v>46</v>
      </c>
      <c r="H202" s="31"/>
      <c r="I202" s="31" t="s">
        <v>47</v>
      </c>
      <c r="J202" s="32" t="n">
        <v>1.0</v>
      </c>
      <c r="K202" s="33" t="n">
        <f>1985</f>
        <v>1985.0</v>
      </c>
      <c r="L202" s="34" t="s">
        <v>48</v>
      </c>
      <c r="M202" s="33" t="n">
        <f>2032</f>
        <v>2032.0</v>
      </c>
      <c r="N202" s="34" t="s">
        <v>62</v>
      </c>
      <c r="O202" s="33" t="n">
        <f>1944</f>
        <v>1944.0</v>
      </c>
      <c r="P202" s="34" t="s">
        <v>50</v>
      </c>
      <c r="Q202" s="33" t="n">
        <f>2015</f>
        <v>2015.0</v>
      </c>
      <c r="R202" s="34" t="s">
        <v>51</v>
      </c>
      <c r="S202" s="35" t="n">
        <f>1997.05</f>
        <v>1997.05</v>
      </c>
      <c r="T202" s="32" t="n">
        <f>1042892</f>
        <v>1042892.0</v>
      </c>
      <c r="U202" s="32" t="n">
        <f>35320</f>
        <v>35320.0</v>
      </c>
      <c r="V202" s="32" t="n">
        <f>2076754748</f>
        <v>2.076754748E9</v>
      </c>
      <c r="W202" s="32" t="n">
        <f>70324919</f>
        <v>7.0324919E7</v>
      </c>
      <c r="X202" s="36" t="n">
        <f>20</f>
        <v>20.0</v>
      </c>
    </row>
    <row r="203">
      <c r="A203" s="27" t="s">
        <v>42</v>
      </c>
      <c r="B203" s="27" t="s">
        <v>650</v>
      </c>
      <c r="C203" s="27" t="s">
        <v>651</v>
      </c>
      <c r="D203" s="27" t="s">
        <v>652</v>
      </c>
      <c r="E203" s="28" t="s">
        <v>46</v>
      </c>
      <c r="F203" s="29" t="s">
        <v>46</v>
      </c>
      <c r="G203" s="30" t="s">
        <v>46</v>
      </c>
      <c r="H203" s="31"/>
      <c r="I203" s="31" t="s">
        <v>47</v>
      </c>
      <c r="J203" s="32" t="n">
        <v>10.0</v>
      </c>
      <c r="K203" s="33" t="n">
        <f>499</f>
        <v>499.0</v>
      </c>
      <c r="L203" s="34" t="s">
        <v>48</v>
      </c>
      <c r="M203" s="33" t="n">
        <f>514</f>
        <v>514.0</v>
      </c>
      <c r="N203" s="34" t="s">
        <v>293</v>
      </c>
      <c r="O203" s="33" t="n">
        <f>486</f>
        <v>486.0</v>
      </c>
      <c r="P203" s="34" t="s">
        <v>50</v>
      </c>
      <c r="Q203" s="33" t="n">
        <f>511.6</f>
        <v>511.6</v>
      </c>
      <c r="R203" s="34" t="s">
        <v>51</v>
      </c>
      <c r="S203" s="35" t="n">
        <f>504.19</f>
        <v>504.19</v>
      </c>
      <c r="T203" s="32" t="n">
        <f>3458050</f>
        <v>3458050.0</v>
      </c>
      <c r="U203" s="32" t="n">
        <f>79070</f>
        <v>79070.0</v>
      </c>
      <c r="V203" s="32" t="n">
        <f>1737649493</f>
        <v>1.737649493E9</v>
      </c>
      <c r="W203" s="32" t="n">
        <f>40102795</f>
        <v>4.0102795E7</v>
      </c>
      <c r="X203" s="36" t="n">
        <f>20</f>
        <v>20.0</v>
      </c>
    </row>
    <row r="204">
      <c r="A204" s="27" t="s">
        <v>42</v>
      </c>
      <c r="B204" s="27" t="s">
        <v>653</v>
      </c>
      <c r="C204" s="27" t="s">
        <v>654</v>
      </c>
      <c r="D204" s="27" t="s">
        <v>655</v>
      </c>
      <c r="E204" s="28" t="s">
        <v>46</v>
      </c>
      <c r="F204" s="29" t="s">
        <v>46</v>
      </c>
      <c r="G204" s="30" t="s">
        <v>46</v>
      </c>
      <c r="H204" s="31"/>
      <c r="I204" s="31" t="s">
        <v>47</v>
      </c>
      <c r="J204" s="32" t="n">
        <v>10.0</v>
      </c>
      <c r="K204" s="33" t="n">
        <f>1891.5</f>
        <v>1891.5</v>
      </c>
      <c r="L204" s="34" t="s">
        <v>48</v>
      </c>
      <c r="M204" s="33" t="n">
        <f>2055</f>
        <v>2055.0</v>
      </c>
      <c r="N204" s="34" t="s">
        <v>132</v>
      </c>
      <c r="O204" s="33" t="n">
        <f>1891.5</f>
        <v>1891.5</v>
      </c>
      <c r="P204" s="34" t="s">
        <v>48</v>
      </c>
      <c r="Q204" s="33" t="n">
        <f>2048</f>
        <v>2048.0</v>
      </c>
      <c r="R204" s="34" t="s">
        <v>51</v>
      </c>
      <c r="S204" s="35" t="n">
        <f>2014.6</f>
        <v>2014.6</v>
      </c>
      <c r="T204" s="32" t="n">
        <f>5760</f>
        <v>5760.0</v>
      </c>
      <c r="U204" s="32" t="str">
        <f>"－"</f>
        <v>－</v>
      </c>
      <c r="V204" s="32" t="n">
        <f>11692545</f>
        <v>1.1692545E7</v>
      </c>
      <c r="W204" s="32" t="str">
        <f>"－"</f>
        <v>－</v>
      </c>
      <c r="X204" s="36" t="n">
        <f>15</f>
        <v>15.0</v>
      </c>
    </row>
    <row r="205">
      <c r="A205" s="27" t="s">
        <v>42</v>
      </c>
      <c r="B205" s="27" t="s">
        <v>656</v>
      </c>
      <c r="C205" s="27" t="s">
        <v>657</v>
      </c>
      <c r="D205" s="27" t="s">
        <v>658</v>
      </c>
      <c r="E205" s="28" t="s">
        <v>46</v>
      </c>
      <c r="F205" s="29" t="s">
        <v>46</v>
      </c>
      <c r="G205" s="30" t="s">
        <v>46</v>
      </c>
      <c r="H205" s="31"/>
      <c r="I205" s="31" t="s">
        <v>47</v>
      </c>
      <c r="J205" s="32" t="n">
        <v>10.0</v>
      </c>
      <c r="K205" s="33" t="n">
        <f>1909</f>
        <v>1909.0</v>
      </c>
      <c r="L205" s="34" t="s">
        <v>48</v>
      </c>
      <c r="M205" s="33" t="n">
        <f>2123</f>
        <v>2123.0</v>
      </c>
      <c r="N205" s="34" t="s">
        <v>69</v>
      </c>
      <c r="O205" s="33" t="n">
        <f>1909</f>
        <v>1909.0</v>
      </c>
      <c r="P205" s="34" t="s">
        <v>48</v>
      </c>
      <c r="Q205" s="33" t="n">
        <f>2108</f>
        <v>2108.0</v>
      </c>
      <c r="R205" s="34" t="s">
        <v>293</v>
      </c>
      <c r="S205" s="35" t="n">
        <f>2053.44</f>
        <v>2053.44</v>
      </c>
      <c r="T205" s="32" t="n">
        <f>270</f>
        <v>270.0</v>
      </c>
      <c r="U205" s="32" t="str">
        <f>"－"</f>
        <v>－</v>
      </c>
      <c r="V205" s="32" t="n">
        <f>565095</f>
        <v>565095.0</v>
      </c>
      <c r="W205" s="32" t="str">
        <f>"－"</f>
        <v>－</v>
      </c>
      <c r="X205" s="36" t="n">
        <f>8</f>
        <v>8.0</v>
      </c>
    </row>
    <row r="206">
      <c r="A206" s="27" t="s">
        <v>42</v>
      </c>
      <c r="B206" s="27" t="s">
        <v>659</v>
      </c>
      <c r="C206" s="27" t="s">
        <v>660</v>
      </c>
      <c r="D206" s="27" t="s">
        <v>661</v>
      </c>
      <c r="E206" s="28" t="s">
        <v>46</v>
      </c>
      <c r="F206" s="29" t="s">
        <v>46</v>
      </c>
      <c r="G206" s="30" t="s">
        <v>46</v>
      </c>
      <c r="H206" s="31"/>
      <c r="I206" s="31" t="s">
        <v>47</v>
      </c>
      <c r="J206" s="32" t="n">
        <v>10.0</v>
      </c>
      <c r="K206" s="33" t="n">
        <f>1905</f>
        <v>1905.0</v>
      </c>
      <c r="L206" s="34" t="s">
        <v>48</v>
      </c>
      <c r="M206" s="33" t="n">
        <f>2031</f>
        <v>2031.0</v>
      </c>
      <c r="N206" s="34" t="s">
        <v>132</v>
      </c>
      <c r="O206" s="33" t="n">
        <f>1905</f>
        <v>1905.0</v>
      </c>
      <c r="P206" s="34" t="s">
        <v>48</v>
      </c>
      <c r="Q206" s="33" t="n">
        <f>2031</f>
        <v>2031.0</v>
      </c>
      <c r="R206" s="34" t="s">
        <v>132</v>
      </c>
      <c r="S206" s="35" t="n">
        <f>1998</f>
        <v>1998.0</v>
      </c>
      <c r="T206" s="32" t="n">
        <f>180</f>
        <v>180.0</v>
      </c>
      <c r="U206" s="32" t="str">
        <f>"－"</f>
        <v>－</v>
      </c>
      <c r="V206" s="32" t="n">
        <f>362660</f>
        <v>362660.0</v>
      </c>
      <c r="W206" s="32" t="str">
        <f>"－"</f>
        <v>－</v>
      </c>
      <c r="X206" s="36" t="n">
        <f>5</f>
        <v>5.0</v>
      </c>
    </row>
    <row r="207">
      <c r="A207" s="27" t="s">
        <v>42</v>
      </c>
      <c r="B207" s="27" t="s">
        <v>662</v>
      </c>
      <c r="C207" s="27" t="s">
        <v>663</v>
      </c>
      <c r="D207" s="27" t="s">
        <v>664</v>
      </c>
      <c r="E207" s="28" t="s">
        <v>46</v>
      </c>
      <c r="F207" s="29" t="s">
        <v>46</v>
      </c>
      <c r="G207" s="30" t="s">
        <v>46</v>
      </c>
      <c r="H207" s="31"/>
      <c r="I207" s="31" t="s">
        <v>47</v>
      </c>
      <c r="J207" s="32" t="n">
        <v>10.0</v>
      </c>
      <c r="K207" s="33" t="n">
        <f>1896</f>
        <v>1896.0</v>
      </c>
      <c r="L207" s="34" t="s">
        <v>48</v>
      </c>
      <c r="M207" s="33" t="n">
        <f>1896</f>
        <v>1896.0</v>
      </c>
      <c r="N207" s="34" t="s">
        <v>48</v>
      </c>
      <c r="O207" s="33" t="n">
        <f>1896</f>
        <v>1896.0</v>
      </c>
      <c r="P207" s="34" t="s">
        <v>48</v>
      </c>
      <c r="Q207" s="33" t="n">
        <f>1896</f>
        <v>1896.0</v>
      </c>
      <c r="R207" s="34" t="s">
        <v>48</v>
      </c>
      <c r="S207" s="35" t="n">
        <f>1896</f>
        <v>1896.0</v>
      </c>
      <c r="T207" s="32" t="n">
        <f>10</f>
        <v>10.0</v>
      </c>
      <c r="U207" s="32" t="str">
        <f>"－"</f>
        <v>－</v>
      </c>
      <c r="V207" s="32" t="n">
        <f>18960</f>
        <v>18960.0</v>
      </c>
      <c r="W207" s="32" t="str">
        <f>"－"</f>
        <v>－</v>
      </c>
      <c r="X207" s="36" t="n">
        <f>1</f>
        <v>1.0</v>
      </c>
    </row>
    <row r="208">
      <c r="A208" s="27" t="s">
        <v>42</v>
      </c>
      <c r="B208" s="27" t="s">
        <v>665</v>
      </c>
      <c r="C208" s="27" t="s">
        <v>666</v>
      </c>
      <c r="D208" s="27" t="s">
        <v>667</v>
      </c>
      <c r="E208" s="28" t="s">
        <v>46</v>
      </c>
      <c r="F208" s="29" t="s">
        <v>46</v>
      </c>
      <c r="G208" s="30" t="s">
        <v>46</v>
      </c>
      <c r="H208" s="31"/>
      <c r="I208" s="31" t="s">
        <v>47</v>
      </c>
      <c r="J208" s="32" t="n">
        <v>10.0</v>
      </c>
      <c r="K208" s="33" t="n">
        <f>4910</f>
        <v>4910.0</v>
      </c>
      <c r="L208" s="34" t="s">
        <v>61</v>
      </c>
      <c r="M208" s="33" t="n">
        <f>5048</f>
        <v>5048.0</v>
      </c>
      <c r="N208" s="34" t="s">
        <v>89</v>
      </c>
      <c r="O208" s="33" t="n">
        <f>4910</f>
        <v>4910.0</v>
      </c>
      <c r="P208" s="34" t="s">
        <v>61</v>
      </c>
      <c r="Q208" s="33" t="n">
        <f>5048</f>
        <v>5048.0</v>
      </c>
      <c r="R208" s="34" t="s">
        <v>89</v>
      </c>
      <c r="S208" s="35" t="n">
        <f>4981.5</f>
        <v>4981.5</v>
      </c>
      <c r="T208" s="32" t="n">
        <f>269730</f>
        <v>269730.0</v>
      </c>
      <c r="U208" s="32" t="n">
        <f>226000</f>
        <v>226000.0</v>
      </c>
      <c r="V208" s="32" t="n">
        <f>1309676456</f>
        <v>1.309676456E9</v>
      </c>
      <c r="W208" s="32" t="n">
        <f>1094493366</f>
        <v>1.094493366E9</v>
      </c>
      <c r="X208" s="36" t="n">
        <f>6</f>
        <v>6.0</v>
      </c>
    </row>
    <row r="209">
      <c r="A209" s="27" t="s">
        <v>42</v>
      </c>
      <c r="B209" s="27" t="s">
        <v>668</v>
      </c>
      <c r="C209" s="27" t="s">
        <v>669</v>
      </c>
      <c r="D209" s="27" t="s">
        <v>670</v>
      </c>
      <c r="E209" s="28" t="s">
        <v>46</v>
      </c>
      <c r="F209" s="29" t="s">
        <v>46</v>
      </c>
      <c r="G209" s="30" t="s">
        <v>46</v>
      </c>
      <c r="H209" s="31"/>
      <c r="I209" s="31" t="s">
        <v>47</v>
      </c>
      <c r="J209" s="32" t="n">
        <v>10.0</v>
      </c>
      <c r="K209" s="33" t="n">
        <f>4994</f>
        <v>4994.0</v>
      </c>
      <c r="L209" s="34" t="s">
        <v>531</v>
      </c>
      <c r="M209" s="33" t="n">
        <f>6030</f>
        <v>6030.0</v>
      </c>
      <c r="N209" s="34" t="s">
        <v>51</v>
      </c>
      <c r="O209" s="33" t="n">
        <f>4994</f>
        <v>4994.0</v>
      </c>
      <c r="P209" s="34" t="s">
        <v>531</v>
      </c>
      <c r="Q209" s="33" t="n">
        <f>5112</f>
        <v>5112.0</v>
      </c>
      <c r="R209" s="34" t="s">
        <v>51</v>
      </c>
      <c r="S209" s="35" t="n">
        <f>5043.17</f>
        <v>5043.17</v>
      </c>
      <c r="T209" s="32" t="n">
        <f>230</f>
        <v>230.0</v>
      </c>
      <c r="U209" s="32" t="str">
        <f>"－"</f>
        <v>－</v>
      </c>
      <c r="V209" s="32" t="n">
        <f>1173790</f>
        <v>1173790.0</v>
      </c>
      <c r="W209" s="32" t="str">
        <f>"－"</f>
        <v>－</v>
      </c>
      <c r="X209" s="36" t="n">
        <f>6</f>
        <v>6.0</v>
      </c>
    </row>
    <row r="210">
      <c r="A210" s="27" t="s">
        <v>42</v>
      </c>
      <c r="B210" s="27" t="s">
        <v>671</v>
      </c>
      <c r="C210" s="27" t="s">
        <v>672</v>
      </c>
      <c r="D210" s="27" t="s">
        <v>673</v>
      </c>
      <c r="E210" s="28" t="s">
        <v>46</v>
      </c>
      <c r="F210" s="29" t="s">
        <v>46</v>
      </c>
      <c r="G210" s="30" t="s">
        <v>46</v>
      </c>
      <c r="H210" s="31"/>
      <c r="I210" s="31" t="s">
        <v>47</v>
      </c>
      <c r="J210" s="32" t="n">
        <v>10.0</v>
      </c>
      <c r="K210" s="33" t="n">
        <f>4978</f>
        <v>4978.0</v>
      </c>
      <c r="L210" s="34" t="s">
        <v>531</v>
      </c>
      <c r="M210" s="33" t="n">
        <f>5143</f>
        <v>5143.0</v>
      </c>
      <c r="N210" s="34" t="s">
        <v>49</v>
      </c>
      <c r="O210" s="33" t="n">
        <f>4978</f>
        <v>4978.0</v>
      </c>
      <c r="P210" s="34" t="s">
        <v>531</v>
      </c>
      <c r="Q210" s="33" t="n">
        <f>5143</f>
        <v>5143.0</v>
      </c>
      <c r="R210" s="34" t="s">
        <v>49</v>
      </c>
      <c r="S210" s="35" t="n">
        <f>5060.5</f>
        <v>5060.5</v>
      </c>
      <c r="T210" s="32" t="n">
        <f>60</f>
        <v>60.0</v>
      </c>
      <c r="U210" s="32" t="str">
        <f>"－"</f>
        <v>－</v>
      </c>
      <c r="V210" s="32" t="n">
        <f>300330</f>
        <v>300330.0</v>
      </c>
      <c r="W210" s="32" t="str">
        <f>"－"</f>
        <v>－</v>
      </c>
      <c r="X210" s="36" t="n">
        <f>2</f>
        <v>2.0</v>
      </c>
    </row>
    <row r="211">
      <c r="A211" s="27" t="s">
        <v>42</v>
      </c>
      <c r="B211" s="27" t="s">
        <v>674</v>
      </c>
      <c r="C211" s="27" t="s">
        <v>675</v>
      </c>
      <c r="D211" s="27" t="s">
        <v>676</v>
      </c>
      <c r="E211" s="28" t="s">
        <v>46</v>
      </c>
      <c r="F211" s="29" t="s">
        <v>46</v>
      </c>
      <c r="G211" s="30" t="s">
        <v>46</v>
      </c>
      <c r="H211" s="31"/>
      <c r="I211" s="31" t="s">
        <v>47</v>
      </c>
      <c r="J211" s="32" t="n">
        <v>10.0</v>
      </c>
      <c r="K211" s="33" t="n">
        <f>5069</f>
        <v>5069.0</v>
      </c>
      <c r="L211" s="34" t="s">
        <v>48</v>
      </c>
      <c r="M211" s="33" t="n">
        <f>5129</f>
        <v>5129.0</v>
      </c>
      <c r="N211" s="34" t="s">
        <v>225</v>
      </c>
      <c r="O211" s="33" t="n">
        <f>4929</f>
        <v>4929.0</v>
      </c>
      <c r="P211" s="34" t="s">
        <v>69</v>
      </c>
      <c r="Q211" s="33" t="n">
        <f>4940</f>
        <v>4940.0</v>
      </c>
      <c r="R211" s="34" t="s">
        <v>51</v>
      </c>
      <c r="S211" s="35" t="n">
        <f>5023.9</f>
        <v>5023.9</v>
      </c>
      <c r="T211" s="32" t="n">
        <f>2726040</f>
        <v>2726040.0</v>
      </c>
      <c r="U211" s="32" t="n">
        <f>2607000</f>
        <v>2607000.0</v>
      </c>
      <c r="V211" s="32" t="n">
        <f>13527540853</f>
        <v>1.3527540853E10</v>
      </c>
      <c r="W211" s="32" t="n">
        <f>12935815023</f>
        <v>1.2935815023E10</v>
      </c>
      <c r="X211" s="36" t="n">
        <f>20</f>
        <v>20.0</v>
      </c>
    </row>
    <row r="212">
      <c r="A212" s="27" t="s">
        <v>42</v>
      </c>
      <c r="B212" s="27" t="s">
        <v>677</v>
      </c>
      <c r="C212" s="27" t="s">
        <v>678</v>
      </c>
      <c r="D212" s="27" t="s">
        <v>679</v>
      </c>
      <c r="E212" s="28" t="s">
        <v>46</v>
      </c>
      <c r="F212" s="29" t="s">
        <v>46</v>
      </c>
      <c r="G212" s="30" t="s">
        <v>46</v>
      </c>
      <c r="H212" s="31"/>
      <c r="I212" s="31" t="s">
        <v>47</v>
      </c>
      <c r="J212" s="32" t="n">
        <v>1.0</v>
      </c>
      <c r="K212" s="33" t="n">
        <f>993</f>
        <v>993.0</v>
      </c>
      <c r="L212" s="34" t="s">
        <v>48</v>
      </c>
      <c r="M212" s="33" t="n">
        <f>1004</f>
        <v>1004.0</v>
      </c>
      <c r="N212" s="34" t="s">
        <v>103</v>
      </c>
      <c r="O212" s="33" t="n">
        <f>975</f>
        <v>975.0</v>
      </c>
      <c r="P212" s="34" t="s">
        <v>61</v>
      </c>
      <c r="Q212" s="33" t="n">
        <f>981</f>
        <v>981.0</v>
      </c>
      <c r="R212" s="34" t="s">
        <v>51</v>
      </c>
      <c r="S212" s="35" t="n">
        <f>986.9</f>
        <v>986.9</v>
      </c>
      <c r="T212" s="32" t="n">
        <f>746244</f>
        <v>746244.0</v>
      </c>
      <c r="U212" s="32" t="n">
        <f>604000</f>
        <v>604000.0</v>
      </c>
      <c r="V212" s="32" t="n">
        <f>739052995</f>
        <v>7.39052995E8</v>
      </c>
      <c r="W212" s="32" t="n">
        <f>598797200</f>
        <v>5.987972E8</v>
      </c>
      <c r="X212" s="36" t="n">
        <f>20</f>
        <v>20.0</v>
      </c>
    </row>
    <row r="213">
      <c r="A213" s="27" t="s">
        <v>42</v>
      </c>
      <c r="B213" s="27" t="s">
        <v>680</v>
      </c>
      <c r="C213" s="27" t="s">
        <v>681</v>
      </c>
      <c r="D213" s="27" t="s">
        <v>682</v>
      </c>
      <c r="E213" s="28" t="s">
        <v>46</v>
      </c>
      <c r="F213" s="29" t="s">
        <v>46</v>
      </c>
      <c r="G213" s="30" t="s">
        <v>46</v>
      </c>
      <c r="H213" s="31"/>
      <c r="I213" s="31" t="s">
        <v>47</v>
      </c>
      <c r="J213" s="32" t="n">
        <v>1.0</v>
      </c>
      <c r="K213" s="33" t="n">
        <f>1004</f>
        <v>1004.0</v>
      </c>
      <c r="L213" s="34" t="s">
        <v>48</v>
      </c>
      <c r="M213" s="33" t="n">
        <f>1060</f>
        <v>1060.0</v>
      </c>
      <c r="N213" s="34" t="s">
        <v>132</v>
      </c>
      <c r="O213" s="33" t="n">
        <f>1000</f>
        <v>1000.0</v>
      </c>
      <c r="P213" s="34" t="s">
        <v>48</v>
      </c>
      <c r="Q213" s="33" t="n">
        <f>1054</f>
        <v>1054.0</v>
      </c>
      <c r="R213" s="34" t="s">
        <v>51</v>
      </c>
      <c r="S213" s="35" t="n">
        <f>1038.45</f>
        <v>1038.45</v>
      </c>
      <c r="T213" s="32" t="n">
        <f>140817</f>
        <v>140817.0</v>
      </c>
      <c r="U213" s="32" t="str">
        <f>"－"</f>
        <v>－</v>
      </c>
      <c r="V213" s="32" t="n">
        <f>144793454</f>
        <v>1.44793454E8</v>
      </c>
      <c r="W213" s="32" t="str">
        <f>"－"</f>
        <v>－</v>
      </c>
      <c r="X213" s="36" t="n">
        <f>20</f>
        <v>20.0</v>
      </c>
    </row>
    <row r="214">
      <c r="A214" s="27" t="s">
        <v>42</v>
      </c>
      <c r="B214" s="27" t="s">
        <v>683</v>
      </c>
      <c r="C214" s="27" t="s">
        <v>684</v>
      </c>
      <c r="D214" s="27" t="s">
        <v>685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1.0</v>
      </c>
      <c r="K214" s="33" t="n">
        <f>1011</f>
        <v>1011.0</v>
      </c>
      <c r="L214" s="34" t="s">
        <v>48</v>
      </c>
      <c r="M214" s="33" t="n">
        <f>1021</f>
        <v>1021.0</v>
      </c>
      <c r="N214" s="34" t="s">
        <v>61</v>
      </c>
      <c r="O214" s="33" t="n">
        <f>990</f>
        <v>990.0</v>
      </c>
      <c r="P214" s="34" t="s">
        <v>103</v>
      </c>
      <c r="Q214" s="33" t="n">
        <f>1017</f>
        <v>1017.0</v>
      </c>
      <c r="R214" s="34" t="s">
        <v>51</v>
      </c>
      <c r="S214" s="35" t="n">
        <f>1007.75</f>
        <v>1007.75</v>
      </c>
      <c r="T214" s="32" t="n">
        <f>64231</f>
        <v>64231.0</v>
      </c>
      <c r="U214" s="32" t="str">
        <f>"－"</f>
        <v>－</v>
      </c>
      <c r="V214" s="32" t="n">
        <f>65011502</f>
        <v>6.5011502E7</v>
      </c>
      <c r="W214" s="32" t="str">
        <f>"－"</f>
        <v>－</v>
      </c>
      <c r="X214" s="36" t="n">
        <f>20</f>
        <v>20.0</v>
      </c>
    </row>
    <row r="215">
      <c r="A215" s="27" t="s">
        <v>42</v>
      </c>
      <c r="B215" s="27" t="s">
        <v>686</v>
      </c>
      <c r="C215" s="27" t="s">
        <v>687</v>
      </c>
      <c r="D215" s="27" t="s">
        <v>688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1015</f>
        <v>1015.0</v>
      </c>
      <c r="L215" s="34" t="s">
        <v>48</v>
      </c>
      <c r="M215" s="33" t="n">
        <f>1039</f>
        <v>1039.0</v>
      </c>
      <c r="N215" s="34" t="s">
        <v>61</v>
      </c>
      <c r="O215" s="33" t="n">
        <f>999</f>
        <v>999.0</v>
      </c>
      <c r="P215" s="34" t="s">
        <v>225</v>
      </c>
      <c r="Q215" s="33" t="n">
        <f>1011</f>
        <v>1011.0</v>
      </c>
      <c r="R215" s="34" t="s">
        <v>51</v>
      </c>
      <c r="S215" s="35" t="n">
        <f>1013.55</f>
        <v>1013.55</v>
      </c>
      <c r="T215" s="32" t="n">
        <f>2062478</f>
        <v>2062478.0</v>
      </c>
      <c r="U215" s="32" t="str">
        <f>"－"</f>
        <v>－</v>
      </c>
      <c r="V215" s="32" t="n">
        <f>2092100195</f>
        <v>2.092100195E9</v>
      </c>
      <c r="W215" s="32" t="str">
        <f>"－"</f>
        <v>－</v>
      </c>
      <c r="X215" s="36" t="n">
        <f>20</f>
        <v>20.0</v>
      </c>
    </row>
    <row r="216">
      <c r="A216" s="27" t="s">
        <v>42</v>
      </c>
      <c r="B216" s="27" t="s">
        <v>689</v>
      </c>
      <c r="C216" s="27" t="s">
        <v>690</v>
      </c>
      <c r="D216" s="27" t="s">
        <v>691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1020</f>
        <v>1020.0</v>
      </c>
      <c r="L216" s="34" t="s">
        <v>48</v>
      </c>
      <c r="M216" s="33" t="n">
        <f>1029</f>
        <v>1029.0</v>
      </c>
      <c r="N216" s="34" t="s">
        <v>79</v>
      </c>
      <c r="O216" s="33" t="n">
        <f>985</f>
        <v>985.0</v>
      </c>
      <c r="P216" s="34" t="s">
        <v>103</v>
      </c>
      <c r="Q216" s="33" t="n">
        <f>1016</f>
        <v>1016.0</v>
      </c>
      <c r="R216" s="34" t="s">
        <v>51</v>
      </c>
      <c r="S216" s="35" t="n">
        <f>1013.4</f>
        <v>1013.4</v>
      </c>
      <c r="T216" s="32" t="n">
        <f>409685</f>
        <v>409685.0</v>
      </c>
      <c r="U216" s="32" t="str">
        <f>"－"</f>
        <v>－</v>
      </c>
      <c r="V216" s="32" t="n">
        <f>414611043</f>
        <v>4.14611043E8</v>
      </c>
      <c r="W216" s="32" t="str">
        <f>"－"</f>
        <v>－</v>
      </c>
      <c r="X216" s="36" t="n">
        <f>20</f>
        <v>20.0</v>
      </c>
    </row>
    <row r="217">
      <c r="A217" s="27" t="s">
        <v>42</v>
      </c>
      <c r="B217" s="27" t="s">
        <v>692</v>
      </c>
      <c r="C217" s="27" t="s">
        <v>693</v>
      </c>
      <c r="D217" s="27" t="s">
        <v>694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10.0</v>
      </c>
      <c r="K217" s="33" t="n">
        <f>2178.5</f>
        <v>2178.5</v>
      </c>
      <c r="L217" s="34" t="s">
        <v>48</v>
      </c>
      <c r="M217" s="33" t="n">
        <f>2349</f>
        <v>2349.0</v>
      </c>
      <c r="N217" s="34" t="s">
        <v>217</v>
      </c>
      <c r="O217" s="33" t="n">
        <f>2176.5</f>
        <v>2176.5</v>
      </c>
      <c r="P217" s="34" t="s">
        <v>48</v>
      </c>
      <c r="Q217" s="33" t="n">
        <f>2285.5</f>
        <v>2285.5</v>
      </c>
      <c r="R217" s="34" t="s">
        <v>51</v>
      </c>
      <c r="S217" s="35" t="n">
        <f>2263.35</f>
        <v>2263.35</v>
      </c>
      <c r="T217" s="32" t="n">
        <f>8260</f>
        <v>8260.0</v>
      </c>
      <c r="U217" s="32" t="str">
        <f>"－"</f>
        <v>－</v>
      </c>
      <c r="V217" s="32" t="n">
        <f>18721000</f>
        <v>1.8721E7</v>
      </c>
      <c r="W217" s="32" t="str">
        <f>"－"</f>
        <v>－</v>
      </c>
      <c r="X217" s="36" t="n">
        <f>20</f>
        <v>20.0</v>
      </c>
    </row>
    <row r="218">
      <c r="A218" s="27" t="s">
        <v>42</v>
      </c>
      <c r="B218" s="27" t="s">
        <v>695</v>
      </c>
      <c r="C218" s="27" t="s">
        <v>696</v>
      </c>
      <c r="D218" s="27" t="s">
        <v>697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1054</f>
        <v>1054.0</v>
      </c>
      <c r="L218" s="34" t="s">
        <v>48</v>
      </c>
      <c r="M218" s="33" t="n">
        <f>1105</f>
        <v>1105.0</v>
      </c>
      <c r="N218" s="34" t="s">
        <v>79</v>
      </c>
      <c r="O218" s="33" t="n">
        <f>1049</f>
        <v>1049.0</v>
      </c>
      <c r="P218" s="34" t="s">
        <v>116</v>
      </c>
      <c r="Q218" s="33" t="n">
        <f>1077</f>
        <v>1077.0</v>
      </c>
      <c r="R218" s="34" t="s">
        <v>51</v>
      </c>
      <c r="S218" s="35" t="n">
        <f>1079.9</f>
        <v>1079.9</v>
      </c>
      <c r="T218" s="32" t="n">
        <f>537231</f>
        <v>537231.0</v>
      </c>
      <c r="U218" s="32" t="n">
        <f>115</f>
        <v>115.0</v>
      </c>
      <c r="V218" s="32" t="n">
        <f>581358456</f>
        <v>5.81358456E8</v>
      </c>
      <c r="W218" s="32" t="n">
        <f>117160</f>
        <v>117160.0</v>
      </c>
      <c r="X218" s="36" t="n">
        <f>20</f>
        <v>20.0</v>
      </c>
    </row>
    <row r="219">
      <c r="A219" s="27" t="s">
        <v>42</v>
      </c>
      <c r="B219" s="27" t="s">
        <v>698</v>
      </c>
      <c r="C219" s="27" t="s">
        <v>699</v>
      </c>
      <c r="D219" s="27" t="s">
        <v>700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50040</f>
        <v>50040.0</v>
      </c>
      <c r="L219" s="34" t="s">
        <v>48</v>
      </c>
      <c r="M219" s="33" t="n">
        <f>59010</f>
        <v>59010.0</v>
      </c>
      <c r="N219" s="34" t="s">
        <v>132</v>
      </c>
      <c r="O219" s="33" t="n">
        <f>49900</f>
        <v>49900.0</v>
      </c>
      <c r="P219" s="34" t="s">
        <v>48</v>
      </c>
      <c r="Q219" s="33" t="n">
        <f>58840</f>
        <v>58840.0</v>
      </c>
      <c r="R219" s="34" t="s">
        <v>51</v>
      </c>
      <c r="S219" s="35" t="n">
        <f>56275.5</f>
        <v>56275.5</v>
      </c>
      <c r="T219" s="32" t="n">
        <f>44929</f>
        <v>44929.0</v>
      </c>
      <c r="U219" s="32" t="str">
        <f>"－"</f>
        <v>－</v>
      </c>
      <c r="V219" s="32" t="n">
        <f>2513019670</f>
        <v>2.51301967E9</v>
      </c>
      <c r="W219" s="32" t="str">
        <f>"－"</f>
        <v>－</v>
      </c>
      <c r="X219" s="36" t="n">
        <f>20</f>
        <v>20.0</v>
      </c>
    </row>
    <row r="220">
      <c r="A220" s="27" t="s">
        <v>42</v>
      </c>
      <c r="B220" s="27" t="s">
        <v>701</v>
      </c>
      <c r="C220" s="27" t="s">
        <v>702</v>
      </c>
      <c r="D220" s="27" t="s">
        <v>703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1.0</v>
      </c>
      <c r="K220" s="33" t="n">
        <f>9388</f>
        <v>9388.0</v>
      </c>
      <c r="L220" s="34" t="s">
        <v>48</v>
      </c>
      <c r="M220" s="33" t="n">
        <f>9399</f>
        <v>9399.0</v>
      </c>
      <c r="N220" s="34" t="s">
        <v>48</v>
      </c>
      <c r="O220" s="33" t="n">
        <f>8620</f>
        <v>8620.0</v>
      </c>
      <c r="P220" s="34" t="s">
        <v>132</v>
      </c>
      <c r="Q220" s="33" t="n">
        <f>8630</f>
        <v>8630.0</v>
      </c>
      <c r="R220" s="34" t="s">
        <v>51</v>
      </c>
      <c r="S220" s="35" t="n">
        <f>8845.7</f>
        <v>8845.7</v>
      </c>
      <c r="T220" s="32" t="n">
        <f>475120</f>
        <v>475120.0</v>
      </c>
      <c r="U220" s="32" t="n">
        <f>409100</f>
        <v>409100.0</v>
      </c>
      <c r="V220" s="32" t="n">
        <f>4166300401</f>
        <v>4.166300401E9</v>
      </c>
      <c r="W220" s="32" t="n">
        <f>3577989163</f>
        <v>3.577989163E9</v>
      </c>
      <c r="X220" s="36" t="n">
        <f>20</f>
        <v>20.0</v>
      </c>
    </row>
    <row r="221">
      <c r="A221" s="27" t="s">
        <v>42</v>
      </c>
      <c r="B221" s="27" t="s">
        <v>704</v>
      </c>
      <c r="C221" s="27" t="s">
        <v>705</v>
      </c>
      <c r="D221" s="27" t="s">
        <v>706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10715</f>
        <v>10715.0</v>
      </c>
      <c r="L221" s="34" t="s">
        <v>48</v>
      </c>
      <c r="M221" s="33" t="n">
        <f>12645</f>
        <v>12645.0</v>
      </c>
      <c r="N221" s="34" t="s">
        <v>132</v>
      </c>
      <c r="O221" s="33" t="n">
        <f>10690</f>
        <v>10690.0</v>
      </c>
      <c r="P221" s="34" t="s">
        <v>48</v>
      </c>
      <c r="Q221" s="33" t="n">
        <f>12605</f>
        <v>12605.0</v>
      </c>
      <c r="R221" s="34" t="s">
        <v>51</v>
      </c>
      <c r="S221" s="35" t="n">
        <f>12060.75</f>
        <v>12060.75</v>
      </c>
      <c r="T221" s="32" t="n">
        <f>58620</f>
        <v>58620.0</v>
      </c>
      <c r="U221" s="32" t="str">
        <f>"－"</f>
        <v>－</v>
      </c>
      <c r="V221" s="32" t="n">
        <f>701237050</f>
        <v>7.0123705E8</v>
      </c>
      <c r="W221" s="32" t="str">
        <f>"－"</f>
        <v>－</v>
      </c>
      <c r="X221" s="36" t="n">
        <f>20</f>
        <v>20.0</v>
      </c>
    </row>
    <row r="222">
      <c r="A222" s="27" t="s">
        <v>42</v>
      </c>
      <c r="B222" s="27" t="s">
        <v>707</v>
      </c>
      <c r="C222" s="27" t="s">
        <v>708</v>
      </c>
      <c r="D222" s="27" t="s">
        <v>709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9438</f>
        <v>9438.0</v>
      </c>
      <c r="L222" s="34" t="s">
        <v>48</v>
      </c>
      <c r="M222" s="33" t="n">
        <f>9442</f>
        <v>9442.0</v>
      </c>
      <c r="N222" s="34" t="s">
        <v>48</v>
      </c>
      <c r="O222" s="33" t="n">
        <f>8664</f>
        <v>8664.0</v>
      </c>
      <c r="P222" s="34" t="s">
        <v>132</v>
      </c>
      <c r="Q222" s="33" t="n">
        <f>8682</f>
        <v>8682.0</v>
      </c>
      <c r="R222" s="34" t="s">
        <v>51</v>
      </c>
      <c r="S222" s="35" t="n">
        <f>8892.9</f>
        <v>8892.9</v>
      </c>
      <c r="T222" s="32" t="n">
        <f>337810</f>
        <v>337810.0</v>
      </c>
      <c r="U222" s="32" t="n">
        <f>325000</f>
        <v>325000.0</v>
      </c>
      <c r="V222" s="32" t="n">
        <f>3080075834</f>
        <v>3.080075834E9</v>
      </c>
      <c r="W222" s="32" t="n">
        <f>2965102024</f>
        <v>2.965102024E9</v>
      </c>
      <c r="X222" s="36" t="n">
        <f>20</f>
        <v>20.0</v>
      </c>
    </row>
    <row r="223">
      <c r="A223" s="27" t="s">
        <v>42</v>
      </c>
      <c r="B223" s="27" t="s">
        <v>710</v>
      </c>
      <c r="C223" s="27" t="s">
        <v>711</v>
      </c>
      <c r="D223" s="27" t="s">
        <v>712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557.6</f>
        <v>557.6</v>
      </c>
      <c r="L223" s="34" t="s">
        <v>48</v>
      </c>
      <c r="M223" s="33" t="n">
        <f>594.4</f>
        <v>594.4</v>
      </c>
      <c r="N223" s="34" t="s">
        <v>62</v>
      </c>
      <c r="O223" s="33" t="n">
        <f>557.3</f>
        <v>557.3</v>
      </c>
      <c r="P223" s="34" t="s">
        <v>48</v>
      </c>
      <c r="Q223" s="33" t="n">
        <f>582.3</f>
        <v>582.3</v>
      </c>
      <c r="R223" s="34" t="s">
        <v>51</v>
      </c>
      <c r="S223" s="35" t="n">
        <f>578.86</f>
        <v>578.86</v>
      </c>
      <c r="T223" s="32" t="n">
        <f>472480</f>
        <v>472480.0</v>
      </c>
      <c r="U223" s="32" t="n">
        <f>289000</f>
        <v>289000.0</v>
      </c>
      <c r="V223" s="32" t="n">
        <f>276361483</f>
        <v>2.76361483E8</v>
      </c>
      <c r="W223" s="32" t="n">
        <f>169801285</f>
        <v>1.69801285E8</v>
      </c>
      <c r="X223" s="36" t="n">
        <f>20</f>
        <v>20.0</v>
      </c>
    </row>
    <row r="224">
      <c r="A224" s="27" t="s">
        <v>42</v>
      </c>
      <c r="B224" s="27" t="s">
        <v>713</v>
      </c>
      <c r="C224" s="27" t="s">
        <v>714</v>
      </c>
      <c r="D224" s="27" t="s">
        <v>715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482.8</f>
        <v>482.8</v>
      </c>
      <c r="L224" s="34" t="s">
        <v>48</v>
      </c>
      <c r="M224" s="33" t="n">
        <f>523</f>
        <v>523.0</v>
      </c>
      <c r="N224" s="34" t="s">
        <v>716</v>
      </c>
      <c r="O224" s="33" t="n">
        <f>474</f>
        <v>474.0</v>
      </c>
      <c r="P224" s="34" t="s">
        <v>116</v>
      </c>
      <c r="Q224" s="33" t="n">
        <f>516.8</f>
        <v>516.8</v>
      </c>
      <c r="R224" s="34" t="s">
        <v>51</v>
      </c>
      <c r="S224" s="35" t="n">
        <f>505.5</f>
        <v>505.5</v>
      </c>
      <c r="T224" s="32" t="n">
        <f>2181160</f>
        <v>2181160.0</v>
      </c>
      <c r="U224" s="32" t="n">
        <f>1990020</f>
        <v>1990020.0</v>
      </c>
      <c r="V224" s="32" t="n">
        <f>1097587168</f>
        <v>1.097587168E9</v>
      </c>
      <c r="W224" s="32" t="n">
        <f>999598311</f>
        <v>9.99598311E8</v>
      </c>
      <c r="X224" s="36" t="n">
        <f>20</f>
        <v>20.0</v>
      </c>
    </row>
    <row r="225">
      <c r="A225" s="27" t="s">
        <v>42</v>
      </c>
      <c r="B225" s="27" t="s">
        <v>717</v>
      </c>
      <c r="C225" s="27" t="s">
        <v>718</v>
      </c>
      <c r="D225" s="27" t="s">
        <v>719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1.0</v>
      </c>
      <c r="K225" s="33" t="n">
        <f>1158</f>
        <v>1158.0</v>
      </c>
      <c r="L225" s="34" t="s">
        <v>48</v>
      </c>
      <c r="M225" s="33" t="n">
        <f>1354</f>
        <v>1354.0</v>
      </c>
      <c r="N225" s="34" t="s">
        <v>69</v>
      </c>
      <c r="O225" s="33" t="n">
        <f>1158</f>
        <v>1158.0</v>
      </c>
      <c r="P225" s="34" t="s">
        <v>48</v>
      </c>
      <c r="Q225" s="33" t="n">
        <f>1324</f>
        <v>1324.0</v>
      </c>
      <c r="R225" s="34" t="s">
        <v>51</v>
      </c>
      <c r="S225" s="35" t="n">
        <f>1291.2</f>
        <v>1291.2</v>
      </c>
      <c r="T225" s="32" t="n">
        <f>4880829</f>
        <v>4880829.0</v>
      </c>
      <c r="U225" s="32" t="n">
        <f>1948700</f>
        <v>1948700.0</v>
      </c>
      <c r="V225" s="32" t="n">
        <f>6331800841</f>
        <v>6.331800841E9</v>
      </c>
      <c r="W225" s="32" t="n">
        <f>2481246434</f>
        <v>2.481246434E9</v>
      </c>
      <c r="X225" s="36" t="n">
        <f>20</f>
        <v>20.0</v>
      </c>
    </row>
    <row r="226">
      <c r="A226" s="27" t="s">
        <v>42</v>
      </c>
      <c r="B226" s="27" t="s">
        <v>720</v>
      </c>
      <c r="C226" s="27" t="s">
        <v>721</v>
      </c>
      <c r="D226" s="27" t="s">
        <v>722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1.0</v>
      </c>
      <c r="K226" s="33" t="n">
        <f>1360</f>
        <v>1360.0</v>
      </c>
      <c r="L226" s="34" t="s">
        <v>48</v>
      </c>
      <c r="M226" s="33" t="n">
        <f>1545</f>
        <v>1545.0</v>
      </c>
      <c r="N226" s="34" t="s">
        <v>132</v>
      </c>
      <c r="O226" s="33" t="n">
        <f>1356</f>
        <v>1356.0</v>
      </c>
      <c r="P226" s="34" t="s">
        <v>48</v>
      </c>
      <c r="Q226" s="33" t="n">
        <f>1542</f>
        <v>1542.0</v>
      </c>
      <c r="R226" s="34" t="s">
        <v>51</v>
      </c>
      <c r="S226" s="35" t="n">
        <f>1488.35</f>
        <v>1488.35</v>
      </c>
      <c r="T226" s="32" t="n">
        <f>2088212</f>
        <v>2088212.0</v>
      </c>
      <c r="U226" s="32" t="n">
        <f>696521</f>
        <v>696521.0</v>
      </c>
      <c r="V226" s="32" t="n">
        <f>3113591482</f>
        <v>3.113591482E9</v>
      </c>
      <c r="W226" s="32" t="n">
        <f>1025871407</f>
        <v>1.025871407E9</v>
      </c>
      <c r="X226" s="36" t="n">
        <f>20</f>
        <v>20.0</v>
      </c>
    </row>
    <row r="227">
      <c r="A227" s="27" t="s">
        <v>42</v>
      </c>
      <c r="B227" s="27" t="s">
        <v>723</v>
      </c>
      <c r="C227" s="27" t="s">
        <v>724</v>
      </c>
      <c r="D227" s="27" t="s">
        <v>725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n">
        <f>784.8</f>
        <v>784.8</v>
      </c>
      <c r="L227" s="34" t="s">
        <v>48</v>
      </c>
      <c r="M227" s="33" t="n">
        <f>842.8</f>
        <v>842.8</v>
      </c>
      <c r="N227" s="34" t="s">
        <v>49</v>
      </c>
      <c r="O227" s="33" t="n">
        <f>769.5</f>
        <v>769.5</v>
      </c>
      <c r="P227" s="34" t="s">
        <v>48</v>
      </c>
      <c r="Q227" s="33" t="n">
        <f>789.4</f>
        <v>789.4</v>
      </c>
      <c r="R227" s="34" t="s">
        <v>89</v>
      </c>
      <c r="S227" s="35" t="n">
        <f>780.03</f>
        <v>780.03</v>
      </c>
      <c r="T227" s="32" t="n">
        <f>7520</f>
        <v>7520.0</v>
      </c>
      <c r="U227" s="32" t="str">
        <f>"－"</f>
        <v>－</v>
      </c>
      <c r="V227" s="32" t="n">
        <f>5860974</f>
        <v>5860974.0</v>
      </c>
      <c r="W227" s="32" t="str">
        <f>"－"</f>
        <v>－</v>
      </c>
      <c r="X227" s="36" t="n">
        <f>16</f>
        <v>16.0</v>
      </c>
    </row>
    <row r="228">
      <c r="A228" s="27" t="s">
        <v>42</v>
      </c>
      <c r="B228" s="27" t="s">
        <v>726</v>
      </c>
      <c r="C228" s="27" t="s">
        <v>727</v>
      </c>
      <c r="D228" s="27" t="s">
        <v>728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776.8</f>
        <v>776.8</v>
      </c>
      <c r="L228" s="34" t="s">
        <v>61</v>
      </c>
      <c r="M228" s="33" t="n">
        <f>813.9</f>
        <v>813.9</v>
      </c>
      <c r="N228" s="34" t="s">
        <v>716</v>
      </c>
      <c r="O228" s="33" t="n">
        <f>763.4</f>
        <v>763.4</v>
      </c>
      <c r="P228" s="34" t="s">
        <v>90</v>
      </c>
      <c r="Q228" s="33" t="n">
        <f>791.7</f>
        <v>791.7</v>
      </c>
      <c r="R228" s="34" t="s">
        <v>51</v>
      </c>
      <c r="S228" s="35" t="n">
        <f>783.82</f>
        <v>783.82</v>
      </c>
      <c r="T228" s="32" t="n">
        <f>1260</f>
        <v>1260.0</v>
      </c>
      <c r="U228" s="32" t="str">
        <f>"－"</f>
        <v>－</v>
      </c>
      <c r="V228" s="32" t="n">
        <f>985753</f>
        <v>985753.0</v>
      </c>
      <c r="W228" s="32" t="str">
        <f>"－"</f>
        <v>－</v>
      </c>
      <c r="X228" s="36" t="n">
        <f>9</f>
        <v>9.0</v>
      </c>
    </row>
    <row r="229">
      <c r="A229" s="27" t="s">
        <v>42</v>
      </c>
      <c r="B229" s="27" t="s">
        <v>729</v>
      </c>
      <c r="C229" s="27" t="s">
        <v>730</v>
      </c>
      <c r="D229" s="27" t="s">
        <v>731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11850</f>
        <v>11850.0</v>
      </c>
      <c r="L229" s="34" t="s">
        <v>48</v>
      </c>
      <c r="M229" s="33" t="n">
        <f>12780</f>
        <v>12780.0</v>
      </c>
      <c r="N229" s="34" t="s">
        <v>132</v>
      </c>
      <c r="O229" s="33" t="n">
        <f>11840</f>
        <v>11840.0</v>
      </c>
      <c r="P229" s="34" t="s">
        <v>48</v>
      </c>
      <c r="Q229" s="33" t="n">
        <f>12570</f>
        <v>12570.0</v>
      </c>
      <c r="R229" s="34" t="s">
        <v>51</v>
      </c>
      <c r="S229" s="35" t="n">
        <f>12477.25</f>
        <v>12477.25</v>
      </c>
      <c r="T229" s="32" t="n">
        <f>205514</f>
        <v>205514.0</v>
      </c>
      <c r="U229" s="32" t="str">
        <f>"－"</f>
        <v>－</v>
      </c>
      <c r="V229" s="32" t="n">
        <f>2566171985</f>
        <v>2.566171985E9</v>
      </c>
      <c r="W229" s="32" t="str">
        <f>"－"</f>
        <v>－</v>
      </c>
      <c r="X229" s="36" t="n">
        <f>20</f>
        <v>20.0</v>
      </c>
    </row>
    <row r="230">
      <c r="A230" s="27" t="s">
        <v>42</v>
      </c>
      <c r="B230" s="27" t="s">
        <v>732</v>
      </c>
      <c r="C230" s="27" t="s">
        <v>733</v>
      </c>
      <c r="D230" s="27" t="s">
        <v>734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34600</f>
        <v>34600.0</v>
      </c>
      <c r="L230" s="34" t="s">
        <v>116</v>
      </c>
      <c r="M230" s="33" t="n">
        <f>37050</f>
        <v>37050.0</v>
      </c>
      <c r="N230" s="34" t="s">
        <v>132</v>
      </c>
      <c r="O230" s="33" t="n">
        <f>34580</f>
        <v>34580.0</v>
      </c>
      <c r="P230" s="34" t="s">
        <v>116</v>
      </c>
      <c r="Q230" s="33" t="n">
        <f>36950</f>
        <v>36950.0</v>
      </c>
      <c r="R230" s="34" t="s">
        <v>51</v>
      </c>
      <c r="S230" s="35" t="n">
        <f>36282.78</f>
        <v>36282.78</v>
      </c>
      <c r="T230" s="32" t="n">
        <f>153138</f>
        <v>153138.0</v>
      </c>
      <c r="U230" s="32" t="n">
        <f>128824</f>
        <v>128824.0</v>
      </c>
      <c r="V230" s="32" t="n">
        <f>5421791580</f>
        <v>5.42179158E9</v>
      </c>
      <c r="W230" s="32" t="n">
        <f>4564654190</f>
        <v>4.56465419E9</v>
      </c>
      <c r="X230" s="36" t="n">
        <f>18</f>
        <v>18.0</v>
      </c>
    </row>
    <row r="231">
      <c r="A231" s="27" t="s">
        <v>42</v>
      </c>
      <c r="B231" s="27" t="s">
        <v>735</v>
      </c>
      <c r="C231" s="27" t="s">
        <v>736</v>
      </c>
      <c r="D231" s="27" t="s">
        <v>737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32480</f>
        <v>32480.0</v>
      </c>
      <c r="L231" s="34" t="s">
        <v>48</v>
      </c>
      <c r="M231" s="33" t="n">
        <f>32550</f>
        <v>32550.0</v>
      </c>
      <c r="N231" s="34" t="s">
        <v>48</v>
      </c>
      <c r="O231" s="33" t="n">
        <f>27270</f>
        <v>27270.0</v>
      </c>
      <c r="P231" s="34" t="s">
        <v>132</v>
      </c>
      <c r="Q231" s="33" t="n">
        <f>27460</f>
        <v>27460.0</v>
      </c>
      <c r="R231" s="34" t="s">
        <v>51</v>
      </c>
      <c r="S231" s="35" t="n">
        <f>28874.75</f>
        <v>28874.75</v>
      </c>
      <c r="T231" s="32" t="n">
        <f>12465</f>
        <v>12465.0</v>
      </c>
      <c r="U231" s="32" t="str">
        <f>"－"</f>
        <v>－</v>
      </c>
      <c r="V231" s="32" t="n">
        <f>363283095</f>
        <v>3.63283095E8</v>
      </c>
      <c r="W231" s="32" t="str">
        <f>"－"</f>
        <v>－</v>
      </c>
      <c r="X231" s="36" t="n">
        <f>20</f>
        <v>20.0</v>
      </c>
    </row>
    <row r="232">
      <c r="A232" s="27" t="s">
        <v>42</v>
      </c>
      <c r="B232" s="27" t="s">
        <v>738</v>
      </c>
      <c r="C232" s="27" t="s">
        <v>739</v>
      </c>
      <c r="D232" s="27" t="s">
        <v>740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10.0</v>
      </c>
      <c r="K232" s="33" t="n">
        <f>199.5</f>
        <v>199.5</v>
      </c>
      <c r="L232" s="34" t="s">
        <v>48</v>
      </c>
      <c r="M232" s="33" t="n">
        <f>215.3</f>
        <v>215.3</v>
      </c>
      <c r="N232" s="34" t="s">
        <v>293</v>
      </c>
      <c r="O232" s="33" t="n">
        <f>199.5</f>
        <v>199.5</v>
      </c>
      <c r="P232" s="34" t="s">
        <v>48</v>
      </c>
      <c r="Q232" s="33" t="n">
        <f>208.7</f>
        <v>208.7</v>
      </c>
      <c r="R232" s="34" t="s">
        <v>51</v>
      </c>
      <c r="S232" s="35" t="n">
        <f>208.15</f>
        <v>208.15</v>
      </c>
      <c r="T232" s="32" t="n">
        <f>60670</f>
        <v>60670.0</v>
      </c>
      <c r="U232" s="32" t="str">
        <f>"－"</f>
        <v>－</v>
      </c>
      <c r="V232" s="32" t="n">
        <f>12563407</f>
        <v>1.2563407E7</v>
      </c>
      <c r="W232" s="32" t="str">
        <f>"－"</f>
        <v>－</v>
      </c>
      <c r="X232" s="36" t="n">
        <f>19</f>
        <v>19.0</v>
      </c>
    </row>
    <row r="233">
      <c r="A233" s="27" t="s">
        <v>42</v>
      </c>
      <c r="B233" s="27" t="s">
        <v>741</v>
      </c>
      <c r="C233" s="27" t="s">
        <v>742</v>
      </c>
      <c r="D233" s="27" t="s">
        <v>743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10.0</v>
      </c>
      <c r="K233" s="33" t="n">
        <f>789.5</f>
        <v>789.5</v>
      </c>
      <c r="L233" s="34" t="s">
        <v>48</v>
      </c>
      <c r="M233" s="33" t="n">
        <f>794.1</f>
        <v>794.1</v>
      </c>
      <c r="N233" s="34" t="s">
        <v>48</v>
      </c>
      <c r="O233" s="33" t="n">
        <f>753.8</f>
        <v>753.8</v>
      </c>
      <c r="P233" s="34" t="s">
        <v>51</v>
      </c>
      <c r="Q233" s="33" t="n">
        <f>761.1</f>
        <v>761.1</v>
      </c>
      <c r="R233" s="34" t="s">
        <v>51</v>
      </c>
      <c r="S233" s="35" t="n">
        <f>774.36</f>
        <v>774.36</v>
      </c>
      <c r="T233" s="32" t="n">
        <f>15966900</f>
        <v>1.59669E7</v>
      </c>
      <c r="U233" s="32" t="n">
        <f>15485670</f>
        <v>1.548567E7</v>
      </c>
      <c r="V233" s="32" t="n">
        <f>12458886430</f>
        <v>1.245888643E10</v>
      </c>
      <c r="W233" s="32" t="n">
        <f>12087071107</f>
        <v>1.2087071107E10</v>
      </c>
      <c r="X233" s="36" t="n">
        <f>20</f>
        <v>20.0</v>
      </c>
    </row>
    <row r="234">
      <c r="A234" s="27" t="s">
        <v>42</v>
      </c>
      <c r="B234" s="27" t="s">
        <v>744</v>
      </c>
      <c r="C234" s="27" t="s">
        <v>745</v>
      </c>
      <c r="D234" s="27" t="s">
        <v>746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922</f>
        <v>922.0</v>
      </c>
      <c r="L234" s="34" t="s">
        <v>48</v>
      </c>
      <c r="M234" s="33" t="n">
        <f>1000</f>
        <v>1000.0</v>
      </c>
      <c r="N234" s="34" t="s">
        <v>62</v>
      </c>
      <c r="O234" s="33" t="n">
        <f>919</f>
        <v>919.0</v>
      </c>
      <c r="P234" s="34" t="s">
        <v>116</v>
      </c>
      <c r="Q234" s="33" t="n">
        <f>982</f>
        <v>982.0</v>
      </c>
      <c r="R234" s="34" t="s">
        <v>51</v>
      </c>
      <c r="S234" s="35" t="n">
        <f>965.9</f>
        <v>965.9</v>
      </c>
      <c r="T234" s="32" t="n">
        <f>707868</f>
        <v>707868.0</v>
      </c>
      <c r="U234" s="32" t="str">
        <f>"－"</f>
        <v>－</v>
      </c>
      <c r="V234" s="32" t="n">
        <f>670850005</f>
        <v>6.70850005E8</v>
      </c>
      <c r="W234" s="32" t="str">
        <f>"－"</f>
        <v>－</v>
      </c>
      <c r="X234" s="36" t="n">
        <f>20</f>
        <v>20.0</v>
      </c>
    </row>
    <row r="235">
      <c r="A235" s="27" t="s">
        <v>42</v>
      </c>
      <c r="B235" s="27" t="s">
        <v>747</v>
      </c>
      <c r="C235" s="27" t="s">
        <v>748</v>
      </c>
      <c r="D235" s="27" t="s">
        <v>749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1009</f>
        <v>1009.0</v>
      </c>
      <c r="L235" s="34" t="s">
        <v>48</v>
      </c>
      <c r="M235" s="33" t="n">
        <f>1062</f>
        <v>1062.0</v>
      </c>
      <c r="N235" s="34" t="s">
        <v>79</v>
      </c>
      <c r="O235" s="33" t="n">
        <f>1007</f>
        <v>1007.0</v>
      </c>
      <c r="P235" s="34" t="s">
        <v>48</v>
      </c>
      <c r="Q235" s="33" t="n">
        <f>1028</f>
        <v>1028.0</v>
      </c>
      <c r="R235" s="34" t="s">
        <v>51</v>
      </c>
      <c r="S235" s="35" t="n">
        <f>1033.85</f>
        <v>1033.85</v>
      </c>
      <c r="T235" s="32" t="n">
        <f>84219</f>
        <v>84219.0</v>
      </c>
      <c r="U235" s="32" t="str">
        <f>"－"</f>
        <v>－</v>
      </c>
      <c r="V235" s="32" t="n">
        <f>87391341</f>
        <v>8.7391341E7</v>
      </c>
      <c r="W235" s="32" t="str">
        <f>"－"</f>
        <v>－</v>
      </c>
      <c r="X235" s="36" t="n">
        <f>20</f>
        <v>20.0</v>
      </c>
    </row>
    <row r="236">
      <c r="A236" s="27" t="s">
        <v>42</v>
      </c>
      <c r="B236" s="27" t="s">
        <v>750</v>
      </c>
      <c r="C236" s="27" t="s">
        <v>751</v>
      </c>
      <c r="D236" s="27" t="s">
        <v>752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875</f>
        <v>875.0</v>
      </c>
      <c r="L236" s="34" t="s">
        <v>48</v>
      </c>
      <c r="M236" s="33" t="n">
        <f>893</f>
        <v>893.0</v>
      </c>
      <c r="N236" s="34" t="s">
        <v>79</v>
      </c>
      <c r="O236" s="33" t="n">
        <f>805</f>
        <v>805.0</v>
      </c>
      <c r="P236" s="34" t="s">
        <v>51</v>
      </c>
      <c r="Q236" s="33" t="n">
        <f>805</f>
        <v>805.0</v>
      </c>
      <c r="R236" s="34" t="s">
        <v>51</v>
      </c>
      <c r="S236" s="35" t="n">
        <f>858.25</f>
        <v>858.25</v>
      </c>
      <c r="T236" s="32" t="n">
        <f>403607</f>
        <v>403607.0</v>
      </c>
      <c r="U236" s="32" t="str">
        <f>"－"</f>
        <v>－</v>
      </c>
      <c r="V236" s="32" t="n">
        <f>344616503</f>
        <v>3.44616503E8</v>
      </c>
      <c r="W236" s="32" t="str">
        <f>"－"</f>
        <v>－</v>
      </c>
      <c r="X236" s="36" t="n">
        <f>20</f>
        <v>20.0</v>
      </c>
    </row>
    <row r="237">
      <c r="A237" s="27" t="s">
        <v>42</v>
      </c>
      <c r="B237" s="27" t="s">
        <v>753</v>
      </c>
      <c r="C237" s="27" t="s">
        <v>754</v>
      </c>
      <c r="D237" s="27" t="s">
        <v>755</v>
      </c>
      <c r="E237" s="28" t="s">
        <v>550</v>
      </c>
      <c r="F237" s="29" t="s">
        <v>551</v>
      </c>
      <c r="G237" s="30" t="s">
        <v>756</v>
      </c>
      <c r="H237" s="31"/>
      <c r="I237" s="31" t="s">
        <v>47</v>
      </c>
      <c r="J237" s="32" t="n">
        <v>10.0</v>
      </c>
      <c r="K237" s="33" t="n">
        <f>210</f>
        <v>210.0</v>
      </c>
      <c r="L237" s="34" t="s">
        <v>293</v>
      </c>
      <c r="M237" s="33" t="n">
        <f>214.9</f>
        <v>214.9</v>
      </c>
      <c r="N237" s="34" t="s">
        <v>51</v>
      </c>
      <c r="O237" s="33" t="n">
        <f>201</f>
        <v>201.0</v>
      </c>
      <c r="P237" s="34" t="s">
        <v>89</v>
      </c>
      <c r="Q237" s="33" t="n">
        <f>202.8</f>
        <v>202.8</v>
      </c>
      <c r="R237" s="34" t="s">
        <v>51</v>
      </c>
      <c r="S237" s="35" t="n">
        <f>202.57</f>
        <v>202.57</v>
      </c>
      <c r="T237" s="32" t="n">
        <f>5785870</f>
        <v>5785870.0</v>
      </c>
      <c r="U237" s="32" t="str">
        <f>"－"</f>
        <v>－</v>
      </c>
      <c r="V237" s="32" t="n">
        <f>1173516556</f>
        <v>1.173516556E9</v>
      </c>
      <c r="W237" s="32" t="str">
        <f>"－"</f>
        <v>－</v>
      </c>
      <c r="X237" s="36" t="n">
        <f>3</f>
        <v>3.0</v>
      </c>
    </row>
    <row r="238">
      <c r="A238" s="27" t="s">
        <v>42</v>
      </c>
      <c r="B238" s="27" t="s">
        <v>757</v>
      </c>
      <c r="C238" s="27" t="s">
        <v>758</v>
      </c>
      <c r="D238" s="27" t="s">
        <v>759</v>
      </c>
      <c r="E238" s="28" t="s">
        <v>550</v>
      </c>
      <c r="F238" s="29" t="s">
        <v>551</v>
      </c>
      <c r="G238" s="30" t="s">
        <v>756</v>
      </c>
      <c r="H238" s="31"/>
      <c r="I238" s="31" t="s">
        <v>47</v>
      </c>
      <c r="J238" s="32" t="n">
        <v>10.0</v>
      </c>
      <c r="K238" s="33" t="n">
        <f>201.9</f>
        <v>201.9</v>
      </c>
      <c r="L238" s="34" t="s">
        <v>293</v>
      </c>
      <c r="M238" s="33" t="n">
        <f>216.6</f>
        <v>216.6</v>
      </c>
      <c r="N238" s="34" t="s">
        <v>293</v>
      </c>
      <c r="O238" s="33" t="n">
        <f>198.7</f>
        <v>198.7</v>
      </c>
      <c r="P238" s="34" t="s">
        <v>89</v>
      </c>
      <c r="Q238" s="33" t="n">
        <f>199.8</f>
        <v>199.8</v>
      </c>
      <c r="R238" s="34" t="s">
        <v>51</v>
      </c>
      <c r="S238" s="35" t="n">
        <f>199.5</f>
        <v>199.5</v>
      </c>
      <c r="T238" s="32" t="n">
        <f>329540</f>
        <v>329540.0</v>
      </c>
      <c r="U238" s="32" t="str">
        <f>"－"</f>
        <v>－</v>
      </c>
      <c r="V238" s="32" t="n">
        <f>65752333</f>
        <v>6.5752333E7</v>
      </c>
      <c r="W238" s="32" t="str">
        <f>"－"</f>
        <v>－</v>
      </c>
      <c r="X238" s="36" t="n">
        <f>3</f>
        <v>3.0</v>
      </c>
    </row>
    <row r="239">
      <c r="A239" s="27" t="s">
        <v>42</v>
      </c>
      <c r="B239" s="27" t="s">
        <v>760</v>
      </c>
      <c r="C239" s="27" t="s">
        <v>761</v>
      </c>
      <c r="D239" s="27" t="s">
        <v>762</v>
      </c>
      <c r="E239" s="28" t="s">
        <v>550</v>
      </c>
      <c r="F239" s="29" t="s">
        <v>551</v>
      </c>
      <c r="G239" s="30" t="s">
        <v>756</v>
      </c>
      <c r="H239" s="31"/>
      <c r="I239" s="31" t="s">
        <v>47</v>
      </c>
      <c r="J239" s="32" t="n">
        <v>10.0</v>
      </c>
      <c r="K239" s="33" t="n">
        <f>202.1</f>
        <v>202.1</v>
      </c>
      <c r="L239" s="34" t="s">
        <v>293</v>
      </c>
      <c r="M239" s="33" t="n">
        <f>210.1</f>
        <v>210.1</v>
      </c>
      <c r="N239" s="34" t="s">
        <v>293</v>
      </c>
      <c r="O239" s="33" t="n">
        <f>198.6</f>
        <v>198.6</v>
      </c>
      <c r="P239" s="34" t="s">
        <v>89</v>
      </c>
      <c r="Q239" s="33" t="n">
        <f>200.7</f>
        <v>200.7</v>
      </c>
      <c r="R239" s="34" t="s">
        <v>51</v>
      </c>
      <c r="S239" s="35" t="n">
        <f>199.67</f>
        <v>199.67</v>
      </c>
      <c r="T239" s="32" t="n">
        <f>149590</f>
        <v>149590.0</v>
      </c>
      <c r="U239" s="32" t="n">
        <f>70</f>
        <v>70.0</v>
      </c>
      <c r="V239" s="32" t="n">
        <f>29947875</f>
        <v>2.9947875E7</v>
      </c>
      <c r="W239" s="32" t="n">
        <f>12950</f>
        <v>12950.0</v>
      </c>
      <c r="X239" s="36" t="n">
        <f>3</f>
        <v>3.0</v>
      </c>
    </row>
    <row r="240">
      <c r="A240" s="27" t="s">
        <v>42</v>
      </c>
      <c r="B240" s="27" t="s">
        <v>763</v>
      </c>
      <c r="C240" s="27" t="s">
        <v>764</v>
      </c>
      <c r="D240" s="27" t="s">
        <v>765</v>
      </c>
      <c r="E240" s="28" t="s">
        <v>550</v>
      </c>
      <c r="F240" s="29" t="s">
        <v>551</v>
      </c>
      <c r="G240" s="30" t="s">
        <v>756</v>
      </c>
      <c r="H240" s="31"/>
      <c r="I240" s="31" t="s">
        <v>47</v>
      </c>
      <c r="J240" s="32" t="n">
        <v>10.0</v>
      </c>
      <c r="K240" s="33" t="n">
        <f>205</f>
        <v>205.0</v>
      </c>
      <c r="L240" s="34" t="s">
        <v>293</v>
      </c>
      <c r="M240" s="33" t="n">
        <f>248.7</f>
        <v>248.7</v>
      </c>
      <c r="N240" s="34" t="s">
        <v>51</v>
      </c>
      <c r="O240" s="33" t="n">
        <f>197.8</f>
        <v>197.8</v>
      </c>
      <c r="P240" s="34" t="s">
        <v>89</v>
      </c>
      <c r="Q240" s="33" t="n">
        <f>200</f>
        <v>200.0</v>
      </c>
      <c r="R240" s="34" t="s">
        <v>51</v>
      </c>
      <c r="S240" s="35" t="n">
        <f>199.2</f>
        <v>199.2</v>
      </c>
      <c r="T240" s="32" t="n">
        <f>144810</f>
        <v>144810.0</v>
      </c>
      <c r="U240" s="32" t="n">
        <f>100</f>
        <v>100.0</v>
      </c>
      <c r="V240" s="32" t="n">
        <f>29569947</f>
        <v>2.9569947E7</v>
      </c>
      <c r="W240" s="32" t="n">
        <f>18410</f>
        <v>18410.0</v>
      </c>
      <c r="X240" s="36" t="n">
        <f>3</f>
        <v>3.0</v>
      </c>
    </row>
    <row r="241">
      <c r="A241" s="27" t="s">
        <v>42</v>
      </c>
      <c r="B241" s="27" t="s">
        <v>766</v>
      </c>
      <c r="C241" s="27" t="s">
        <v>767</v>
      </c>
      <c r="D241" s="27" t="s">
        <v>768</v>
      </c>
      <c r="E241" s="28" t="s">
        <v>550</v>
      </c>
      <c r="F241" s="29" t="s">
        <v>551</v>
      </c>
      <c r="G241" s="30" t="s">
        <v>756</v>
      </c>
      <c r="H241" s="31"/>
      <c r="I241" s="31" t="s">
        <v>47</v>
      </c>
      <c r="J241" s="32" t="n">
        <v>10.0</v>
      </c>
      <c r="K241" s="33" t="n">
        <f>216</f>
        <v>216.0</v>
      </c>
      <c r="L241" s="34" t="s">
        <v>293</v>
      </c>
      <c r="M241" s="33" t="n">
        <f>282.9</f>
        <v>282.9</v>
      </c>
      <c r="N241" s="34" t="s">
        <v>51</v>
      </c>
      <c r="O241" s="33" t="n">
        <f>201.2</f>
        <v>201.2</v>
      </c>
      <c r="P241" s="34" t="s">
        <v>293</v>
      </c>
      <c r="Q241" s="33" t="n">
        <f>203.4</f>
        <v>203.4</v>
      </c>
      <c r="R241" s="34" t="s">
        <v>51</v>
      </c>
      <c r="S241" s="35" t="n">
        <f>202.53</f>
        <v>202.53</v>
      </c>
      <c r="T241" s="32" t="n">
        <f>10740</f>
        <v>10740.0</v>
      </c>
      <c r="U241" s="32" t="str">
        <f>"－"</f>
        <v>－</v>
      </c>
      <c r="V241" s="32" t="n">
        <f>2216834</f>
        <v>2216834.0</v>
      </c>
      <c r="W241" s="32" t="str">
        <f>"－"</f>
        <v>－</v>
      </c>
      <c r="X241" s="36" t="n">
        <f>3</f>
        <v>3.0</v>
      </c>
    </row>
    <row r="242">
      <c r="A242" s="27" t="s">
        <v>42</v>
      </c>
      <c r="B242" s="27" t="s">
        <v>769</v>
      </c>
      <c r="C242" s="27" t="s">
        <v>770</v>
      </c>
      <c r="D242" s="27" t="s">
        <v>771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10.0</v>
      </c>
      <c r="K242" s="33" t="n">
        <f>911.3</f>
        <v>911.3</v>
      </c>
      <c r="L242" s="34" t="s">
        <v>48</v>
      </c>
      <c r="M242" s="33" t="n">
        <f>933.3</f>
        <v>933.3</v>
      </c>
      <c r="N242" s="34" t="s">
        <v>51</v>
      </c>
      <c r="O242" s="33" t="n">
        <f>908.2</f>
        <v>908.2</v>
      </c>
      <c r="P242" s="34" t="s">
        <v>48</v>
      </c>
      <c r="Q242" s="33" t="n">
        <f>927.6</f>
        <v>927.6</v>
      </c>
      <c r="R242" s="34" t="s">
        <v>51</v>
      </c>
      <c r="S242" s="35" t="n">
        <f>922.35</f>
        <v>922.35</v>
      </c>
      <c r="T242" s="32" t="n">
        <f>71350650</f>
        <v>7.135065E7</v>
      </c>
      <c r="U242" s="32" t="n">
        <f>69377450</f>
        <v>6.937745E7</v>
      </c>
      <c r="V242" s="32" t="n">
        <f>65496022051</f>
        <v>6.5496022051E10</v>
      </c>
      <c r="W242" s="32" t="n">
        <f>63676939926</f>
        <v>6.3676939926E10</v>
      </c>
      <c r="X242" s="36" t="n">
        <f>20</f>
        <v>20.0</v>
      </c>
    </row>
    <row r="243">
      <c r="A243" s="27" t="s">
        <v>42</v>
      </c>
      <c r="B243" s="27" t="s">
        <v>772</v>
      </c>
      <c r="C243" s="27" t="s">
        <v>773</v>
      </c>
      <c r="D243" s="27" t="s">
        <v>774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1024.5</f>
        <v>1024.5</v>
      </c>
      <c r="L243" s="34" t="s">
        <v>48</v>
      </c>
      <c r="M243" s="33" t="n">
        <f>1061</f>
        <v>1061.0</v>
      </c>
      <c r="N243" s="34" t="s">
        <v>241</v>
      </c>
      <c r="O243" s="33" t="n">
        <f>1022.5</f>
        <v>1022.5</v>
      </c>
      <c r="P243" s="34" t="s">
        <v>48</v>
      </c>
      <c r="Q243" s="33" t="n">
        <f>1051.5</f>
        <v>1051.5</v>
      </c>
      <c r="R243" s="34" t="s">
        <v>51</v>
      </c>
      <c r="S243" s="35" t="n">
        <f>1046.98</f>
        <v>1046.98</v>
      </c>
      <c r="T243" s="32" t="n">
        <f>1018360</f>
        <v>1018360.0</v>
      </c>
      <c r="U243" s="32" t="n">
        <f>310330</f>
        <v>310330.0</v>
      </c>
      <c r="V243" s="32" t="n">
        <f>1065259949</f>
        <v>1.065259949E9</v>
      </c>
      <c r="W243" s="32" t="n">
        <f>323105924</f>
        <v>3.23105924E8</v>
      </c>
      <c r="X243" s="36" t="n">
        <f>20</f>
        <v>20.0</v>
      </c>
    </row>
    <row r="244">
      <c r="A244" s="27" t="s">
        <v>42</v>
      </c>
      <c r="B244" s="27" t="s">
        <v>775</v>
      </c>
      <c r="C244" s="27" t="s">
        <v>776</v>
      </c>
      <c r="D244" s="27" t="s">
        <v>777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772.9</f>
        <v>772.9</v>
      </c>
      <c r="L244" s="34" t="s">
        <v>48</v>
      </c>
      <c r="M244" s="33" t="n">
        <f>796.9</f>
        <v>796.9</v>
      </c>
      <c r="N244" s="34" t="s">
        <v>89</v>
      </c>
      <c r="O244" s="33" t="n">
        <f>769.9</f>
        <v>769.9</v>
      </c>
      <c r="P244" s="34" t="s">
        <v>48</v>
      </c>
      <c r="Q244" s="33" t="n">
        <f>793.5</f>
        <v>793.5</v>
      </c>
      <c r="R244" s="34" t="s">
        <v>51</v>
      </c>
      <c r="S244" s="35" t="n">
        <f>784.22</f>
        <v>784.22</v>
      </c>
      <c r="T244" s="32" t="n">
        <f>3086640</f>
        <v>3086640.0</v>
      </c>
      <c r="U244" s="32" t="n">
        <f>2642690</f>
        <v>2642690.0</v>
      </c>
      <c r="V244" s="32" t="n">
        <f>2428810711</f>
        <v>2.428810711E9</v>
      </c>
      <c r="W244" s="32" t="n">
        <f>2080484257</f>
        <v>2.080484257E9</v>
      </c>
      <c r="X244" s="36" t="n">
        <f>20</f>
        <v>20.0</v>
      </c>
    </row>
    <row r="245">
      <c r="A245" s="27" t="s">
        <v>42</v>
      </c>
      <c r="B245" s="27" t="s">
        <v>778</v>
      </c>
      <c r="C245" s="27" t="s">
        <v>779</v>
      </c>
      <c r="D245" s="27" t="s">
        <v>780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1908</f>
        <v>1908.0</v>
      </c>
      <c r="L245" s="34" t="s">
        <v>48</v>
      </c>
      <c r="M245" s="33" t="n">
        <f>2057.5</f>
        <v>2057.5</v>
      </c>
      <c r="N245" s="34" t="s">
        <v>132</v>
      </c>
      <c r="O245" s="33" t="n">
        <f>1905</f>
        <v>1905.0</v>
      </c>
      <c r="P245" s="34" t="s">
        <v>48</v>
      </c>
      <c r="Q245" s="33" t="n">
        <f>2028.5</f>
        <v>2028.5</v>
      </c>
      <c r="R245" s="34" t="s">
        <v>51</v>
      </c>
      <c r="S245" s="35" t="n">
        <f>2007.08</f>
        <v>2007.08</v>
      </c>
      <c r="T245" s="32" t="n">
        <f>1439010</f>
        <v>1439010.0</v>
      </c>
      <c r="U245" s="32" t="n">
        <f>1152180</f>
        <v>1152180.0</v>
      </c>
      <c r="V245" s="32" t="n">
        <f>2833360279</f>
        <v>2.833360279E9</v>
      </c>
      <c r="W245" s="32" t="n">
        <f>2255368859</f>
        <v>2.255368859E9</v>
      </c>
      <c r="X245" s="36" t="n">
        <f>20</f>
        <v>20.0</v>
      </c>
    </row>
    <row r="246">
      <c r="A246" s="27" t="s">
        <v>42</v>
      </c>
      <c r="B246" s="27" t="s">
        <v>781</v>
      </c>
      <c r="C246" s="27" t="s">
        <v>782</v>
      </c>
      <c r="D246" s="27" t="s">
        <v>783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1298.5</f>
        <v>1298.5</v>
      </c>
      <c r="L246" s="34" t="s">
        <v>48</v>
      </c>
      <c r="M246" s="33" t="n">
        <f>1404</f>
        <v>1404.0</v>
      </c>
      <c r="N246" s="34" t="s">
        <v>132</v>
      </c>
      <c r="O246" s="33" t="n">
        <f>1298.5</f>
        <v>1298.5</v>
      </c>
      <c r="P246" s="34" t="s">
        <v>48</v>
      </c>
      <c r="Q246" s="33" t="n">
        <f>1402.5</f>
        <v>1402.5</v>
      </c>
      <c r="R246" s="34" t="s">
        <v>51</v>
      </c>
      <c r="S246" s="35" t="n">
        <f>1372.1</f>
        <v>1372.1</v>
      </c>
      <c r="T246" s="32" t="n">
        <f>466860</f>
        <v>466860.0</v>
      </c>
      <c r="U246" s="32" t="n">
        <f>378500</f>
        <v>378500.0</v>
      </c>
      <c r="V246" s="32" t="n">
        <f>631795205</f>
        <v>6.31795205E8</v>
      </c>
      <c r="W246" s="32" t="n">
        <f>510520800</f>
        <v>5.105208E8</v>
      </c>
      <c r="X246" s="36" t="n">
        <f>20</f>
        <v>20.0</v>
      </c>
    </row>
    <row r="247">
      <c r="A247" s="27" t="s">
        <v>42</v>
      </c>
      <c r="B247" s="27" t="s">
        <v>784</v>
      </c>
      <c r="C247" s="27" t="s">
        <v>785</v>
      </c>
      <c r="D247" s="27" t="s">
        <v>786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10.0</v>
      </c>
      <c r="K247" s="33" t="n">
        <f>1137</f>
        <v>1137.0</v>
      </c>
      <c r="L247" s="34" t="s">
        <v>48</v>
      </c>
      <c r="M247" s="33" t="n">
        <f>1235</f>
        <v>1235.0</v>
      </c>
      <c r="N247" s="34" t="s">
        <v>241</v>
      </c>
      <c r="O247" s="33" t="n">
        <f>1131.5</f>
        <v>1131.5</v>
      </c>
      <c r="P247" s="34" t="s">
        <v>48</v>
      </c>
      <c r="Q247" s="33" t="n">
        <f>1220</f>
        <v>1220.0</v>
      </c>
      <c r="R247" s="34" t="s">
        <v>51</v>
      </c>
      <c r="S247" s="35" t="n">
        <f>1199.48</f>
        <v>1199.48</v>
      </c>
      <c r="T247" s="32" t="n">
        <f>361930</f>
        <v>361930.0</v>
      </c>
      <c r="U247" s="32" t="n">
        <f>62090</f>
        <v>62090.0</v>
      </c>
      <c r="V247" s="32" t="n">
        <f>434063401</f>
        <v>4.34063401E8</v>
      </c>
      <c r="W247" s="32" t="n">
        <f>74874331</f>
        <v>7.4874331E7</v>
      </c>
      <c r="X247" s="36" t="n">
        <f>20</f>
        <v>20.0</v>
      </c>
    </row>
    <row r="248">
      <c r="A248" s="27" t="s">
        <v>42</v>
      </c>
      <c r="B248" s="27" t="s">
        <v>787</v>
      </c>
      <c r="C248" s="27" t="s">
        <v>788</v>
      </c>
      <c r="D248" s="27" t="s">
        <v>789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511.7</f>
        <v>511.7</v>
      </c>
      <c r="L248" s="34" t="s">
        <v>48</v>
      </c>
      <c r="M248" s="33" t="n">
        <f>564.8</f>
        <v>564.8</v>
      </c>
      <c r="N248" s="34" t="s">
        <v>69</v>
      </c>
      <c r="O248" s="33" t="n">
        <f>496</f>
        <v>496.0</v>
      </c>
      <c r="P248" s="34" t="s">
        <v>48</v>
      </c>
      <c r="Q248" s="33" t="n">
        <f>555.6</f>
        <v>555.6</v>
      </c>
      <c r="R248" s="34" t="s">
        <v>51</v>
      </c>
      <c r="S248" s="35" t="n">
        <f>540.96</f>
        <v>540.96</v>
      </c>
      <c r="T248" s="32" t="n">
        <f>49458580</f>
        <v>4.945858E7</v>
      </c>
      <c r="U248" s="32" t="n">
        <f>2254170</f>
        <v>2254170.0</v>
      </c>
      <c r="V248" s="32" t="n">
        <f>26662487324</f>
        <v>2.6662487324E10</v>
      </c>
      <c r="W248" s="32" t="n">
        <f>1211139851</f>
        <v>1.211139851E9</v>
      </c>
      <c r="X248" s="36" t="n">
        <f>20</f>
        <v>20.0</v>
      </c>
    </row>
    <row r="249">
      <c r="A249" s="27" t="s">
        <v>42</v>
      </c>
      <c r="B249" s="27" t="s">
        <v>790</v>
      </c>
      <c r="C249" s="27" t="s">
        <v>791</v>
      </c>
      <c r="D249" s="27" t="s">
        <v>792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1101</f>
        <v>1101.0</v>
      </c>
      <c r="L249" s="34" t="s">
        <v>48</v>
      </c>
      <c r="M249" s="33" t="n">
        <f>1129</f>
        <v>1129.0</v>
      </c>
      <c r="N249" s="34" t="s">
        <v>116</v>
      </c>
      <c r="O249" s="33" t="n">
        <f>1077.5</f>
        <v>1077.5</v>
      </c>
      <c r="P249" s="34" t="s">
        <v>103</v>
      </c>
      <c r="Q249" s="33" t="n">
        <f>1102</f>
        <v>1102.0</v>
      </c>
      <c r="R249" s="34" t="s">
        <v>51</v>
      </c>
      <c r="S249" s="35" t="n">
        <f>1098.28</f>
        <v>1098.28</v>
      </c>
      <c r="T249" s="32" t="n">
        <f>1082350</f>
        <v>1082350.0</v>
      </c>
      <c r="U249" s="32" t="n">
        <f>400000</f>
        <v>400000.0</v>
      </c>
      <c r="V249" s="32" t="n">
        <f>1193017530</f>
        <v>1.19301753E9</v>
      </c>
      <c r="W249" s="32" t="n">
        <f>440520000</f>
        <v>4.4052E8</v>
      </c>
      <c r="X249" s="36" t="n">
        <f>20</f>
        <v>20.0</v>
      </c>
    </row>
    <row r="250">
      <c r="A250" s="27" t="s">
        <v>42</v>
      </c>
      <c r="B250" s="27" t="s">
        <v>793</v>
      </c>
      <c r="C250" s="27" t="s">
        <v>794</v>
      </c>
      <c r="D250" s="27" t="s">
        <v>795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1250</f>
        <v>1250.0</v>
      </c>
      <c r="L250" s="34" t="s">
        <v>48</v>
      </c>
      <c r="M250" s="33" t="n">
        <f>1325</f>
        <v>1325.0</v>
      </c>
      <c r="N250" s="34" t="s">
        <v>69</v>
      </c>
      <c r="O250" s="33" t="n">
        <f>1244</f>
        <v>1244.0</v>
      </c>
      <c r="P250" s="34" t="s">
        <v>48</v>
      </c>
      <c r="Q250" s="33" t="n">
        <f>1305</f>
        <v>1305.0</v>
      </c>
      <c r="R250" s="34" t="s">
        <v>51</v>
      </c>
      <c r="S250" s="35" t="n">
        <f>1289.15</f>
        <v>1289.15</v>
      </c>
      <c r="T250" s="32" t="n">
        <f>287321</f>
        <v>287321.0</v>
      </c>
      <c r="U250" s="32" t="n">
        <f>25004</f>
        <v>25004.0</v>
      </c>
      <c r="V250" s="32" t="n">
        <f>365493753</f>
        <v>3.65493753E8</v>
      </c>
      <c r="W250" s="32" t="n">
        <f>32787698</f>
        <v>3.2787698E7</v>
      </c>
      <c r="X250" s="36" t="n">
        <f>20</f>
        <v>20.0</v>
      </c>
    </row>
    <row r="251">
      <c r="A251" s="27" t="s">
        <v>42</v>
      </c>
      <c r="B251" s="27" t="s">
        <v>796</v>
      </c>
      <c r="C251" s="27" t="s">
        <v>797</v>
      </c>
      <c r="D251" s="27" t="s">
        <v>798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10.0</v>
      </c>
      <c r="K251" s="33" t="n">
        <f>933.1</f>
        <v>933.1</v>
      </c>
      <c r="L251" s="34" t="s">
        <v>48</v>
      </c>
      <c r="M251" s="33" t="n">
        <f>978.5</f>
        <v>978.5</v>
      </c>
      <c r="N251" s="34" t="s">
        <v>62</v>
      </c>
      <c r="O251" s="33" t="n">
        <f>933.1</f>
        <v>933.1</v>
      </c>
      <c r="P251" s="34" t="s">
        <v>48</v>
      </c>
      <c r="Q251" s="33" t="n">
        <f>974</f>
        <v>974.0</v>
      </c>
      <c r="R251" s="34" t="s">
        <v>51</v>
      </c>
      <c r="S251" s="35" t="n">
        <f>962.9</f>
        <v>962.9</v>
      </c>
      <c r="T251" s="32" t="n">
        <f>79960</f>
        <v>79960.0</v>
      </c>
      <c r="U251" s="32" t="str">
        <f>"－"</f>
        <v>－</v>
      </c>
      <c r="V251" s="32" t="n">
        <f>76823332</f>
        <v>7.6823332E7</v>
      </c>
      <c r="W251" s="32" t="str">
        <f>"－"</f>
        <v>－</v>
      </c>
      <c r="X251" s="36" t="n">
        <f>20</f>
        <v>20.0</v>
      </c>
    </row>
    <row r="252">
      <c r="A252" s="27" t="s">
        <v>42</v>
      </c>
      <c r="B252" s="27" t="s">
        <v>799</v>
      </c>
      <c r="C252" s="27" t="s">
        <v>800</v>
      </c>
      <c r="D252" s="27" t="s">
        <v>801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10.0</v>
      </c>
      <c r="K252" s="33" t="n">
        <f>1205</f>
        <v>1205.0</v>
      </c>
      <c r="L252" s="34" t="s">
        <v>48</v>
      </c>
      <c r="M252" s="33" t="n">
        <f>1312</f>
        <v>1312.0</v>
      </c>
      <c r="N252" s="34" t="s">
        <v>79</v>
      </c>
      <c r="O252" s="33" t="n">
        <f>1190</f>
        <v>1190.0</v>
      </c>
      <c r="P252" s="34" t="s">
        <v>116</v>
      </c>
      <c r="Q252" s="33" t="n">
        <f>1264.5</f>
        <v>1264.5</v>
      </c>
      <c r="R252" s="34" t="s">
        <v>51</v>
      </c>
      <c r="S252" s="35" t="n">
        <f>1265.38</f>
        <v>1265.38</v>
      </c>
      <c r="T252" s="32" t="n">
        <f>69060</f>
        <v>69060.0</v>
      </c>
      <c r="U252" s="32" t="str">
        <f>"－"</f>
        <v>－</v>
      </c>
      <c r="V252" s="32" t="n">
        <f>88091590</f>
        <v>8.809159E7</v>
      </c>
      <c r="W252" s="32" t="str">
        <f>"－"</f>
        <v>－</v>
      </c>
      <c r="X252" s="36" t="n">
        <f>20</f>
        <v>20.0</v>
      </c>
    </row>
    <row r="253">
      <c r="A253" s="27" t="s">
        <v>42</v>
      </c>
      <c r="B253" s="27" t="s">
        <v>802</v>
      </c>
      <c r="C253" s="27" t="s">
        <v>803</v>
      </c>
      <c r="D253" s="27" t="s">
        <v>804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1351.5</f>
        <v>1351.5</v>
      </c>
      <c r="L253" s="34" t="s">
        <v>48</v>
      </c>
      <c r="M253" s="33" t="n">
        <f>1468.5</f>
        <v>1468.5</v>
      </c>
      <c r="N253" s="34" t="s">
        <v>132</v>
      </c>
      <c r="O253" s="33" t="n">
        <f>1351</f>
        <v>1351.0</v>
      </c>
      <c r="P253" s="34" t="s">
        <v>48</v>
      </c>
      <c r="Q253" s="33" t="n">
        <f>1465</f>
        <v>1465.0</v>
      </c>
      <c r="R253" s="34" t="s">
        <v>51</v>
      </c>
      <c r="S253" s="35" t="n">
        <f>1434.25</f>
        <v>1434.25</v>
      </c>
      <c r="T253" s="32" t="n">
        <f>4948440</f>
        <v>4948440.0</v>
      </c>
      <c r="U253" s="32" t="n">
        <f>1613000</f>
        <v>1613000.0</v>
      </c>
      <c r="V253" s="32" t="n">
        <f>7058055932</f>
        <v>7.058055932E9</v>
      </c>
      <c r="W253" s="32" t="n">
        <f>2340036197</f>
        <v>2.340036197E9</v>
      </c>
      <c r="X253" s="36" t="n">
        <f>20</f>
        <v>20.0</v>
      </c>
    </row>
    <row r="254">
      <c r="A254" s="27" t="s">
        <v>42</v>
      </c>
      <c r="B254" s="27" t="s">
        <v>805</v>
      </c>
      <c r="C254" s="27" t="s">
        <v>806</v>
      </c>
      <c r="D254" s="27" t="s">
        <v>807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1.0</v>
      </c>
      <c r="K254" s="33" t="n">
        <f>4060</f>
        <v>4060.0</v>
      </c>
      <c r="L254" s="34" t="s">
        <v>48</v>
      </c>
      <c r="M254" s="33" t="n">
        <f>4650</f>
        <v>4650.0</v>
      </c>
      <c r="N254" s="34" t="s">
        <v>51</v>
      </c>
      <c r="O254" s="33" t="n">
        <f>4060</f>
        <v>4060.0</v>
      </c>
      <c r="P254" s="34" t="s">
        <v>48</v>
      </c>
      <c r="Q254" s="33" t="n">
        <f>4635</f>
        <v>4635.0</v>
      </c>
      <c r="R254" s="34" t="s">
        <v>51</v>
      </c>
      <c r="S254" s="35" t="n">
        <f>4459.75</f>
        <v>4459.75</v>
      </c>
      <c r="T254" s="32" t="n">
        <f>211974</f>
        <v>211974.0</v>
      </c>
      <c r="U254" s="32" t="n">
        <f>180000</f>
        <v>180000.0</v>
      </c>
      <c r="V254" s="32" t="n">
        <f>910483086</f>
        <v>9.10483086E8</v>
      </c>
      <c r="W254" s="32" t="n">
        <f>768450186</f>
        <v>7.68450186E8</v>
      </c>
      <c r="X254" s="36" t="n">
        <f>20</f>
        <v>20.0</v>
      </c>
    </row>
    <row r="255">
      <c r="A255" s="27" t="s">
        <v>42</v>
      </c>
      <c r="B255" s="27" t="s">
        <v>808</v>
      </c>
      <c r="C255" s="27" t="s">
        <v>809</v>
      </c>
      <c r="D255" s="27" t="s">
        <v>810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1805</f>
        <v>1805.0</v>
      </c>
      <c r="L255" s="34" t="s">
        <v>48</v>
      </c>
      <c r="M255" s="33" t="n">
        <f>1905</f>
        <v>1905.0</v>
      </c>
      <c r="N255" s="34" t="s">
        <v>62</v>
      </c>
      <c r="O255" s="33" t="n">
        <f>1805</f>
        <v>1805.0</v>
      </c>
      <c r="P255" s="34" t="s">
        <v>48</v>
      </c>
      <c r="Q255" s="33" t="n">
        <f>1905</f>
        <v>1905.0</v>
      </c>
      <c r="R255" s="34" t="s">
        <v>62</v>
      </c>
      <c r="S255" s="35" t="n">
        <f>1877.07</f>
        <v>1877.07</v>
      </c>
      <c r="T255" s="32" t="n">
        <f>970</f>
        <v>970.0</v>
      </c>
      <c r="U255" s="32" t="str">
        <f>"－"</f>
        <v>－</v>
      </c>
      <c r="V255" s="32" t="n">
        <f>1771445</f>
        <v>1771445.0</v>
      </c>
      <c r="W255" s="32" t="str">
        <f>"－"</f>
        <v>－</v>
      </c>
      <c r="X255" s="36" t="n">
        <f>7</f>
        <v>7.0</v>
      </c>
    </row>
    <row r="256">
      <c r="A256" s="27" t="s">
        <v>42</v>
      </c>
      <c r="B256" s="27" t="s">
        <v>811</v>
      </c>
      <c r="C256" s="27" t="s">
        <v>812</v>
      </c>
      <c r="D256" s="27" t="s">
        <v>813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2373</f>
        <v>2373.0</v>
      </c>
      <c r="L256" s="34" t="s">
        <v>48</v>
      </c>
      <c r="M256" s="33" t="n">
        <f>2469</f>
        <v>2469.0</v>
      </c>
      <c r="N256" s="34" t="s">
        <v>49</v>
      </c>
      <c r="O256" s="33" t="n">
        <f>2373</f>
        <v>2373.0</v>
      </c>
      <c r="P256" s="34" t="s">
        <v>48</v>
      </c>
      <c r="Q256" s="33" t="n">
        <f>2438.5</f>
        <v>2438.5</v>
      </c>
      <c r="R256" s="34" t="s">
        <v>51</v>
      </c>
      <c r="S256" s="35" t="n">
        <f>2421.31</f>
        <v>2421.31</v>
      </c>
      <c r="T256" s="32" t="n">
        <f>624690</f>
        <v>624690.0</v>
      </c>
      <c r="U256" s="32" t="n">
        <f>500000</f>
        <v>500000.0</v>
      </c>
      <c r="V256" s="32" t="n">
        <f>1522333040</f>
        <v>1.52233304E9</v>
      </c>
      <c r="W256" s="32" t="n">
        <f>1219293500</f>
        <v>1.2192935E9</v>
      </c>
      <c r="X256" s="36" t="n">
        <f>18</f>
        <v>18.0</v>
      </c>
    </row>
    <row r="257">
      <c r="A257" s="27" t="s">
        <v>42</v>
      </c>
      <c r="B257" s="27" t="s">
        <v>814</v>
      </c>
      <c r="C257" s="27" t="s">
        <v>815</v>
      </c>
      <c r="D257" s="27" t="s">
        <v>816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31930</f>
        <v>31930.0</v>
      </c>
      <c r="L257" s="34" t="s">
        <v>48</v>
      </c>
      <c r="M257" s="33" t="n">
        <f>34380</f>
        <v>34380.0</v>
      </c>
      <c r="N257" s="34" t="s">
        <v>49</v>
      </c>
      <c r="O257" s="33" t="n">
        <f>31930</f>
        <v>31930.0</v>
      </c>
      <c r="P257" s="34" t="s">
        <v>48</v>
      </c>
      <c r="Q257" s="33" t="n">
        <f>33960</f>
        <v>33960.0</v>
      </c>
      <c r="R257" s="34" t="s">
        <v>51</v>
      </c>
      <c r="S257" s="35" t="n">
        <f>33536.5</f>
        <v>33536.5</v>
      </c>
      <c r="T257" s="32" t="n">
        <f>61779</f>
        <v>61779.0</v>
      </c>
      <c r="U257" s="32" t="n">
        <f>7600</f>
        <v>7600.0</v>
      </c>
      <c r="V257" s="32" t="n">
        <f>2057983660</f>
        <v>2.05798366E9</v>
      </c>
      <c r="W257" s="32" t="n">
        <f>251801480</f>
        <v>2.5180148E8</v>
      </c>
      <c r="X257" s="36" t="n">
        <f>20</f>
        <v>20.0</v>
      </c>
    </row>
    <row r="258">
      <c r="A258" s="27" t="s">
        <v>42</v>
      </c>
      <c r="B258" s="27" t="s">
        <v>817</v>
      </c>
      <c r="C258" s="27" t="s">
        <v>818</v>
      </c>
      <c r="D258" s="27" t="s">
        <v>819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21130</f>
        <v>21130.0</v>
      </c>
      <c r="L258" s="34" t="s">
        <v>48</v>
      </c>
      <c r="M258" s="33" t="n">
        <f>22130</f>
        <v>22130.0</v>
      </c>
      <c r="N258" s="34" t="s">
        <v>62</v>
      </c>
      <c r="O258" s="33" t="n">
        <f>21130</f>
        <v>21130.0</v>
      </c>
      <c r="P258" s="34" t="s">
        <v>48</v>
      </c>
      <c r="Q258" s="33" t="n">
        <f>21880</f>
        <v>21880.0</v>
      </c>
      <c r="R258" s="34" t="s">
        <v>89</v>
      </c>
      <c r="S258" s="35" t="n">
        <f>21610</f>
        <v>21610.0</v>
      </c>
      <c r="T258" s="32" t="n">
        <f>118</f>
        <v>118.0</v>
      </c>
      <c r="U258" s="32" t="str">
        <f>"－"</f>
        <v>－</v>
      </c>
      <c r="V258" s="32" t="n">
        <f>2541590</f>
        <v>2541590.0</v>
      </c>
      <c r="W258" s="32" t="str">
        <f>"－"</f>
        <v>－</v>
      </c>
      <c r="X258" s="36" t="n">
        <f>5</f>
        <v>5.0</v>
      </c>
    </row>
    <row r="259">
      <c r="A259" s="27" t="s">
        <v>42</v>
      </c>
      <c r="B259" s="27" t="s">
        <v>820</v>
      </c>
      <c r="C259" s="27" t="s">
        <v>821</v>
      </c>
      <c r="D259" s="27" t="s">
        <v>822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1115</f>
        <v>1115.0</v>
      </c>
      <c r="L259" s="34" t="s">
        <v>48</v>
      </c>
      <c r="M259" s="33" t="n">
        <f>1127</f>
        <v>1127.0</v>
      </c>
      <c r="N259" s="34" t="s">
        <v>61</v>
      </c>
      <c r="O259" s="33" t="n">
        <f>1081</f>
        <v>1081.0</v>
      </c>
      <c r="P259" s="34" t="s">
        <v>116</v>
      </c>
      <c r="Q259" s="33" t="n">
        <f>1108</f>
        <v>1108.0</v>
      </c>
      <c r="R259" s="34" t="s">
        <v>51</v>
      </c>
      <c r="S259" s="35" t="n">
        <f>1112.88</f>
        <v>1112.88</v>
      </c>
      <c r="T259" s="32" t="n">
        <f>639070</f>
        <v>639070.0</v>
      </c>
      <c r="U259" s="32" t="str">
        <f>"－"</f>
        <v>－</v>
      </c>
      <c r="V259" s="32" t="n">
        <f>713354620</f>
        <v>7.1335462E8</v>
      </c>
      <c r="W259" s="32" t="str">
        <f>"－"</f>
        <v>－</v>
      </c>
      <c r="X259" s="36" t="n">
        <f>16</f>
        <v>16.0</v>
      </c>
    </row>
    <row r="260">
      <c r="A260" s="27" t="s">
        <v>42</v>
      </c>
      <c r="B260" s="27" t="s">
        <v>823</v>
      </c>
      <c r="C260" s="27" t="s">
        <v>824</v>
      </c>
      <c r="D260" s="27" t="s">
        <v>825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1094.5</f>
        <v>1094.5</v>
      </c>
      <c r="L260" s="34" t="s">
        <v>48</v>
      </c>
      <c r="M260" s="33" t="n">
        <f>1112.5</f>
        <v>1112.5</v>
      </c>
      <c r="N260" s="34" t="s">
        <v>61</v>
      </c>
      <c r="O260" s="33" t="n">
        <f>1081</f>
        <v>1081.0</v>
      </c>
      <c r="P260" s="34" t="s">
        <v>103</v>
      </c>
      <c r="Q260" s="33" t="n">
        <f>1101</f>
        <v>1101.0</v>
      </c>
      <c r="R260" s="34" t="s">
        <v>51</v>
      </c>
      <c r="S260" s="35" t="n">
        <f>1098.86</f>
        <v>1098.86</v>
      </c>
      <c r="T260" s="32" t="n">
        <f>383290</f>
        <v>383290.0</v>
      </c>
      <c r="U260" s="32" t="str">
        <f>"－"</f>
        <v>－</v>
      </c>
      <c r="V260" s="32" t="n">
        <f>422695070</f>
        <v>4.2269507E8</v>
      </c>
      <c r="W260" s="32" t="str">
        <f>"－"</f>
        <v>－</v>
      </c>
      <c r="X260" s="36" t="n">
        <f>18</f>
        <v>18.0</v>
      </c>
    </row>
    <row r="261">
      <c r="A261" s="27" t="s">
        <v>42</v>
      </c>
      <c r="B261" s="27" t="s">
        <v>826</v>
      </c>
      <c r="C261" s="27" t="s">
        <v>827</v>
      </c>
      <c r="D261" s="27" t="s">
        <v>828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1.0</v>
      </c>
      <c r="K261" s="33" t="n">
        <f>1482</f>
        <v>1482.0</v>
      </c>
      <c r="L261" s="34" t="s">
        <v>48</v>
      </c>
      <c r="M261" s="33" t="n">
        <f>1519</f>
        <v>1519.0</v>
      </c>
      <c r="N261" s="34" t="s">
        <v>49</v>
      </c>
      <c r="O261" s="33" t="n">
        <f>1455</f>
        <v>1455.0</v>
      </c>
      <c r="P261" s="34" t="s">
        <v>50</v>
      </c>
      <c r="Q261" s="33" t="n">
        <f>1507</f>
        <v>1507.0</v>
      </c>
      <c r="R261" s="34" t="s">
        <v>51</v>
      </c>
      <c r="S261" s="35" t="n">
        <f>1495.35</f>
        <v>1495.35</v>
      </c>
      <c r="T261" s="32" t="n">
        <f>296365</f>
        <v>296365.0</v>
      </c>
      <c r="U261" s="32" t="n">
        <f>6700</f>
        <v>6700.0</v>
      </c>
      <c r="V261" s="32" t="n">
        <f>442679253</f>
        <v>4.42679253E8</v>
      </c>
      <c r="W261" s="32" t="n">
        <f>9901930</f>
        <v>9901930.0</v>
      </c>
      <c r="X261" s="36" t="n">
        <f>20</f>
        <v>20.0</v>
      </c>
    </row>
    <row r="262">
      <c r="A262" s="27" t="s">
        <v>42</v>
      </c>
      <c r="B262" s="27" t="s">
        <v>829</v>
      </c>
      <c r="C262" s="27" t="s">
        <v>830</v>
      </c>
      <c r="D262" s="27" t="s">
        <v>831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1.0</v>
      </c>
      <c r="K262" s="33" t="n">
        <f>12855</f>
        <v>12855.0</v>
      </c>
      <c r="L262" s="34" t="s">
        <v>48</v>
      </c>
      <c r="M262" s="33" t="n">
        <f>13330</f>
        <v>13330.0</v>
      </c>
      <c r="N262" s="34" t="s">
        <v>79</v>
      </c>
      <c r="O262" s="33" t="n">
        <f>12750</f>
        <v>12750.0</v>
      </c>
      <c r="P262" s="34" t="s">
        <v>89</v>
      </c>
      <c r="Q262" s="33" t="n">
        <f>12875</f>
        <v>12875.0</v>
      </c>
      <c r="R262" s="34" t="s">
        <v>51</v>
      </c>
      <c r="S262" s="35" t="n">
        <f>13058.25</f>
        <v>13058.25</v>
      </c>
      <c r="T262" s="32" t="n">
        <f>348</f>
        <v>348.0</v>
      </c>
      <c r="U262" s="32" t="str">
        <f>"－"</f>
        <v>－</v>
      </c>
      <c r="V262" s="32" t="n">
        <f>4519090</f>
        <v>4519090.0</v>
      </c>
      <c r="W262" s="32" t="str">
        <f>"－"</f>
        <v>－</v>
      </c>
      <c r="X262" s="36" t="n">
        <f>20</f>
        <v>20.0</v>
      </c>
    </row>
    <row r="263">
      <c r="A263" s="27" t="s">
        <v>42</v>
      </c>
      <c r="B263" s="27" t="s">
        <v>832</v>
      </c>
      <c r="C263" s="27" t="s">
        <v>833</v>
      </c>
      <c r="D263" s="27" t="s">
        <v>834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1.0</v>
      </c>
      <c r="K263" s="33" t="n">
        <f>1965</f>
        <v>1965.0</v>
      </c>
      <c r="L263" s="34" t="s">
        <v>48</v>
      </c>
      <c r="M263" s="33" t="n">
        <f>1985</f>
        <v>1985.0</v>
      </c>
      <c r="N263" s="34" t="s">
        <v>61</v>
      </c>
      <c r="O263" s="33" t="n">
        <f>1931</f>
        <v>1931.0</v>
      </c>
      <c r="P263" s="34" t="s">
        <v>103</v>
      </c>
      <c r="Q263" s="33" t="n">
        <f>1976</f>
        <v>1976.0</v>
      </c>
      <c r="R263" s="34" t="s">
        <v>51</v>
      </c>
      <c r="S263" s="35" t="n">
        <f>1963.95</f>
        <v>1963.95</v>
      </c>
      <c r="T263" s="32" t="n">
        <f>22971</f>
        <v>22971.0</v>
      </c>
      <c r="U263" s="32" t="n">
        <f>43</f>
        <v>43.0</v>
      </c>
      <c r="V263" s="32" t="n">
        <f>45062205</f>
        <v>4.5062205E7</v>
      </c>
      <c r="W263" s="32" t="n">
        <f>79394</f>
        <v>79394.0</v>
      </c>
      <c r="X263" s="36" t="n">
        <f>20</f>
        <v>20.0</v>
      </c>
    </row>
    <row r="264">
      <c r="A264" s="27" t="s">
        <v>42</v>
      </c>
      <c r="B264" s="27" t="s">
        <v>835</v>
      </c>
      <c r="C264" s="27" t="s">
        <v>836</v>
      </c>
      <c r="D264" s="27" t="s">
        <v>837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1540</f>
        <v>1540.0</v>
      </c>
      <c r="L264" s="34" t="s">
        <v>48</v>
      </c>
      <c r="M264" s="33" t="n">
        <f>1596.5</f>
        <v>1596.5</v>
      </c>
      <c r="N264" s="34" t="s">
        <v>79</v>
      </c>
      <c r="O264" s="33" t="n">
        <f>1503.5</f>
        <v>1503.5</v>
      </c>
      <c r="P264" s="34" t="s">
        <v>293</v>
      </c>
      <c r="Q264" s="33" t="n">
        <f>1585.5</f>
        <v>1585.5</v>
      </c>
      <c r="R264" s="34" t="s">
        <v>89</v>
      </c>
      <c r="S264" s="35" t="n">
        <f>1557.13</f>
        <v>1557.13</v>
      </c>
      <c r="T264" s="32" t="n">
        <f>390</f>
        <v>390.0</v>
      </c>
      <c r="U264" s="32" t="str">
        <f>"－"</f>
        <v>－</v>
      </c>
      <c r="V264" s="32" t="n">
        <f>609560</f>
        <v>609560.0</v>
      </c>
      <c r="W264" s="32" t="str">
        <f>"－"</f>
        <v>－</v>
      </c>
      <c r="X264" s="36" t="n">
        <f>12</f>
        <v>12.0</v>
      </c>
    </row>
    <row r="265">
      <c r="A265" s="27" t="s">
        <v>42</v>
      </c>
      <c r="B265" s="27" t="s">
        <v>838</v>
      </c>
      <c r="C265" s="27" t="s">
        <v>839</v>
      </c>
      <c r="D265" s="27" t="s">
        <v>840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790.5</f>
        <v>790.5</v>
      </c>
      <c r="L265" s="34" t="s">
        <v>48</v>
      </c>
      <c r="M265" s="33" t="n">
        <f>817.9</f>
        <v>817.9</v>
      </c>
      <c r="N265" s="34" t="s">
        <v>51</v>
      </c>
      <c r="O265" s="33" t="n">
        <f>788.1</f>
        <v>788.1</v>
      </c>
      <c r="P265" s="34" t="s">
        <v>48</v>
      </c>
      <c r="Q265" s="33" t="n">
        <f>813.3</f>
        <v>813.3</v>
      </c>
      <c r="R265" s="34" t="s">
        <v>51</v>
      </c>
      <c r="S265" s="35" t="n">
        <f>803.91</f>
        <v>803.91</v>
      </c>
      <c r="T265" s="32" t="n">
        <f>636540</f>
        <v>636540.0</v>
      </c>
      <c r="U265" s="32" t="n">
        <f>214030</f>
        <v>214030.0</v>
      </c>
      <c r="V265" s="32" t="n">
        <f>513368179</f>
        <v>5.13368179E8</v>
      </c>
      <c r="W265" s="32" t="n">
        <f>174171256</f>
        <v>1.74171256E8</v>
      </c>
      <c r="X265" s="36" t="n">
        <f>20</f>
        <v>20.0</v>
      </c>
    </row>
    <row r="266">
      <c r="A266" s="27" t="s">
        <v>42</v>
      </c>
      <c r="B266" s="27" t="s">
        <v>841</v>
      </c>
      <c r="C266" s="27" t="s">
        <v>842</v>
      </c>
      <c r="D266" s="27" t="s">
        <v>843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1869.5</f>
        <v>1869.5</v>
      </c>
      <c r="L266" s="34" t="s">
        <v>48</v>
      </c>
      <c r="M266" s="33" t="n">
        <f>1899.5</f>
        <v>1899.5</v>
      </c>
      <c r="N266" s="34" t="s">
        <v>61</v>
      </c>
      <c r="O266" s="33" t="n">
        <f>1845</f>
        <v>1845.0</v>
      </c>
      <c r="P266" s="34" t="s">
        <v>103</v>
      </c>
      <c r="Q266" s="33" t="n">
        <f>1889.5</f>
        <v>1889.5</v>
      </c>
      <c r="R266" s="34" t="s">
        <v>51</v>
      </c>
      <c r="S266" s="35" t="n">
        <f>1876.35</f>
        <v>1876.35</v>
      </c>
      <c r="T266" s="32" t="n">
        <f>618820</f>
        <v>618820.0</v>
      </c>
      <c r="U266" s="32" t="n">
        <f>290000</f>
        <v>290000.0</v>
      </c>
      <c r="V266" s="32" t="n">
        <f>1162984665</f>
        <v>1.162984665E9</v>
      </c>
      <c r="W266" s="32" t="n">
        <f>546552275</f>
        <v>5.46552275E8</v>
      </c>
      <c r="X266" s="36" t="n">
        <f>20</f>
        <v>20.0</v>
      </c>
    </row>
    <row r="267">
      <c r="A267" s="27" t="s">
        <v>42</v>
      </c>
      <c r="B267" s="27" t="s">
        <v>844</v>
      </c>
      <c r="C267" s="27" t="s">
        <v>845</v>
      </c>
      <c r="D267" s="27" t="s">
        <v>846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1864</f>
        <v>1864.0</v>
      </c>
      <c r="L267" s="34" t="s">
        <v>48</v>
      </c>
      <c r="M267" s="33" t="n">
        <f>1892.5</f>
        <v>1892.5</v>
      </c>
      <c r="N267" s="34" t="s">
        <v>61</v>
      </c>
      <c r="O267" s="33" t="n">
        <f>1839</f>
        <v>1839.0</v>
      </c>
      <c r="P267" s="34" t="s">
        <v>103</v>
      </c>
      <c r="Q267" s="33" t="n">
        <f>1884</f>
        <v>1884.0</v>
      </c>
      <c r="R267" s="34" t="s">
        <v>51</v>
      </c>
      <c r="S267" s="35" t="n">
        <f>1871.38</f>
        <v>1871.38</v>
      </c>
      <c r="T267" s="32" t="n">
        <f>432460</f>
        <v>432460.0</v>
      </c>
      <c r="U267" s="32" t="n">
        <f>90000</f>
        <v>90000.0</v>
      </c>
      <c r="V267" s="32" t="n">
        <f>809295425</f>
        <v>8.09295425E8</v>
      </c>
      <c r="W267" s="32" t="n">
        <f>169553860</f>
        <v>1.6955386E8</v>
      </c>
      <c r="X267" s="36" t="n">
        <f>20</f>
        <v>20.0</v>
      </c>
    </row>
    <row r="268">
      <c r="A268" s="27" t="s">
        <v>42</v>
      </c>
      <c r="B268" s="27" t="s">
        <v>847</v>
      </c>
      <c r="C268" s="27" t="s">
        <v>848</v>
      </c>
      <c r="D268" s="27" t="s">
        <v>849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2319</f>
        <v>2319.0</v>
      </c>
      <c r="L268" s="34" t="s">
        <v>48</v>
      </c>
      <c r="M268" s="33" t="n">
        <f>2425.5</f>
        <v>2425.5</v>
      </c>
      <c r="N268" s="34" t="s">
        <v>49</v>
      </c>
      <c r="O268" s="33" t="n">
        <f>2317</f>
        <v>2317.0</v>
      </c>
      <c r="P268" s="34" t="s">
        <v>48</v>
      </c>
      <c r="Q268" s="33" t="n">
        <f>2393.5</f>
        <v>2393.5</v>
      </c>
      <c r="R268" s="34" t="s">
        <v>51</v>
      </c>
      <c r="S268" s="35" t="n">
        <f>2375.48</f>
        <v>2375.48</v>
      </c>
      <c r="T268" s="32" t="n">
        <f>1387770</f>
        <v>1387770.0</v>
      </c>
      <c r="U268" s="32" t="n">
        <f>370000</f>
        <v>370000.0</v>
      </c>
      <c r="V268" s="32" t="n">
        <f>3293555770</f>
        <v>3.29355577E9</v>
      </c>
      <c r="W268" s="32" t="n">
        <f>884881000</f>
        <v>8.84881E8</v>
      </c>
      <c r="X268" s="36" t="n">
        <f>20</f>
        <v>20.0</v>
      </c>
    </row>
    <row r="269">
      <c r="A269" s="27" t="s">
        <v>42</v>
      </c>
      <c r="B269" s="27" t="s">
        <v>850</v>
      </c>
      <c r="C269" s="27" t="s">
        <v>851</v>
      </c>
      <c r="D269" s="27" t="s">
        <v>852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1.0</v>
      </c>
      <c r="K269" s="33" t="n">
        <f>18245</f>
        <v>18245.0</v>
      </c>
      <c r="L269" s="34" t="s">
        <v>48</v>
      </c>
      <c r="M269" s="33" t="n">
        <f>19690</f>
        <v>19690.0</v>
      </c>
      <c r="N269" s="34" t="s">
        <v>132</v>
      </c>
      <c r="O269" s="33" t="n">
        <f>18220</f>
        <v>18220.0</v>
      </c>
      <c r="P269" s="34" t="s">
        <v>48</v>
      </c>
      <c r="Q269" s="33" t="n">
        <f>19355</f>
        <v>19355.0</v>
      </c>
      <c r="R269" s="34" t="s">
        <v>51</v>
      </c>
      <c r="S269" s="35" t="n">
        <f>19217</f>
        <v>19217.0</v>
      </c>
      <c r="T269" s="32" t="n">
        <f>1063509</f>
        <v>1063509.0</v>
      </c>
      <c r="U269" s="32" t="n">
        <f>54004</f>
        <v>54004.0</v>
      </c>
      <c r="V269" s="32" t="n">
        <f>20362098877</f>
        <v>2.0362098877E10</v>
      </c>
      <c r="W269" s="32" t="n">
        <f>1034000482</f>
        <v>1.034000482E9</v>
      </c>
      <c r="X269" s="36" t="n">
        <f>20</f>
        <v>20.0</v>
      </c>
    </row>
    <row r="270">
      <c r="A270" s="27" t="s">
        <v>42</v>
      </c>
      <c r="B270" s="27" t="s">
        <v>853</v>
      </c>
      <c r="C270" s="27" t="s">
        <v>854</v>
      </c>
      <c r="D270" s="27" t="s">
        <v>855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1.0</v>
      </c>
      <c r="K270" s="33" t="n">
        <f>15930</f>
        <v>15930.0</v>
      </c>
      <c r="L270" s="34" t="s">
        <v>48</v>
      </c>
      <c r="M270" s="33" t="n">
        <f>17105</f>
        <v>17105.0</v>
      </c>
      <c r="N270" s="34" t="s">
        <v>79</v>
      </c>
      <c r="O270" s="33" t="n">
        <f>15930</f>
        <v>15930.0</v>
      </c>
      <c r="P270" s="34" t="s">
        <v>48</v>
      </c>
      <c r="Q270" s="33" t="n">
        <f>16895</f>
        <v>16895.0</v>
      </c>
      <c r="R270" s="34" t="s">
        <v>51</v>
      </c>
      <c r="S270" s="35" t="n">
        <f>16709</f>
        <v>16709.0</v>
      </c>
      <c r="T270" s="32" t="n">
        <f>179414</f>
        <v>179414.0</v>
      </c>
      <c r="U270" s="32" t="str">
        <f>"－"</f>
        <v>－</v>
      </c>
      <c r="V270" s="32" t="n">
        <f>2998078480</f>
        <v>2.99807848E9</v>
      </c>
      <c r="W270" s="32" t="str">
        <f>"－"</f>
        <v>－</v>
      </c>
      <c r="X270" s="36" t="n">
        <f>20</f>
        <v>20.0</v>
      </c>
    </row>
    <row r="271">
      <c r="A271" s="27" t="s">
        <v>42</v>
      </c>
      <c r="B271" s="27" t="s">
        <v>856</v>
      </c>
      <c r="C271" s="27" t="s">
        <v>857</v>
      </c>
      <c r="D271" s="27" t="s">
        <v>858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1.0</v>
      </c>
      <c r="K271" s="33" t="n">
        <f>31660</f>
        <v>31660.0</v>
      </c>
      <c r="L271" s="34" t="s">
        <v>531</v>
      </c>
      <c r="M271" s="33" t="n">
        <f>31780</f>
        <v>31780.0</v>
      </c>
      <c r="N271" s="34" t="s">
        <v>132</v>
      </c>
      <c r="O271" s="33" t="n">
        <f>30860</f>
        <v>30860.0</v>
      </c>
      <c r="P271" s="34" t="s">
        <v>103</v>
      </c>
      <c r="Q271" s="33" t="n">
        <f>31580</f>
        <v>31580.0</v>
      </c>
      <c r="R271" s="34" t="s">
        <v>89</v>
      </c>
      <c r="S271" s="35" t="n">
        <f>31412.22</f>
        <v>31412.22</v>
      </c>
      <c r="T271" s="32" t="n">
        <f>61</f>
        <v>61.0</v>
      </c>
      <c r="U271" s="32" t="str">
        <f>"－"</f>
        <v>－</v>
      </c>
      <c r="V271" s="32" t="n">
        <f>1925280</f>
        <v>1925280.0</v>
      </c>
      <c r="W271" s="32" t="str">
        <f>"－"</f>
        <v>－</v>
      </c>
      <c r="X271" s="36" t="n">
        <f>9</f>
        <v>9.0</v>
      </c>
    </row>
    <row r="272">
      <c r="A272" s="27" t="s">
        <v>42</v>
      </c>
      <c r="B272" s="27" t="s">
        <v>859</v>
      </c>
      <c r="C272" s="27" t="s">
        <v>860</v>
      </c>
      <c r="D272" s="27" t="s">
        <v>861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1.0</v>
      </c>
      <c r="K272" s="33" t="n">
        <f>2382</f>
        <v>2382.0</v>
      </c>
      <c r="L272" s="34" t="s">
        <v>48</v>
      </c>
      <c r="M272" s="33" t="n">
        <f>2469</f>
        <v>2469.0</v>
      </c>
      <c r="N272" s="34" t="s">
        <v>51</v>
      </c>
      <c r="O272" s="33" t="n">
        <f>2378</f>
        <v>2378.0</v>
      </c>
      <c r="P272" s="34" t="s">
        <v>48</v>
      </c>
      <c r="Q272" s="33" t="n">
        <f>2450</f>
        <v>2450.0</v>
      </c>
      <c r="R272" s="34" t="s">
        <v>51</v>
      </c>
      <c r="S272" s="35" t="n">
        <f>2427.05</f>
        <v>2427.05</v>
      </c>
      <c r="T272" s="32" t="n">
        <f>5987682</f>
        <v>5987682.0</v>
      </c>
      <c r="U272" s="32" t="n">
        <f>5841727</f>
        <v>5841727.0</v>
      </c>
      <c r="V272" s="32" t="n">
        <f>14368367812</f>
        <v>1.4368367812E10</v>
      </c>
      <c r="W272" s="32" t="n">
        <f>14012096573</f>
        <v>1.4012096573E10</v>
      </c>
      <c r="X272" s="36" t="n">
        <f>20</f>
        <v>20.0</v>
      </c>
    </row>
    <row r="273">
      <c r="A273" s="27" t="s">
        <v>42</v>
      </c>
      <c r="B273" s="27" t="s">
        <v>862</v>
      </c>
      <c r="C273" s="27" t="s">
        <v>863</v>
      </c>
      <c r="D273" s="27" t="s">
        <v>864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2636</f>
        <v>2636.0</v>
      </c>
      <c r="L273" s="34" t="s">
        <v>48</v>
      </c>
      <c r="M273" s="33" t="n">
        <f>2832</f>
        <v>2832.0</v>
      </c>
      <c r="N273" s="34" t="s">
        <v>51</v>
      </c>
      <c r="O273" s="33" t="n">
        <f>2635</f>
        <v>2635.0</v>
      </c>
      <c r="P273" s="34" t="s">
        <v>48</v>
      </c>
      <c r="Q273" s="33" t="n">
        <f>2831.5</f>
        <v>2831.5</v>
      </c>
      <c r="R273" s="34" t="s">
        <v>51</v>
      </c>
      <c r="S273" s="35" t="n">
        <f>2759.48</f>
        <v>2759.48</v>
      </c>
      <c r="T273" s="32" t="n">
        <f>1275460</f>
        <v>1275460.0</v>
      </c>
      <c r="U273" s="32" t="n">
        <f>561580</f>
        <v>561580.0</v>
      </c>
      <c r="V273" s="32" t="n">
        <f>3511274929</f>
        <v>3.511274929E9</v>
      </c>
      <c r="W273" s="32" t="n">
        <f>1561080094</f>
        <v>1.561080094E9</v>
      </c>
      <c r="X273" s="36" t="n">
        <f>20</f>
        <v>20.0</v>
      </c>
    </row>
    <row r="274">
      <c r="A274" s="27" t="s">
        <v>42</v>
      </c>
      <c r="B274" s="27" t="s">
        <v>865</v>
      </c>
      <c r="C274" s="27" t="s">
        <v>866</v>
      </c>
      <c r="D274" s="27" t="s">
        <v>867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251.5</f>
        <v>251.5</v>
      </c>
      <c r="L274" s="34" t="s">
        <v>48</v>
      </c>
      <c r="M274" s="33" t="n">
        <f>273.5</f>
        <v>273.5</v>
      </c>
      <c r="N274" s="34" t="s">
        <v>132</v>
      </c>
      <c r="O274" s="33" t="n">
        <f>251.3</f>
        <v>251.3</v>
      </c>
      <c r="P274" s="34" t="s">
        <v>48</v>
      </c>
      <c r="Q274" s="33" t="n">
        <f>273</f>
        <v>273.0</v>
      </c>
      <c r="R274" s="34" t="s">
        <v>51</v>
      </c>
      <c r="S274" s="35" t="n">
        <f>266.9</f>
        <v>266.9</v>
      </c>
      <c r="T274" s="32" t="n">
        <f>51729760</f>
        <v>5.172976E7</v>
      </c>
      <c r="U274" s="32" t="n">
        <f>11936000</f>
        <v>1.1936E7</v>
      </c>
      <c r="V274" s="32" t="n">
        <f>13782010825</f>
        <v>1.3782010825E10</v>
      </c>
      <c r="W274" s="32" t="n">
        <f>3204586261</f>
        <v>3.204586261E9</v>
      </c>
      <c r="X274" s="36" t="n">
        <f>20</f>
        <v>20.0</v>
      </c>
    </row>
    <row r="275">
      <c r="A275" s="27" t="s">
        <v>42</v>
      </c>
      <c r="B275" s="27" t="s">
        <v>868</v>
      </c>
      <c r="C275" s="27" t="s">
        <v>869</v>
      </c>
      <c r="D275" s="27" t="s">
        <v>870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1.0</v>
      </c>
      <c r="K275" s="33" t="n">
        <f>2495</f>
        <v>2495.0</v>
      </c>
      <c r="L275" s="34" t="s">
        <v>48</v>
      </c>
      <c r="M275" s="33" t="n">
        <f>2559</f>
        <v>2559.0</v>
      </c>
      <c r="N275" s="34" t="s">
        <v>62</v>
      </c>
      <c r="O275" s="33" t="n">
        <f>2410</f>
        <v>2410.0</v>
      </c>
      <c r="P275" s="34" t="s">
        <v>50</v>
      </c>
      <c r="Q275" s="33" t="n">
        <f>2546</f>
        <v>2546.0</v>
      </c>
      <c r="R275" s="34" t="s">
        <v>51</v>
      </c>
      <c r="S275" s="35" t="n">
        <f>2491.95</f>
        <v>2491.95</v>
      </c>
      <c r="T275" s="32" t="n">
        <f>1246014</f>
        <v>1246014.0</v>
      </c>
      <c r="U275" s="32" t="n">
        <f>164345</f>
        <v>164345.0</v>
      </c>
      <c r="V275" s="32" t="n">
        <f>3103575188</f>
        <v>3.103575188E9</v>
      </c>
      <c r="W275" s="32" t="n">
        <f>408412920</f>
        <v>4.0841292E8</v>
      </c>
      <c r="X275" s="36" t="n">
        <f>20</f>
        <v>20.0</v>
      </c>
    </row>
    <row r="276">
      <c r="A276" s="27" t="s">
        <v>42</v>
      </c>
      <c r="B276" s="27" t="s">
        <v>871</v>
      </c>
      <c r="C276" s="27" t="s">
        <v>872</v>
      </c>
      <c r="D276" s="27" t="s">
        <v>873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1.0</v>
      </c>
      <c r="K276" s="33" t="n">
        <f>922</f>
        <v>922.0</v>
      </c>
      <c r="L276" s="34" t="s">
        <v>48</v>
      </c>
      <c r="M276" s="33" t="n">
        <f>946</f>
        <v>946.0</v>
      </c>
      <c r="N276" s="34" t="s">
        <v>79</v>
      </c>
      <c r="O276" s="33" t="n">
        <f>921</f>
        <v>921.0</v>
      </c>
      <c r="P276" s="34" t="s">
        <v>116</v>
      </c>
      <c r="Q276" s="33" t="n">
        <f>940</f>
        <v>940.0</v>
      </c>
      <c r="R276" s="34" t="s">
        <v>51</v>
      </c>
      <c r="S276" s="35" t="n">
        <f>934.8</f>
        <v>934.8</v>
      </c>
      <c r="T276" s="32" t="n">
        <f>1520798</f>
        <v>1520798.0</v>
      </c>
      <c r="U276" s="32" t="n">
        <f>253002</f>
        <v>253002.0</v>
      </c>
      <c r="V276" s="32" t="n">
        <f>1416579939</f>
        <v>1.416579939E9</v>
      </c>
      <c r="W276" s="32" t="n">
        <f>234926664</f>
        <v>2.34926664E8</v>
      </c>
      <c r="X276" s="36" t="n">
        <f>20</f>
        <v>20.0</v>
      </c>
    </row>
    <row r="277">
      <c r="A277" s="27" t="s">
        <v>42</v>
      </c>
      <c r="B277" s="27" t="s">
        <v>874</v>
      </c>
      <c r="C277" s="27" t="s">
        <v>875</v>
      </c>
      <c r="D277" s="27" t="s">
        <v>876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1029.5</f>
        <v>1029.5</v>
      </c>
      <c r="L277" s="34" t="s">
        <v>48</v>
      </c>
      <c r="M277" s="33" t="n">
        <f>1042</f>
        <v>1042.0</v>
      </c>
      <c r="N277" s="34" t="s">
        <v>61</v>
      </c>
      <c r="O277" s="33" t="n">
        <f>1014.5</f>
        <v>1014.5</v>
      </c>
      <c r="P277" s="34" t="s">
        <v>103</v>
      </c>
      <c r="Q277" s="33" t="n">
        <f>1037</f>
        <v>1037.0</v>
      </c>
      <c r="R277" s="34" t="s">
        <v>51</v>
      </c>
      <c r="S277" s="35" t="n">
        <f>1030.38</f>
        <v>1030.38</v>
      </c>
      <c r="T277" s="32" t="n">
        <f>105360</f>
        <v>105360.0</v>
      </c>
      <c r="U277" s="32" t="str">
        <f>"－"</f>
        <v>－</v>
      </c>
      <c r="V277" s="32" t="n">
        <f>108226895</f>
        <v>1.08226895E8</v>
      </c>
      <c r="W277" s="32" t="str">
        <f>"－"</f>
        <v>－</v>
      </c>
      <c r="X277" s="36" t="n">
        <f>20</f>
        <v>20.0</v>
      </c>
    </row>
    <row r="278">
      <c r="A278" s="27" t="s">
        <v>42</v>
      </c>
      <c r="B278" s="27" t="s">
        <v>877</v>
      </c>
      <c r="C278" s="27" t="s">
        <v>878</v>
      </c>
      <c r="D278" s="27" t="s">
        <v>879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10.0</v>
      </c>
      <c r="K278" s="33" t="n">
        <f>309.1</f>
        <v>309.1</v>
      </c>
      <c r="L278" s="34" t="s">
        <v>48</v>
      </c>
      <c r="M278" s="33" t="n">
        <f>328.8</f>
        <v>328.8</v>
      </c>
      <c r="N278" s="34" t="s">
        <v>62</v>
      </c>
      <c r="O278" s="33" t="n">
        <f>309</f>
        <v>309.0</v>
      </c>
      <c r="P278" s="34" t="s">
        <v>48</v>
      </c>
      <c r="Q278" s="33" t="n">
        <f>316.2</f>
        <v>316.2</v>
      </c>
      <c r="R278" s="34" t="s">
        <v>51</v>
      </c>
      <c r="S278" s="35" t="n">
        <f>318.15</f>
        <v>318.15</v>
      </c>
      <c r="T278" s="32" t="n">
        <f>13200</f>
        <v>13200.0</v>
      </c>
      <c r="U278" s="32" t="str">
        <f>"－"</f>
        <v>－</v>
      </c>
      <c r="V278" s="32" t="n">
        <f>4165576</f>
        <v>4165576.0</v>
      </c>
      <c r="W278" s="32" t="str">
        <f>"－"</f>
        <v>－</v>
      </c>
      <c r="X278" s="36" t="n">
        <f>17</f>
        <v>17.0</v>
      </c>
    </row>
    <row r="279">
      <c r="A279" s="27" t="s">
        <v>42</v>
      </c>
      <c r="B279" s="27" t="s">
        <v>880</v>
      </c>
      <c r="C279" s="27" t="s">
        <v>881</v>
      </c>
      <c r="D279" s="27" t="s">
        <v>882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3739</f>
        <v>3739.0</v>
      </c>
      <c r="L279" s="34" t="s">
        <v>48</v>
      </c>
      <c r="M279" s="33" t="n">
        <f>4124</f>
        <v>4124.0</v>
      </c>
      <c r="N279" s="34" t="s">
        <v>132</v>
      </c>
      <c r="O279" s="33" t="n">
        <f>3736</f>
        <v>3736.0</v>
      </c>
      <c r="P279" s="34" t="s">
        <v>48</v>
      </c>
      <c r="Q279" s="33" t="n">
        <f>4054</f>
        <v>4054.0</v>
      </c>
      <c r="R279" s="34" t="s">
        <v>51</v>
      </c>
      <c r="S279" s="35" t="n">
        <f>4010.1</f>
        <v>4010.1</v>
      </c>
      <c r="T279" s="32" t="n">
        <f>3078390</f>
        <v>3078390.0</v>
      </c>
      <c r="U279" s="32" t="n">
        <f>392600</f>
        <v>392600.0</v>
      </c>
      <c r="V279" s="32" t="n">
        <f>12271545027</f>
        <v>1.2271545027E10</v>
      </c>
      <c r="W279" s="32" t="n">
        <f>1552848817</f>
        <v>1.552848817E9</v>
      </c>
      <c r="X279" s="36" t="n">
        <f>20</f>
        <v>20.0</v>
      </c>
    </row>
    <row r="280">
      <c r="A280" s="27" t="s">
        <v>42</v>
      </c>
      <c r="B280" s="27" t="s">
        <v>883</v>
      </c>
      <c r="C280" s="27" t="s">
        <v>884</v>
      </c>
      <c r="D280" s="27" t="s">
        <v>885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2371</f>
        <v>2371.0</v>
      </c>
      <c r="L280" s="34" t="s">
        <v>48</v>
      </c>
      <c r="M280" s="33" t="n">
        <f>2636</f>
        <v>2636.0</v>
      </c>
      <c r="N280" s="34" t="s">
        <v>69</v>
      </c>
      <c r="O280" s="33" t="n">
        <f>2369</f>
        <v>2369.0</v>
      </c>
      <c r="P280" s="34" t="s">
        <v>48</v>
      </c>
      <c r="Q280" s="33" t="n">
        <f>2625.5</f>
        <v>2625.5</v>
      </c>
      <c r="R280" s="34" t="s">
        <v>51</v>
      </c>
      <c r="S280" s="35" t="n">
        <f>2558.53</f>
        <v>2558.53</v>
      </c>
      <c r="T280" s="32" t="n">
        <f>4319490</f>
        <v>4319490.0</v>
      </c>
      <c r="U280" s="32" t="n">
        <f>926420</f>
        <v>926420.0</v>
      </c>
      <c r="V280" s="32" t="n">
        <f>10897270314</f>
        <v>1.0897270314E10</v>
      </c>
      <c r="W280" s="32" t="n">
        <f>2296873394</f>
        <v>2.296873394E9</v>
      </c>
      <c r="X280" s="36" t="n">
        <f>20</f>
        <v>20.0</v>
      </c>
    </row>
    <row r="281">
      <c r="A281" s="27" t="s">
        <v>42</v>
      </c>
      <c r="B281" s="27" t="s">
        <v>886</v>
      </c>
      <c r="C281" s="27" t="s">
        <v>887</v>
      </c>
      <c r="D281" s="27" t="s">
        <v>888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336.1</f>
        <v>336.1</v>
      </c>
      <c r="L281" s="34" t="s">
        <v>48</v>
      </c>
      <c r="M281" s="33" t="n">
        <f>338.5</f>
        <v>338.5</v>
      </c>
      <c r="N281" s="34" t="s">
        <v>225</v>
      </c>
      <c r="O281" s="33" t="n">
        <f>329</f>
        <v>329.0</v>
      </c>
      <c r="P281" s="34" t="s">
        <v>89</v>
      </c>
      <c r="Q281" s="33" t="n">
        <f>330.6</f>
        <v>330.6</v>
      </c>
      <c r="R281" s="34" t="s">
        <v>51</v>
      </c>
      <c r="S281" s="35" t="n">
        <f>335.04</f>
        <v>335.04</v>
      </c>
      <c r="T281" s="32" t="n">
        <f>113718280</f>
        <v>1.1371828E8</v>
      </c>
      <c r="U281" s="32" t="n">
        <f>97911880</f>
        <v>9.791188E7</v>
      </c>
      <c r="V281" s="32" t="n">
        <f>38301327173</f>
        <v>3.8301327173E10</v>
      </c>
      <c r="W281" s="32" t="n">
        <f>33026411633</f>
        <v>3.3026411633E10</v>
      </c>
      <c r="X281" s="36" t="n">
        <f>20</f>
        <v>20.0</v>
      </c>
    </row>
    <row r="282">
      <c r="A282" s="27" t="s">
        <v>42</v>
      </c>
      <c r="B282" s="27" t="s">
        <v>889</v>
      </c>
      <c r="C282" s="27" t="s">
        <v>890</v>
      </c>
      <c r="D282" s="27" t="s">
        <v>891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1151</f>
        <v>1151.0</v>
      </c>
      <c r="L282" s="34" t="s">
        <v>48</v>
      </c>
      <c r="M282" s="33" t="n">
        <f>1279</f>
        <v>1279.0</v>
      </c>
      <c r="N282" s="34" t="s">
        <v>51</v>
      </c>
      <c r="O282" s="33" t="n">
        <f>1149</f>
        <v>1149.0</v>
      </c>
      <c r="P282" s="34" t="s">
        <v>48</v>
      </c>
      <c r="Q282" s="33" t="n">
        <f>1273</f>
        <v>1273.0</v>
      </c>
      <c r="R282" s="34" t="s">
        <v>51</v>
      </c>
      <c r="S282" s="35" t="n">
        <f>1230.3</f>
        <v>1230.3</v>
      </c>
      <c r="T282" s="32" t="n">
        <f>30109269</f>
        <v>3.0109269E7</v>
      </c>
      <c r="U282" s="32" t="n">
        <f>100265</f>
        <v>100265.0</v>
      </c>
      <c r="V282" s="32" t="n">
        <f>37156759820</f>
        <v>3.715675982E10</v>
      </c>
      <c r="W282" s="32" t="n">
        <f>119419110</f>
        <v>1.1941911E8</v>
      </c>
      <c r="X282" s="36" t="n">
        <f>20</f>
        <v>20.0</v>
      </c>
    </row>
    <row r="283">
      <c r="A283" s="27" t="s">
        <v>42</v>
      </c>
      <c r="B283" s="27" t="s">
        <v>892</v>
      </c>
      <c r="C283" s="27" t="s">
        <v>893</v>
      </c>
      <c r="D283" s="27" t="s">
        <v>894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1654</f>
        <v>1654.0</v>
      </c>
      <c r="L283" s="34" t="s">
        <v>48</v>
      </c>
      <c r="M283" s="33" t="n">
        <f>1799</f>
        <v>1799.0</v>
      </c>
      <c r="N283" s="34" t="s">
        <v>716</v>
      </c>
      <c r="O283" s="33" t="n">
        <f>1654</f>
        <v>1654.0</v>
      </c>
      <c r="P283" s="34" t="s">
        <v>48</v>
      </c>
      <c r="Q283" s="33" t="n">
        <f>1760</f>
        <v>1760.0</v>
      </c>
      <c r="R283" s="34" t="s">
        <v>51</v>
      </c>
      <c r="S283" s="35" t="n">
        <f>1713.1</f>
        <v>1713.1</v>
      </c>
      <c r="T283" s="32" t="n">
        <f>75810</f>
        <v>75810.0</v>
      </c>
      <c r="U283" s="32" t="str">
        <f>"－"</f>
        <v>－</v>
      </c>
      <c r="V283" s="32" t="n">
        <f>129734532</f>
        <v>1.29734532E8</v>
      </c>
      <c r="W283" s="32" t="str">
        <f>"－"</f>
        <v>－</v>
      </c>
      <c r="X283" s="36" t="n">
        <f>20</f>
        <v>20.0</v>
      </c>
    </row>
    <row r="284">
      <c r="A284" s="27" t="s">
        <v>42</v>
      </c>
      <c r="B284" s="27" t="s">
        <v>895</v>
      </c>
      <c r="C284" s="27" t="s">
        <v>896</v>
      </c>
      <c r="D284" s="27" t="s">
        <v>897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2057</f>
        <v>2057.0</v>
      </c>
      <c r="L284" s="34" t="s">
        <v>48</v>
      </c>
      <c r="M284" s="33" t="n">
        <f>2592</f>
        <v>2592.0</v>
      </c>
      <c r="N284" s="34" t="s">
        <v>51</v>
      </c>
      <c r="O284" s="33" t="n">
        <f>2057</f>
        <v>2057.0</v>
      </c>
      <c r="P284" s="34" t="s">
        <v>48</v>
      </c>
      <c r="Q284" s="33" t="n">
        <f>2097</f>
        <v>2097.0</v>
      </c>
      <c r="R284" s="34" t="s">
        <v>51</v>
      </c>
      <c r="S284" s="35" t="n">
        <f>2074.47</f>
        <v>2074.47</v>
      </c>
      <c r="T284" s="32" t="n">
        <f>1604364</f>
        <v>1604364.0</v>
      </c>
      <c r="U284" s="32" t="n">
        <f>1593000</f>
        <v>1593000.0</v>
      </c>
      <c r="V284" s="32" t="n">
        <f>3311916795</f>
        <v>3.311916795E9</v>
      </c>
      <c r="W284" s="32" t="n">
        <f>3286693100</f>
        <v>3.2866931E9</v>
      </c>
      <c r="X284" s="36" t="n">
        <f>19</f>
        <v>19.0</v>
      </c>
    </row>
    <row r="285">
      <c r="A285" s="27" t="s">
        <v>42</v>
      </c>
      <c r="B285" s="27" t="s">
        <v>898</v>
      </c>
      <c r="C285" s="27" t="s">
        <v>899</v>
      </c>
      <c r="D285" s="27" t="s">
        <v>900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3145</f>
        <v>3145.0</v>
      </c>
      <c r="L285" s="34" t="s">
        <v>48</v>
      </c>
      <c r="M285" s="33" t="n">
        <f>3395</f>
        <v>3395.0</v>
      </c>
      <c r="N285" s="34" t="s">
        <v>49</v>
      </c>
      <c r="O285" s="33" t="n">
        <f>3145</f>
        <v>3145.0</v>
      </c>
      <c r="P285" s="34" t="s">
        <v>48</v>
      </c>
      <c r="Q285" s="33" t="n">
        <f>3360</f>
        <v>3360.0</v>
      </c>
      <c r="R285" s="34" t="s">
        <v>51</v>
      </c>
      <c r="S285" s="35" t="n">
        <f>3306.25</f>
        <v>3306.25</v>
      </c>
      <c r="T285" s="32" t="n">
        <f>1051317</f>
        <v>1051317.0</v>
      </c>
      <c r="U285" s="32" t="n">
        <f>819909</f>
        <v>819909.0</v>
      </c>
      <c r="V285" s="32" t="n">
        <f>3464191815</f>
        <v>3.464191815E9</v>
      </c>
      <c r="W285" s="32" t="n">
        <f>2700478130</f>
        <v>2.70047813E9</v>
      </c>
      <c r="X285" s="36" t="n">
        <f>20</f>
        <v>20.0</v>
      </c>
    </row>
    <row r="286">
      <c r="A286" s="27" t="s">
        <v>42</v>
      </c>
      <c r="B286" s="27" t="s">
        <v>901</v>
      </c>
      <c r="C286" s="27" t="s">
        <v>902</v>
      </c>
      <c r="D286" s="27" t="s">
        <v>903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2303</f>
        <v>2303.0</v>
      </c>
      <c r="L286" s="34" t="s">
        <v>48</v>
      </c>
      <c r="M286" s="33" t="n">
        <f>2409</f>
        <v>2409.0</v>
      </c>
      <c r="N286" s="34" t="s">
        <v>49</v>
      </c>
      <c r="O286" s="33" t="n">
        <f>2299</f>
        <v>2299.0</v>
      </c>
      <c r="P286" s="34" t="s">
        <v>48</v>
      </c>
      <c r="Q286" s="33" t="n">
        <f>2378</f>
        <v>2378.0</v>
      </c>
      <c r="R286" s="34" t="s">
        <v>51</v>
      </c>
      <c r="S286" s="35" t="n">
        <f>2361.15</f>
        <v>2361.15</v>
      </c>
      <c r="T286" s="32" t="n">
        <f>949861</f>
        <v>949861.0</v>
      </c>
      <c r="U286" s="32" t="str">
        <f>"－"</f>
        <v>－</v>
      </c>
      <c r="V286" s="32" t="n">
        <f>2233064119</f>
        <v>2.233064119E9</v>
      </c>
      <c r="W286" s="32" t="str">
        <f>"－"</f>
        <v>－</v>
      </c>
      <c r="X286" s="36" t="n">
        <f>20</f>
        <v>20.0</v>
      </c>
    </row>
    <row r="287">
      <c r="A287" s="27" t="s">
        <v>42</v>
      </c>
      <c r="B287" s="27" t="s">
        <v>904</v>
      </c>
      <c r="C287" s="27" t="s">
        <v>905</v>
      </c>
      <c r="D287" s="27" t="s">
        <v>906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1951</f>
        <v>1951.0</v>
      </c>
      <c r="L287" s="34" t="s">
        <v>48</v>
      </c>
      <c r="M287" s="33" t="n">
        <f>2060</f>
        <v>2060.0</v>
      </c>
      <c r="N287" s="34" t="s">
        <v>132</v>
      </c>
      <c r="O287" s="33" t="n">
        <f>1951</f>
        <v>1951.0</v>
      </c>
      <c r="P287" s="34" t="s">
        <v>48</v>
      </c>
      <c r="Q287" s="33" t="n">
        <f>2035</f>
        <v>2035.0</v>
      </c>
      <c r="R287" s="34" t="s">
        <v>51</v>
      </c>
      <c r="S287" s="35" t="n">
        <f>2020.55</f>
        <v>2020.55</v>
      </c>
      <c r="T287" s="32" t="n">
        <f>59197</f>
        <v>59197.0</v>
      </c>
      <c r="U287" s="32" t="str">
        <f>"－"</f>
        <v>－</v>
      </c>
      <c r="V287" s="32" t="n">
        <f>119351336</f>
        <v>1.19351336E8</v>
      </c>
      <c r="W287" s="32" t="str">
        <f>"－"</f>
        <v>－</v>
      </c>
      <c r="X287" s="36" t="n">
        <f>20</f>
        <v>20.0</v>
      </c>
    </row>
    <row r="288">
      <c r="A288" s="27" t="s">
        <v>42</v>
      </c>
      <c r="B288" s="27" t="s">
        <v>907</v>
      </c>
      <c r="C288" s="27" t="s">
        <v>908</v>
      </c>
      <c r="D288" s="27" t="s">
        <v>909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1148</f>
        <v>1148.0</v>
      </c>
      <c r="L288" s="34" t="s">
        <v>48</v>
      </c>
      <c r="M288" s="33" t="n">
        <f>1291</f>
        <v>1291.0</v>
      </c>
      <c r="N288" s="34" t="s">
        <v>62</v>
      </c>
      <c r="O288" s="33" t="n">
        <f>1140</f>
        <v>1140.0</v>
      </c>
      <c r="P288" s="34" t="s">
        <v>48</v>
      </c>
      <c r="Q288" s="33" t="n">
        <f>1273</f>
        <v>1273.0</v>
      </c>
      <c r="R288" s="34" t="s">
        <v>51</v>
      </c>
      <c r="S288" s="35" t="n">
        <f>1250.25</f>
        <v>1250.25</v>
      </c>
      <c r="T288" s="32" t="n">
        <f>47351</f>
        <v>47351.0</v>
      </c>
      <c r="U288" s="32" t="str">
        <f>"－"</f>
        <v>－</v>
      </c>
      <c r="V288" s="32" t="n">
        <f>59812334</f>
        <v>5.9812334E7</v>
      </c>
      <c r="W288" s="32" t="str">
        <f>"－"</f>
        <v>－</v>
      </c>
      <c r="X288" s="36" t="n">
        <f>20</f>
        <v>20.0</v>
      </c>
    </row>
    <row r="289">
      <c r="A289" s="27" t="s">
        <v>42</v>
      </c>
      <c r="B289" s="27" t="s">
        <v>910</v>
      </c>
      <c r="C289" s="27" t="s">
        <v>911</v>
      </c>
      <c r="D289" s="27" t="s">
        <v>912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1837</f>
        <v>1837.0</v>
      </c>
      <c r="L289" s="34" t="s">
        <v>48</v>
      </c>
      <c r="M289" s="33" t="n">
        <f>1940</f>
        <v>1940.0</v>
      </c>
      <c r="N289" s="34" t="s">
        <v>241</v>
      </c>
      <c r="O289" s="33" t="n">
        <f>1811</f>
        <v>1811.0</v>
      </c>
      <c r="P289" s="34" t="s">
        <v>116</v>
      </c>
      <c r="Q289" s="33" t="n">
        <f>1816</f>
        <v>1816.0</v>
      </c>
      <c r="R289" s="34" t="s">
        <v>51</v>
      </c>
      <c r="S289" s="35" t="n">
        <f>1870.6</f>
        <v>1870.6</v>
      </c>
      <c r="T289" s="32" t="n">
        <f>9739</f>
        <v>9739.0</v>
      </c>
      <c r="U289" s="32" t="n">
        <f>36</f>
        <v>36.0</v>
      </c>
      <c r="V289" s="32" t="n">
        <f>18308773</f>
        <v>1.8308773E7</v>
      </c>
      <c r="W289" s="32" t="n">
        <f>61812</f>
        <v>61812.0</v>
      </c>
      <c r="X289" s="36" t="n">
        <f>20</f>
        <v>20.0</v>
      </c>
    </row>
    <row r="290">
      <c r="A290" s="27" t="s">
        <v>42</v>
      </c>
      <c r="B290" s="27" t="s">
        <v>913</v>
      </c>
      <c r="C290" s="27" t="s">
        <v>914</v>
      </c>
      <c r="D290" s="27" t="s">
        <v>915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2356</f>
        <v>2356.0</v>
      </c>
      <c r="L290" s="34" t="s">
        <v>48</v>
      </c>
      <c r="M290" s="33" t="n">
        <f>2453</f>
        <v>2453.0</v>
      </c>
      <c r="N290" s="34" t="s">
        <v>79</v>
      </c>
      <c r="O290" s="33" t="n">
        <f>2308</f>
        <v>2308.0</v>
      </c>
      <c r="P290" s="34" t="s">
        <v>89</v>
      </c>
      <c r="Q290" s="33" t="n">
        <f>2311</f>
        <v>2311.0</v>
      </c>
      <c r="R290" s="34" t="s">
        <v>51</v>
      </c>
      <c r="S290" s="35" t="n">
        <f>2380.65</f>
        <v>2380.65</v>
      </c>
      <c r="T290" s="32" t="n">
        <f>1921</f>
        <v>1921.0</v>
      </c>
      <c r="U290" s="32" t="str">
        <f>"－"</f>
        <v>－</v>
      </c>
      <c r="V290" s="32" t="n">
        <f>4612964</f>
        <v>4612964.0</v>
      </c>
      <c r="W290" s="32" t="str">
        <f>"－"</f>
        <v>－</v>
      </c>
      <c r="X290" s="36" t="n">
        <f>20</f>
        <v>20.0</v>
      </c>
    </row>
    <row r="291">
      <c r="A291" s="27" t="s">
        <v>42</v>
      </c>
      <c r="B291" s="27" t="s">
        <v>916</v>
      </c>
      <c r="C291" s="27" t="s">
        <v>917</v>
      </c>
      <c r="D291" s="27" t="s">
        <v>918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9980</f>
        <v>9980.0</v>
      </c>
      <c r="L291" s="34" t="s">
        <v>48</v>
      </c>
      <c r="M291" s="33" t="n">
        <f>10855</f>
        <v>10855.0</v>
      </c>
      <c r="N291" s="34" t="s">
        <v>132</v>
      </c>
      <c r="O291" s="33" t="n">
        <f>9971</f>
        <v>9971.0</v>
      </c>
      <c r="P291" s="34" t="s">
        <v>48</v>
      </c>
      <c r="Q291" s="33" t="n">
        <f>10830</f>
        <v>10830.0</v>
      </c>
      <c r="R291" s="34" t="s">
        <v>51</v>
      </c>
      <c r="S291" s="35" t="n">
        <f>10594.75</f>
        <v>10594.75</v>
      </c>
      <c r="T291" s="32" t="n">
        <f>331297</f>
        <v>331297.0</v>
      </c>
      <c r="U291" s="32" t="n">
        <f>129117</f>
        <v>129117.0</v>
      </c>
      <c r="V291" s="32" t="n">
        <f>3475477348</f>
        <v>3.475477348E9</v>
      </c>
      <c r="W291" s="32" t="n">
        <f>1353456156</f>
        <v>1.353456156E9</v>
      </c>
      <c r="X291" s="36" t="n">
        <f>20</f>
        <v>20.0</v>
      </c>
    </row>
    <row r="292">
      <c r="A292" s="27" t="s">
        <v>42</v>
      </c>
      <c r="B292" s="27" t="s">
        <v>919</v>
      </c>
      <c r="C292" s="27" t="s">
        <v>920</v>
      </c>
      <c r="D292" s="27" t="s">
        <v>921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15640</f>
        <v>15640.0</v>
      </c>
      <c r="L292" s="34" t="s">
        <v>48</v>
      </c>
      <c r="M292" s="33" t="n">
        <f>17245</f>
        <v>17245.0</v>
      </c>
      <c r="N292" s="34" t="s">
        <v>132</v>
      </c>
      <c r="O292" s="33" t="n">
        <f>15625</f>
        <v>15625.0</v>
      </c>
      <c r="P292" s="34" t="s">
        <v>48</v>
      </c>
      <c r="Q292" s="33" t="n">
        <f>16960</f>
        <v>16960.0</v>
      </c>
      <c r="R292" s="34" t="s">
        <v>51</v>
      </c>
      <c r="S292" s="35" t="n">
        <f>16771.75</f>
        <v>16771.75</v>
      </c>
      <c r="T292" s="32" t="n">
        <f>765885</f>
        <v>765885.0</v>
      </c>
      <c r="U292" s="32" t="n">
        <f>12101</f>
        <v>12101.0</v>
      </c>
      <c r="V292" s="32" t="n">
        <f>12861549289</f>
        <v>1.2861549289E10</v>
      </c>
      <c r="W292" s="32" t="n">
        <f>206643694</f>
        <v>2.06643694E8</v>
      </c>
      <c r="X292" s="36" t="n">
        <f>20</f>
        <v>20.0</v>
      </c>
    </row>
    <row r="293">
      <c r="A293" s="27" t="s">
        <v>42</v>
      </c>
      <c r="B293" s="27" t="s">
        <v>922</v>
      </c>
      <c r="C293" s="27" t="s">
        <v>923</v>
      </c>
      <c r="D293" s="27" t="s">
        <v>924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1.0</v>
      </c>
      <c r="K293" s="33" t="n">
        <f>9950</f>
        <v>9950.0</v>
      </c>
      <c r="L293" s="34" t="s">
        <v>48</v>
      </c>
      <c r="M293" s="33" t="n">
        <f>11080</f>
        <v>11080.0</v>
      </c>
      <c r="N293" s="34" t="s">
        <v>69</v>
      </c>
      <c r="O293" s="33" t="n">
        <f>9941</f>
        <v>9941.0</v>
      </c>
      <c r="P293" s="34" t="s">
        <v>48</v>
      </c>
      <c r="Q293" s="33" t="n">
        <f>11040</f>
        <v>11040.0</v>
      </c>
      <c r="R293" s="34" t="s">
        <v>51</v>
      </c>
      <c r="S293" s="35" t="n">
        <f>10749.15</f>
        <v>10749.15</v>
      </c>
      <c r="T293" s="32" t="n">
        <f>773493</f>
        <v>773493.0</v>
      </c>
      <c r="U293" s="32" t="n">
        <f>361215</f>
        <v>361215.0</v>
      </c>
      <c r="V293" s="32" t="n">
        <f>8236709027</f>
        <v>8.236709027E9</v>
      </c>
      <c r="W293" s="32" t="n">
        <f>3823618109</f>
        <v>3.823618109E9</v>
      </c>
      <c r="X293" s="36" t="n">
        <f>20</f>
        <v>20.0</v>
      </c>
    </row>
    <row r="294">
      <c r="A294" s="27" t="s">
        <v>42</v>
      </c>
      <c r="B294" s="27" t="s">
        <v>925</v>
      </c>
      <c r="C294" s="27" t="s">
        <v>926</v>
      </c>
      <c r="D294" s="27" t="s">
        <v>927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2917.5</f>
        <v>2917.5</v>
      </c>
      <c r="L294" s="34" t="s">
        <v>48</v>
      </c>
      <c r="M294" s="33" t="n">
        <f>3148</f>
        <v>3148.0</v>
      </c>
      <c r="N294" s="34" t="s">
        <v>132</v>
      </c>
      <c r="O294" s="33" t="n">
        <f>2914.5</f>
        <v>2914.5</v>
      </c>
      <c r="P294" s="34" t="s">
        <v>48</v>
      </c>
      <c r="Q294" s="33" t="n">
        <f>3094</f>
        <v>3094.0</v>
      </c>
      <c r="R294" s="34" t="s">
        <v>51</v>
      </c>
      <c r="S294" s="35" t="n">
        <f>3072.73</f>
        <v>3072.73</v>
      </c>
      <c r="T294" s="32" t="n">
        <f>1230090</f>
        <v>1230090.0</v>
      </c>
      <c r="U294" s="32" t="n">
        <f>160010</f>
        <v>160010.0</v>
      </c>
      <c r="V294" s="32" t="n">
        <f>3743125675</f>
        <v>3.743125675E9</v>
      </c>
      <c r="W294" s="32" t="n">
        <f>480354180</f>
        <v>4.8035418E8</v>
      </c>
      <c r="X294" s="36" t="n">
        <f>20</f>
        <v>20.0</v>
      </c>
    </row>
    <row r="295">
      <c r="A295" s="27" t="s">
        <v>42</v>
      </c>
      <c r="B295" s="27" t="s">
        <v>928</v>
      </c>
      <c r="C295" s="27" t="s">
        <v>929</v>
      </c>
      <c r="D295" s="27" t="s">
        <v>930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1954.5</f>
        <v>1954.5</v>
      </c>
      <c r="L295" s="34" t="s">
        <v>48</v>
      </c>
      <c r="M295" s="33" t="n">
        <f>2125.5</f>
        <v>2125.5</v>
      </c>
      <c r="N295" s="34" t="s">
        <v>132</v>
      </c>
      <c r="O295" s="33" t="n">
        <f>1952</f>
        <v>1952.0</v>
      </c>
      <c r="P295" s="34" t="s">
        <v>48</v>
      </c>
      <c r="Q295" s="33" t="n">
        <f>2120</f>
        <v>2120.0</v>
      </c>
      <c r="R295" s="34" t="s">
        <v>51</v>
      </c>
      <c r="S295" s="35" t="n">
        <f>2072.93</f>
        <v>2072.93</v>
      </c>
      <c r="T295" s="32" t="n">
        <f>3390170</f>
        <v>3390170.0</v>
      </c>
      <c r="U295" s="32" t="n">
        <f>1550000</f>
        <v>1550000.0</v>
      </c>
      <c r="V295" s="32" t="n">
        <f>7003531865</f>
        <v>7.003531865E9</v>
      </c>
      <c r="W295" s="32" t="n">
        <f>3186557550</f>
        <v>3.18655755E9</v>
      </c>
      <c r="X295" s="36" t="n">
        <f>20</f>
        <v>20.0</v>
      </c>
    </row>
    <row r="296">
      <c r="A296" s="27" t="s">
        <v>42</v>
      </c>
      <c r="B296" s="27" t="s">
        <v>931</v>
      </c>
      <c r="C296" s="27" t="s">
        <v>932</v>
      </c>
      <c r="D296" s="27" t="s">
        <v>933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3020</f>
        <v>3020.0</v>
      </c>
      <c r="L296" s="34" t="s">
        <v>48</v>
      </c>
      <c r="M296" s="33" t="n">
        <f>3297</f>
        <v>3297.0</v>
      </c>
      <c r="N296" s="34" t="s">
        <v>293</v>
      </c>
      <c r="O296" s="33" t="n">
        <f>3020</f>
        <v>3020.0</v>
      </c>
      <c r="P296" s="34" t="s">
        <v>48</v>
      </c>
      <c r="Q296" s="33" t="n">
        <f>3230</f>
        <v>3230.0</v>
      </c>
      <c r="R296" s="34" t="s">
        <v>51</v>
      </c>
      <c r="S296" s="35" t="n">
        <f>3206.45</f>
        <v>3206.45</v>
      </c>
      <c r="T296" s="32" t="n">
        <f>204770</f>
        <v>204770.0</v>
      </c>
      <c r="U296" s="32" t="n">
        <f>40</f>
        <v>40.0</v>
      </c>
      <c r="V296" s="32" t="n">
        <f>644202260</f>
        <v>6.4420226E8</v>
      </c>
      <c r="W296" s="32" t="n">
        <f>126960</f>
        <v>126960.0</v>
      </c>
      <c r="X296" s="36" t="n">
        <f>20</f>
        <v>20.0</v>
      </c>
    </row>
    <row r="297">
      <c r="A297" s="27" t="s">
        <v>42</v>
      </c>
      <c r="B297" s="27" t="s">
        <v>934</v>
      </c>
      <c r="C297" s="27" t="s">
        <v>935</v>
      </c>
      <c r="D297" s="27" t="s">
        <v>936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2697</f>
        <v>2697.0</v>
      </c>
      <c r="L297" s="34" t="s">
        <v>48</v>
      </c>
      <c r="M297" s="33" t="n">
        <f>2915</f>
        <v>2915.0</v>
      </c>
      <c r="N297" s="34" t="s">
        <v>132</v>
      </c>
      <c r="O297" s="33" t="n">
        <f>2697</f>
        <v>2697.0</v>
      </c>
      <c r="P297" s="34" t="s">
        <v>48</v>
      </c>
      <c r="Q297" s="33" t="n">
        <f>2875</f>
        <v>2875.0</v>
      </c>
      <c r="R297" s="34" t="s">
        <v>51</v>
      </c>
      <c r="S297" s="35" t="n">
        <f>2831.3</f>
        <v>2831.3</v>
      </c>
      <c r="T297" s="32" t="n">
        <f>9160</f>
        <v>9160.0</v>
      </c>
      <c r="U297" s="32" t="str">
        <f>"－"</f>
        <v>－</v>
      </c>
      <c r="V297" s="32" t="n">
        <f>25897265</f>
        <v>2.5897265E7</v>
      </c>
      <c r="W297" s="32" t="str">
        <f>"－"</f>
        <v>－</v>
      </c>
      <c r="X297" s="36" t="n">
        <f>20</f>
        <v>20.0</v>
      </c>
    </row>
    <row r="298">
      <c r="A298" s="27" t="s">
        <v>42</v>
      </c>
      <c r="B298" s="27" t="s">
        <v>937</v>
      </c>
      <c r="C298" s="27" t="s">
        <v>938</v>
      </c>
      <c r="D298" s="27" t="s">
        <v>939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1425</f>
        <v>1425.0</v>
      </c>
      <c r="L298" s="34" t="s">
        <v>48</v>
      </c>
      <c r="M298" s="33" t="n">
        <f>1535</f>
        <v>1535.0</v>
      </c>
      <c r="N298" s="34" t="s">
        <v>49</v>
      </c>
      <c r="O298" s="33" t="n">
        <f>1425</f>
        <v>1425.0</v>
      </c>
      <c r="P298" s="34" t="s">
        <v>48</v>
      </c>
      <c r="Q298" s="33" t="n">
        <f>1519</f>
        <v>1519.0</v>
      </c>
      <c r="R298" s="34" t="s">
        <v>51</v>
      </c>
      <c r="S298" s="35" t="n">
        <f>1498.75</f>
        <v>1498.75</v>
      </c>
      <c r="T298" s="32" t="n">
        <f>25228</f>
        <v>25228.0</v>
      </c>
      <c r="U298" s="32" t="str">
        <f>"－"</f>
        <v>－</v>
      </c>
      <c r="V298" s="32" t="n">
        <f>38045112</f>
        <v>3.8045112E7</v>
      </c>
      <c r="W298" s="32" t="str">
        <f>"－"</f>
        <v>－</v>
      </c>
      <c r="X298" s="36" t="n">
        <f>20</f>
        <v>20.0</v>
      </c>
    </row>
    <row r="299">
      <c r="A299" s="27" t="s">
        <v>42</v>
      </c>
      <c r="B299" s="27" t="s">
        <v>940</v>
      </c>
      <c r="C299" s="27" t="s">
        <v>941</v>
      </c>
      <c r="D299" s="27" t="s">
        <v>942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1825</f>
        <v>1825.0</v>
      </c>
      <c r="L299" s="34" t="s">
        <v>48</v>
      </c>
      <c r="M299" s="33" t="n">
        <f>2009</f>
        <v>2009.0</v>
      </c>
      <c r="N299" s="34" t="s">
        <v>132</v>
      </c>
      <c r="O299" s="33" t="n">
        <f>1817</f>
        <v>1817.0</v>
      </c>
      <c r="P299" s="34" t="s">
        <v>48</v>
      </c>
      <c r="Q299" s="33" t="n">
        <f>1974</f>
        <v>1974.0</v>
      </c>
      <c r="R299" s="34" t="s">
        <v>51</v>
      </c>
      <c r="S299" s="35" t="n">
        <f>1937.8</f>
        <v>1937.8</v>
      </c>
      <c r="T299" s="32" t="n">
        <f>209310</f>
        <v>209310.0</v>
      </c>
      <c r="U299" s="32" t="n">
        <f>100000</f>
        <v>100000.0</v>
      </c>
      <c r="V299" s="32" t="n">
        <f>407382812</f>
        <v>4.07382812E8</v>
      </c>
      <c r="W299" s="32" t="n">
        <f>194373000</f>
        <v>1.94373E8</v>
      </c>
      <c r="X299" s="36" t="n">
        <f>20</f>
        <v>20.0</v>
      </c>
    </row>
    <row r="300">
      <c r="A300" s="27" t="s">
        <v>42</v>
      </c>
      <c r="B300" s="27" t="s">
        <v>943</v>
      </c>
      <c r="C300" s="27" t="s">
        <v>944</v>
      </c>
      <c r="D300" s="27" t="s">
        <v>945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1491</f>
        <v>1491.0</v>
      </c>
      <c r="L300" s="34" t="s">
        <v>48</v>
      </c>
      <c r="M300" s="33" t="n">
        <f>1610</f>
        <v>1610.0</v>
      </c>
      <c r="N300" s="34" t="s">
        <v>132</v>
      </c>
      <c r="O300" s="33" t="n">
        <f>1491</f>
        <v>1491.0</v>
      </c>
      <c r="P300" s="34" t="s">
        <v>48</v>
      </c>
      <c r="Q300" s="33" t="n">
        <f>1603</f>
        <v>1603.0</v>
      </c>
      <c r="R300" s="34" t="s">
        <v>51</v>
      </c>
      <c r="S300" s="35" t="n">
        <f>1559.95</f>
        <v>1559.95</v>
      </c>
      <c r="T300" s="32" t="n">
        <f>25701</f>
        <v>25701.0</v>
      </c>
      <c r="U300" s="32" t="str">
        <f>"－"</f>
        <v>－</v>
      </c>
      <c r="V300" s="32" t="n">
        <f>40691455</f>
        <v>4.0691455E7</v>
      </c>
      <c r="W300" s="32" t="str">
        <f>"－"</f>
        <v>－</v>
      </c>
      <c r="X300" s="36" t="n">
        <f>20</f>
        <v>20.0</v>
      </c>
    </row>
    <row r="301">
      <c r="A301" s="27" t="s">
        <v>42</v>
      </c>
      <c r="B301" s="27" t="s">
        <v>946</v>
      </c>
      <c r="C301" s="27" t="s">
        <v>947</v>
      </c>
      <c r="D301" s="27" t="s">
        <v>948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1.0</v>
      </c>
      <c r="K301" s="33" t="n">
        <f>2675</f>
        <v>2675.0</v>
      </c>
      <c r="L301" s="34" t="s">
        <v>48</v>
      </c>
      <c r="M301" s="33" t="n">
        <f>2785</f>
        <v>2785.0</v>
      </c>
      <c r="N301" s="34" t="s">
        <v>218</v>
      </c>
      <c r="O301" s="33" t="n">
        <f>2668</f>
        <v>2668.0</v>
      </c>
      <c r="P301" s="34" t="s">
        <v>48</v>
      </c>
      <c r="Q301" s="33" t="n">
        <f>2703</f>
        <v>2703.0</v>
      </c>
      <c r="R301" s="34" t="s">
        <v>51</v>
      </c>
      <c r="S301" s="35" t="n">
        <f>2720.65</f>
        <v>2720.65</v>
      </c>
      <c r="T301" s="32" t="n">
        <f>122180</f>
        <v>122180.0</v>
      </c>
      <c r="U301" s="32" t="n">
        <f>85000</f>
        <v>85000.0</v>
      </c>
      <c r="V301" s="32" t="n">
        <f>334071234</f>
        <v>3.34071234E8</v>
      </c>
      <c r="W301" s="32" t="n">
        <f>232655200</f>
        <v>2.326552E8</v>
      </c>
      <c r="X301" s="36" t="n">
        <f>20</f>
        <v>20.0</v>
      </c>
    </row>
    <row r="302">
      <c r="A302" s="27" t="s">
        <v>42</v>
      </c>
      <c r="B302" s="27" t="s">
        <v>949</v>
      </c>
      <c r="C302" s="27" t="s">
        <v>950</v>
      </c>
      <c r="D302" s="27" t="s">
        <v>951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2512</f>
        <v>2512.0</v>
      </c>
      <c r="L302" s="34" t="s">
        <v>48</v>
      </c>
      <c r="M302" s="33" t="n">
        <f>2663</f>
        <v>2663.0</v>
      </c>
      <c r="N302" s="34" t="s">
        <v>49</v>
      </c>
      <c r="O302" s="33" t="n">
        <f>2507</f>
        <v>2507.0</v>
      </c>
      <c r="P302" s="34" t="s">
        <v>48</v>
      </c>
      <c r="Q302" s="33" t="n">
        <f>2626</f>
        <v>2626.0</v>
      </c>
      <c r="R302" s="34" t="s">
        <v>51</v>
      </c>
      <c r="S302" s="35" t="n">
        <f>2600.75</f>
        <v>2600.75</v>
      </c>
      <c r="T302" s="32" t="n">
        <f>285131</f>
        <v>285131.0</v>
      </c>
      <c r="U302" s="32" t="n">
        <f>115002</f>
        <v>115002.0</v>
      </c>
      <c r="V302" s="32" t="n">
        <f>744076342</f>
        <v>7.44076342E8</v>
      </c>
      <c r="W302" s="32" t="n">
        <f>302401128</f>
        <v>3.02401128E8</v>
      </c>
      <c r="X302" s="36" t="n">
        <f>20</f>
        <v>20.0</v>
      </c>
    </row>
    <row r="303">
      <c r="A303" s="27" t="s">
        <v>42</v>
      </c>
      <c r="B303" s="27" t="s">
        <v>952</v>
      </c>
      <c r="C303" s="27" t="s">
        <v>953</v>
      </c>
      <c r="D303" s="27" t="s">
        <v>954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30670</f>
        <v>30670.0</v>
      </c>
      <c r="L303" s="34" t="s">
        <v>48</v>
      </c>
      <c r="M303" s="33" t="n">
        <f>32030</f>
        <v>32030.0</v>
      </c>
      <c r="N303" s="34" t="s">
        <v>49</v>
      </c>
      <c r="O303" s="33" t="n">
        <f>30670</f>
        <v>30670.0</v>
      </c>
      <c r="P303" s="34" t="s">
        <v>48</v>
      </c>
      <c r="Q303" s="33" t="n">
        <f>31500</f>
        <v>31500.0</v>
      </c>
      <c r="R303" s="34" t="s">
        <v>89</v>
      </c>
      <c r="S303" s="35" t="n">
        <f>31358.67</f>
        <v>31358.67</v>
      </c>
      <c r="T303" s="32" t="n">
        <f>106</f>
        <v>106.0</v>
      </c>
      <c r="U303" s="32" t="str">
        <f>"－"</f>
        <v>－</v>
      </c>
      <c r="V303" s="32" t="n">
        <f>3311150</f>
        <v>3311150.0</v>
      </c>
      <c r="W303" s="32" t="str">
        <f>"－"</f>
        <v>－</v>
      </c>
      <c r="X303" s="36" t="n">
        <f>15</f>
        <v>15.0</v>
      </c>
    </row>
    <row r="304">
      <c r="A304" s="27" t="s">
        <v>42</v>
      </c>
      <c r="B304" s="27" t="s">
        <v>955</v>
      </c>
      <c r="C304" s="27" t="s">
        <v>956</v>
      </c>
      <c r="D304" s="27" t="s">
        <v>957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2321</f>
        <v>2321.0</v>
      </c>
      <c r="L304" s="34" t="s">
        <v>48</v>
      </c>
      <c r="M304" s="33" t="n">
        <f>2450</f>
        <v>2450.0</v>
      </c>
      <c r="N304" s="34" t="s">
        <v>49</v>
      </c>
      <c r="O304" s="33" t="n">
        <f>2321</f>
        <v>2321.0</v>
      </c>
      <c r="P304" s="34" t="s">
        <v>48</v>
      </c>
      <c r="Q304" s="33" t="n">
        <f>2427</f>
        <v>2427.0</v>
      </c>
      <c r="R304" s="34" t="s">
        <v>89</v>
      </c>
      <c r="S304" s="35" t="n">
        <f>2402.63</f>
        <v>2402.63</v>
      </c>
      <c r="T304" s="32" t="n">
        <f>4992</f>
        <v>4992.0</v>
      </c>
      <c r="U304" s="32" t="str">
        <f>"－"</f>
        <v>－</v>
      </c>
      <c r="V304" s="32" t="n">
        <f>12114676</f>
        <v>1.2114676E7</v>
      </c>
      <c r="W304" s="32" t="str">
        <f>"－"</f>
        <v>－</v>
      </c>
      <c r="X304" s="36" t="n">
        <f>16</f>
        <v>16.0</v>
      </c>
    </row>
    <row r="305">
      <c r="A305" s="27" t="s">
        <v>42</v>
      </c>
      <c r="B305" s="27" t="s">
        <v>958</v>
      </c>
      <c r="C305" s="27" t="s">
        <v>959</v>
      </c>
      <c r="D305" s="27" t="s">
        <v>960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2967</f>
        <v>2967.0</v>
      </c>
      <c r="L305" s="34" t="s">
        <v>48</v>
      </c>
      <c r="M305" s="33" t="n">
        <f>3685</f>
        <v>3685.0</v>
      </c>
      <c r="N305" s="34" t="s">
        <v>51</v>
      </c>
      <c r="O305" s="33" t="n">
        <f>2952</f>
        <v>2952.0</v>
      </c>
      <c r="P305" s="34" t="s">
        <v>48</v>
      </c>
      <c r="Q305" s="33" t="n">
        <f>3675</f>
        <v>3675.0</v>
      </c>
      <c r="R305" s="34" t="s">
        <v>51</v>
      </c>
      <c r="S305" s="35" t="n">
        <f>3422.3</f>
        <v>3422.3</v>
      </c>
      <c r="T305" s="32" t="n">
        <f>4794909</f>
        <v>4794909.0</v>
      </c>
      <c r="U305" s="32" t="n">
        <f>631533</f>
        <v>631533.0</v>
      </c>
      <c r="V305" s="32" t="n">
        <f>16437057432</f>
        <v>1.6437057432E10</v>
      </c>
      <c r="W305" s="32" t="n">
        <f>2210152524</f>
        <v>2.210152524E9</v>
      </c>
      <c r="X305" s="36" t="n">
        <f>20</f>
        <v>20.0</v>
      </c>
    </row>
    <row r="306">
      <c r="A306" s="27" t="s">
        <v>42</v>
      </c>
      <c r="B306" s="27" t="s">
        <v>961</v>
      </c>
      <c r="C306" s="27" t="s">
        <v>962</v>
      </c>
      <c r="D306" s="27" t="s">
        <v>963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1851</f>
        <v>1851.0</v>
      </c>
      <c r="L306" s="34" t="s">
        <v>48</v>
      </c>
      <c r="M306" s="33" t="n">
        <f>1928</f>
        <v>1928.0</v>
      </c>
      <c r="N306" s="34" t="s">
        <v>61</v>
      </c>
      <c r="O306" s="33" t="n">
        <f>1838</f>
        <v>1838.0</v>
      </c>
      <c r="P306" s="34" t="s">
        <v>48</v>
      </c>
      <c r="Q306" s="33" t="n">
        <f>1888</f>
        <v>1888.0</v>
      </c>
      <c r="R306" s="34" t="s">
        <v>51</v>
      </c>
      <c r="S306" s="35" t="n">
        <f>1886.6</f>
        <v>1886.6</v>
      </c>
      <c r="T306" s="32" t="n">
        <f>120819</f>
        <v>120819.0</v>
      </c>
      <c r="U306" s="32" t="n">
        <f>101000</f>
        <v>101000.0</v>
      </c>
      <c r="V306" s="32" t="n">
        <f>226392068</f>
        <v>2.26392068E8</v>
      </c>
      <c r="W306" s="32" t="n">
        <f>188922520</f>
        <v>1.8892252E8</v>
      </c>
      <c r="X306" s="36" t="n">
        <f>20</f>
        <v>20.0</v>
      </c>
    </row>
    <row r="307">
      <c r="A307" s="27" t="s">
        <v>42</v>
      </c>
      <c r="B307" s="27" t="s">
        <v>964</v>
      </c>
      <c r="C307" s="27" t="s">
        <v>965</v>
      </c>
      <c r="D307" s="27" t="s">
        <v>966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1657</f>
        <v>1657.0</v>
      </c>
      <c r="L307" s="34" t="s">
        <v>48</v>
      </c>
      <c r="M307" s="33" t="n">
        <f>1710</f>
        <v>1710.0</v>
      </c>
      <c r="N307" s="34" t="s">
        <v>61</v>
      </c>
      <c r="O307" s="33" t="n">
        <f>1630</f>
        <v>1630.0</v>
      </c>
      <c r="P307" s="34" t="s">
        <v>50</v>
      </c>
      <c r="Q307" s="33" t="n">
        <f>1690</f>
        <v>1690.0</v>
      </c>
      <c r="R307" s="34" t="s">
        <v>51</v>
      </c>
      <c r="S307" s="35" t="n">
        <f>1683.05</f>
        <v>1683.05</v>
      </c>
      <c r="T307" s="32" t="n">
        <f>2060</f>
        <v>2060.0</v>
      </c>
      <c r="U307" s="32" t="str">
        <f>"－"</f>
        <v>－</v>
      </c>
      <c r="V307" s="32" t="n">
        <f>3465285</f>
        <v>3465285.0</v>
      </c>
      <c r="W307" s="32" t="str">
        <f>"－"</f>
        <v>－</v>
      </c>
      <c r="X307" s="36" t="n">
        <f>20</f>
        <v>20.0</v>
      </c>
    </row>
    <row r="308">
      <c r="A308" s="27" t="s">
        <v>42</v>
      </c>
      <c r="B308" s="27" t="s">
        <v>967</v>
      </c>
      <c r="C308" s="27" t="s">
        <v>968</v>
      </c>
      <c r="D308" s="27" t="s">
        <v>969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5303</f>
        <v>5303.0</v>
      </c>
      <c r="L308" s="34" t="s">
        <v>48</v>
      </c>
      <c r="M308" s="33" t="n">
        <f>5545</f>
        <v>5545.0</v>
      </c>
      <c r="N308" s="34" t="s">
        <v>49</v>
      </c>
      <c r="O308" s="33" t="n">
        <f>5291</f>
        <v>5291.0</v>
      </c>
      <c r="P308" s="34" t="s">
        <v>48</v>
      </c>
      <c r="Q308" s="33" t="n">
        <f>5406</f>
        <v>5406.0</v>
      </c>
      <c r="R308" s="34" t="s">
        <v>89</v>
      </c>
      <c r="S308" s="35" t="n">
        <f>5400.89</f>
        <v>5400.89</v>
      </c>
      <c r="T308" s="32" t="n">
        <f>990420</f>
        <v>990420.0</v>
      </c>
      <c r="U308" s="32" t="n">
        <f>706720</f>
        <v>706720.0</v>
      </c>
      <c r="V308" s="32" t="n">
        <f>5314847226</f>
        <v>5.314847226E9</v>
      </c>
      <c r="W308" s="32" t="n">
        <f>3788832606</f>
        <v>3.788832606E9</v>
      </c>
      <c r="X308" s="36" t="n">
        <f>19</f>
        <v>19.0</v>
      </c>
    </row>
    <row r="309">
      <c r="A309" s="27" t="s">
        <v>42</v>
      </c>
      <c r="B309" s="27" t="s">
        <v>970</v>
      </c>
      <c r="C309" s="27" t="s">
        <v>971</v>
      </c>
      <c r="D309" s="27" t="s">
        <v>972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10.0</v>
      </c>
      <c r="K309" s="33" t="n">
        <f>3656</f>
        <v>3656.0</v>
      </c>
      <c r="L309" s="34" t="s">
        <v>48</v>
      </c>
      <c r="M309" s="33" t="n">
        <f>3849</f>
        <v>3849.0</v>
      </c>
      <c r="N309" s="34" t="s">
        <v>49</v>
      </c>
      <c r="O309" s="33" t="n">
        <f>3653</f>
        <v>3653.0</v>
      </c>
      <c r="P309" s="34" t="s">
        <v>48</v>
      </c>
      <c r="Q309" s="33" t="n">
        <f>3820</f>
        <v>3820.0</v>
      </c>
      <c r="R309" s="34" t="s">
        <v>51</v>
      </c>
      <c r="S309" s="35" t="n">
        <f>3756.8</f>
        <v>3756.8</v>
      </c>
      <c r="T309" s="32" t="n">
        <f>2824870</f>
        <v>2824870.0</v>
      </c>
      <c r="U309" s="32" t="n">
        <f>2454270</f>
        <v>2454270.0</v>
      </c>
      <c r="V309" s="32" t="n">
        <f>10585744354</f>
        <v>1.0585744354E10</v>
      </c>
      <c r="W309" s="32" t="n">
        <f>9201144304</f>
        <v>9.201144304E9</v>
      </c>
      <c r="X309" s="36" t="n">
        <f>20</f>
        <v>20.0</v>
      </c>
    </row>
    <row r="310">
      <c r="A310" s="27" t="s">
        <v>42</v>
      </c>
      <c r="B310" s="27" t="s">
        <v>973</v>
      </c>
      <c r="C310" s="27" t="s">
        <v>974</v>
      </c>
      <c r="D310" s="27" t="s">
        <v>975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10.0</v>
      </c>
      <c r="K310" s="33" t="n">
        <f>612.4</f>
        <v>612.4</v>
      </c>
      <c r="L310" s="34" t="s">
        <v>48</v>
      </c>
      <c r="M310" s="33" t="n">
        <f>643.9</f>
        <v>643.9</v>
      </c>
      <c r="N310" s="34" t="s">
        <v>51</v>
      </c>
      <c r="O310" s="33" t="n">
        <f>612.4</f>
        <v>612.4</v>
      </c>
      <c r="P310" s="34" t="s">
        <v>48</v>
      </c>
      <c r="Q310" s="33" t="n">
        <f>641.6</f>
        <v>641.6</v>
      </c>
      <c r="R310" s="34" t="s">
        <v>51</v>
      </c>
      <c r="S310" s="35" t="n">
        <f>630.41</f>
        <v>630.41</v>
      </c>
      <c r="T310" s="32" t="n">
        <f>32650</f>
        <v>32650.0</v>
      </c>
      <c r="U310" s="32" t="str">
        <f>"－"</f>
        <v>－</v>
      </c>
      <c r="V310" s="32" t="n">
        <f>20699155</f>
        <v>2.0699155E7</v>
      </c>
      <c r="W310" s="32" t="str">
        <f>"－"</f>
        <v>－</v>
      </c>
      <c r="X310" s="36" t="n">
        <f>19</f>
        <v>19.0</v>
      </c>
    </row>
    <row r="311">
      <c r="A311" s="27" t="s">
        <v>42</v>
      </c>
      <c r="B311" s="27" t="s">
        <v>976</v>
      </c>
      <c r="C311" s="27" t="s">
        <v>977</v>
      </c>
      <c r="D311" s="27" t="s">
        <v>978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2043</f>
        <v>2043.0</v>
      </c>
      <c r="L311" s="34" t="s">
        <v>48</v>
      </c>
      <c r="M311" s="33" t="n">
        <f>2242</f>
        <v>2242.0</v>
      </c>
      <c r="N311" s="34" t="s">
        <v>69</v>
      </c>
      <c r="O311" s="33" t="n">
        <f>2039</f>
        <v>2039.0</v>
      </c>
      <c r="P311" s="34" t="s">
        <v>48</v>
      </c>
      <c r="Q311" s="33" t="n">
        <f>2238</f>
        <v>2238.0</v>
      </c>
      <c r="R311" s="34" t="s">
        <v>51</v>
      </c>
      <c r="S311" s="35" t="n">
        <f>2175</f>
        <v>2175.0</v>
      </c>
      <c r="T311" s="32" t="n">
        <f>4475</f>
        <v>4475.0</v>
      </c>
      <c r="U311" s="32" t="str">
        <f>"－"</f>
        <v>－</v>
      </c>
      <c r="V311" s="32" t="n">
        <f>9754152</f>
        <v>9754152.0</v>
      </c>
      <c r="W311" s="32" t="str">
        <f>"－"</f>
        <v>－</v>
      </c>
      <c r="X311" s="36" t="n">
        <f>20</f>
        <v>20.0</v>
      </c>
    </row>
    <row r="312">
      <c r="A312" s="27" t="s">
        <v>42</v>
      </c>
      <c r="B312" s="27" t="s">
        <v>979</v>
      </c>
      <c r="C312" s="27" t="s">
        <v>980</v>
      </c>
      <c r="D312" s="27" t="s">
        <v>981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1950</f>
        <v>1950.0</v>
      </c>
      <c r="L312" s="34" t="s">
        <v>48</v>
      </c>
      <c r="M312" s="33" t="n">
        <f>2100</f>
        <v>2100.0</v>
      </c>
      <c r="N312" s="34" t="s">
        <v>132</v>
      </c>
      <c r="O312" s="33" t="n">
        <f>1927</f>
        <v>1927.0</v>
      </c>
      <c r="P312" s="34" t="s">
        <v>48</v>
      </c>
      <c r="Q312" s="33" t="n">
        <f>2081</f>
        <v>2081.0</v>
      </c>
      <c r="R312" s="34" t="s">
        <v>51</v>
      </c>
      <c r="S312" s="35" t="n">
        <f>2024.5</f>
        <v>2024.5</v>
      </c>
      <c r="T312" s="32" t="n">
        <f>92321</f>
        <v>92321.0</v>
      </c>
      <c r="U312" s="32" t="n">
        <f>68200</f>
        <v>68200.0</v>
      </c>
      <c r="V312" s="32" t="n">
        <f>186223250</f>
        <v>1.8622325E8</v>
      </c>
      <c r="W312" s="32" t="n">
        <f>138424858</f>
        <v>1.38424858E8</v>
      </c>
      <c r="X312" s="36" t="n">
        <f>20</f>
        <v>20.0</v>
      </c>
    </row>
    <row r="313">
      <c r="A313" s="27" t="s">
        <v>42</v>
      </c>
      <c r="B313" s="27" t="s">
        <v>982</v>
      </c>
      <c r="C313" s="27" t="s">
        <v>983</v>
      </c>
      <c r="D313" s="27" t="s">
        <v>984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7884</f>
        <v>7884.0</v>
      </c>
      <c r="L313" s="34" t="s">
        <v>48</v>
      </c>
      <c r="M313" s="33" t="n">
        <f>8261</f>
        <v>8261.0</v>
      </c>
      <c r="N313" s="34" t="s">
        <v>49</v>
      </c>
      <c r="O313" s="33" t="n">
        <f>7884</f>
        <v>7884.0</v>
      </c>
      <c r="P313" s="34" t="s">
        <v>48</v>
      </c>
      <c r="Q313" s="33" t="n">
        <f>8031</f>
        <v>8031.0</v>
      </c>
      <c r="R313" s="34" t="s">
        <v>51</v>
      </c>
      <c r="S313" s="35" t="n">
        <f>8031.8</f>
        <v>8031.8</v>
      </c>
      <c r="T313" s="32" t="n">
        <f>459896</f>
        <v>459896.0</v>
      </c>
      <c r="U313" s="32" t="n">
        <f>311003</f>
        <v>311003.0</v>
      </c>
      <c r="V313" s="32" t="n">
        <f>3708255653</f>
        <v>3.708255653E9</v>
      </c>
      <c r="W313" s="32" t="n">
        <f>2510656377</f>
        <v>2.510656377E9</v>
      </c>
      <c r="X313" s="36" t="n">
        <f>20</f>
        <v>20.0</v>
      </c>
    </row>
    <row r="314">
      <c r="A314" s="27" t="s">
        <v>42</v>
      </c>
      <c r="B314" s="27" t="s">
        <v>985</v>
      </c>
      <c r="C314" s="27" t="s">
        <v>986</v>
      </c>
      <c r="D314" s="27" t="s">
        <v>987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5460</f>
        <v>5460.0</v>
      </c>
      <c r="L314" s="34" t="s">
        <v>48</v>
      </c>
      <c r="M314" s="33" t="n">
        <f>5751</f>
        <v>5751.0</v>
      </c>
      <c r="N314" s="34" t="s">
        <v>51</v>
      </c>
      <c r="O314" s="33" t="n">
        <f>5442</f>
        <v>5442.0</v>
      </c>
      <c r="P314" s="34" t="s">
        <v>48</v>
      </c>
      <c r="Q314" s="33" t="n">
        <f>5661</f>
        <v>5661.0</v>
      </c>
      <c r="R314" s="34" t="s">
        <v>51</v>
      </c>
      <c r="S314" s="35" t="n">
        <f>5575.53</f>
        <v>5575.53</v>
      </c>
      <c r="T314" s="32" t="n">
        <f>55780</f>
        <v>55780.0</v>
      </c>
      <c r="U314" s="32" t="n">
        <f>27000</f>
        <v>27000.0</v>
      </c>
      <c r="V314" s="32" t="n">
        <f>312753161</f>
        <v>3.12753161E8</v>
      </c>
      <c r="W314" s="32" t="n">
        <f>152445600</f>
        <v>1.524456E8</v>
      </c>
      <c r="X314" s="36" t="n">
        <f>19</f>
        <v>19.0</v>
      </c>
    </row>
    <row r="315">
      <c r="A315" s="27" t="s">
        <v>42</v>
      </c>
      <c r="B315" s="27" t="s">
        <v>988</v>
      </c>
      <c r="C315" s="27" t="s">
        <v>989</v>
      </c>
      <c r="D315" s="27" t="s">
        <v>990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20250</f>
        <v>20250.0</v>
      </c>
      <c r="L315" s="34" t="s">
        <v>48</v>
      </c>
      <c r="M315" s="33" t="n">
        <f>22325</f>
        <v>22325.0</v>
      </c>
      <c r="N315" s="34" t="s">
        <v>132</v>
      </c>
      <c r="O315" s="33" t="n">
        <f>20240</f>
        <v>20240.0</v>
      </c>
      <c r="P315" s="34" t="s">
        <v>48</v>
      </c>
      <c r="Q315" s="33" t="n">
        <f>21955</f>
        <v>21955.0</v>
      </c>
      <c r="R315" s="34" t="s">
        <v>51</v>
      </c>
      <c r="S315" s="35" t="n">
        <f>21705.5</f>
        <v>21705.5</v>
      </c>
      <c r="T315" s="32" t="n">
        <f>338018</f>
        <v>338018.0</v>
      </c>
      <c r="U315" s="32" t="str">
        <f>"－"</f>
        <v>－</v>
      </c>
      <c r="V315" s="32" t="n">
        <f>7351847990</f>
        <v>7.35184799E9</v>
      </c>
      <c r="W315" s="32" t="str">
        <f>"－"</f>
        <v>－</v>
      </c>
      <c r="X315" s="36" t="n">
        <f>20</f>
        <v>20.0</v>
      </c>
    </row>
    <row r="316">
      <c r="A316" s="27" t="s">
        <v>42</v>
      </c>
      <c r="B316" s="27" t="s">
        <v>991</v>
      </c>
      <c r="C316" s="27" t="s">
        <v>992</v>
      </c>
      <c r="D316" s="27" t="s">
        <v>993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9360</f>
        <v>9360.0</v>
      </c>
      <c r="L316" s="34" t="s">
        <v>48</v>
      </c>
      <c r="M316" s="33" t="n">
        <f>10410</f>
        <v>10410.0</v>
      </c>
      <c r="N316" s="34" t="s">
        <v>69</v>
      </c>
      <c r="O316" s="33" t="n">
        <f>9355</f>
        <v>9355.0</v>
      </c>
      <c r="P316" s="34" t="s">
        <v>48</v>
      </c>
      <c r="Q316" s="33" t="n">
        <f>10375</f>
        <v>10375.0</v>
      </c>
      <c r="R316" s="34" t="s">
        <v>51</v>
      </c>
      <c r="S316" s="35" t="n">
        <f>10104.45</f>
        <v>10104.45</v>
      </c>
      <c r="T316" s="32" t="n">
        <f>731170</f>
        <v>731170.0</v>
      </c>
      <c r="U316" s="32" t="n">
        <f>187701</f>
        <v>187701.0</v>
      </c>
      <c r="V316" s="32" t="n">
        <f>7388408848</f>
        <v>7.388408848E9</v>
      </c>
      <c r="W316" s="32" t="n">
        <f>1925084699</f>
        <v>1.925084699E9</v>
      </c>
      <c r="X316" s="36" t="n">
        <f>20</f>
        <v>20.0</v>
      </c>
    </row>
    <row r="317">
      <c r="A317" s="27" t="s">
        <v>42</v>
      </c>
      <c r="B317" s="27" t="s">
        <v>994</v>
      </c>
      <c r="C317" s="27" t="s">
        <v>995</v>
      </c>
      <c r="D317" s="27" t="s">
        <v>996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25410</f>
        <v>25410.0</v>
      </c>
      <c r="L317" s="34" t="s">
        <v>48</v>
      </c>
      <c r="M317" s="33" t="n">
        <f>25430</f>
        <v>25430.0</v>
      </c>
      <c r="N317" s="34" t="s">
        <v>48</v>
      </c>
      <c r="O317" s="33" t="n">
        <f>22760</f>
        <v>22760.0</v>
      </c>
      <c r="P317" s="34" t="s">
        <v>69</v>
      </c>
      <c r="Q317" s="33" t="n">
        <f>22835</f>
        <v>22835.0</v>
      </c>
      <c r="R317" s="34" t="s">
        <v>51</v>
      </c>
      <c r="S317" s="35" t="n">
        <f>23519.75</f>
        <v>23519.75</v>
      </c>
      <c r="T317" s="32" t="n">
        <f>232514</f>
        <v>232514.0</v>
      </c>
      <c r="U317" s="32" t="n">
        <f>17003</f>
        <v>17003.0</v>
      </c>
      <c r="V317" s="32" t="n">
        <f>5444795498</f>
        <v>5.444795498E9</v>
      </c>
      <c r="W317" s="32" t="n">
        <f>405537613</f>
        <v>4.05537613E8</v>
      </c>
      <c r="X317" s="36" t="n">
        <f>20</f>
        <v>20.0</v>
      </c>
    </row>
    <row r="318">
      <c r="A318" s="27" t="s">
        <v>42</v>
      </c>
      <c r="B318" s="27" t="s">
        <v>997</v>
      </c>
      <c r="C318" s="27" t="s">
        <v>998</v>
      </c>
      <c r="D318" s="27" t="s">
        <v>999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10.0</v>
      </c>
      <c r="K318" s="33" t="n">
        <f>3950</f>
        <v>3950.0</v>
      </c>
      <c r="L318" s="34" t="s">
        <v>48</v>
      </c>
      <c r="M318" s="33" t="n">
        <f>4147</f>
        <v>4147.0</v>
      </c>
      <c r="N318" s="34" t="s">
        <v>49</v>
      </c>
      <c r="O318" s="33" t="n">
        <f>3950</f>
        <v>3950.0</v>
      </c>
      <c r="P318" s="34" t="s">
        <v>48</v>
      </c>
      <c r="Q318" s="33" t="n">
        <f>4115</f>
        <v>4115.0</v>
      </c>
      <c r="R318" s="34" t="s">
        <v>51</v>
      </c>
      <c r="S318" s="35" t="n">
        <f>4056.5</f>
        <v>4056.5</v>
      </c>
      <c r="T318" s="32" t="n">
        <f>670450</f>
        <v>670450.0</v>
      </c>
      <c r="U318" s="32" t="n">
        <f>668000</f>
        <v>668000.0</v>
      </c>
      <c r="V318" s="32" t="n">
        <f>2701912420</f>
        <v>2.70191242E9</v>
      </c>
      <c r="W318" s="32" t="n">
        <f>2692040000</f>
        <v>2.69204E9</v>
      </c>
      <c r="X318" s="36" t="n">
        <f>14</f>
        <v>14.0</v>
      </c>
    </row>
    <row r="319">
      <c r="A319" s="27" t="s">
        <v>42</v>
      </c>
      <c r="B319" s="27" t="s">
        <v>1000</v>
      </c>
      <c r="C319" s="27" t="s">
        <v>1001</v>
      </c>
      <c r="D319" s="27" t="s">
        <v>1002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10.0</v>
      </c>
      <c r="K319" s="33" t="n">
        <f>4768</f>
        <v>4768.0</v>
      </c>
      <c r="L319" s="34" t="s">
        <v>48</v>
      </c>
      <c r="M319" s="33" t="n">
        <f>5093</f>
        <v>5093.0</v>
      </c>
      <c r="N319" s="34" t="s">
        <v>89</v>
      </c>
      <c r="O319" s="33" t="n">
        <f>4768</f>
        <v>4768.0</v>
      </c>
      <c r="P319" s="34" t="s">
        <v>48</v>
      </c>
      <c r="Q319" s="33" t="n">
        <f>5027</f>
        <v>5027.0</v>
      </c>
      <c r="R319" s="34" t="s">
        <v>51</v>
      </c>
      <c r="S319" s="35" t="n">
        <f>4949.89</f>
        <v>4949.89</v>
      </c>
      <c r="T319" s="32" t="n">
        <f>24830</f>
        <v>24830.0</v>
      </c>
      <c r="U319" s="32" t="n">
        <f>4020</f>
        <v>4020.0</v>
      </c>
      <c r="V319" s="32" t="n">
        <f>123307778</f>
        <v>1.23307778E8</v>
      </c>
      <c r="W319" s="32" t="n">
        <f>19937178</f>
        <v>1.9937178E7</v>
      </c>
      <c r="X319" s="36" t="n">
        <f>19</f>
        <v>19.0</v>
      </c>
    </row>
    <row r="320">
      <c r="A320" s="27" t="s">
        <v>42</v>
      </c>
      <c r="B320" s="27" t="s">
        <v>1003</v>
      </c>
      <c r="C320" s="27" t="s">
        <v>1004</v>
      </c>
      <c r="D320" s="27" t="s">
        <v>1005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10.0</v>
      </c>
      <c r="K320" s="33" t="n">
        <f>1954</f>
        <v>1954.0</v>
      </c>
      <c r="L320" s="34" t="s">
        <v>48</v>
      </c>
      <c r="M320" s="33" t="n">
        <f>2174</f>
        <v>2174.0</v>
      </c>
      <c r="N320" s="34" t="s">
        <v>69</v>
      </c>
      <c r="O320" s="33" t="n">
        <f>1952.5</f>
        <v>1952.5</v>
      </c>
      <c r="P320" s="34" t="s">
        <v>48</v>
      </c>
      <c r="Q320" s="33" t="n">
        <f>2166.5</f>
        <v>2166.5</v>
      </c>
      <c r="R320" s="34" t="s">
        <v>51</v>
      </c>
      <c r="S320" s="35" t="n">
        <f>2109.53</f>
        <v>2109.53</v>
      </c>
      <c r="T320" s="32" t="n">
        <f>2185770</f>
        <v>2185770.0</v>
      </c>
      <c r="U320" s="32" t="n">
        <f>93000</f>
        <v>93000.0</v>
      </c>
      <c r="V320" s="32" t="n">
        <f>4579260450</f>
        <v>4.57926045E9</v>
      </c>
      <c r="W320" s="32" t="n">
        <f>200080200</f>
        <v>2.000802E8</v>
      </c>
      <c r="X320" s="36" t="n">
        <f>20</f>
        <v>20.0</v>
      </c>
    </row>
    <row r="321">
      <c r="A321" s="27" t="s">
        <v>42</v>
      </c>
      <c r="B321" s="27" t="s">
        <v>1006</v>
      </c>
      <c r="C321" s="27" t="s">
        <v>1007</v>
      </c>
      <c r="D321" s="27" t="s">
        <v>1008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10.0</v>
      </c>
      <c r="K321" s="33" t="n">
        <f>1813.5</f>
        <v>1813.5</v>
      </c>
      <c r="L321" s="34" t="s">
        <v>48</v>
      </c>
      <c r="M321" s="33" t="n">
        <f>1950</f>
        <v>1950.0</v>
      </c>
      <c r="N321" s="34" t="s">
        <v>51</v>
      </c>
      <c r="O321" s="33" t="n">
        <f>1812</f>
        <v>1812.0</v>
      </c>
      <c r="P321" s="34" t="s">
        <v>48</v>
      </c>
      <c r="Q321" s="33" t="n">
        <f>1949.5</f>
        <v>1949.5</v>
      </c>
      <c r="R321" s="34" t="s">
        <v>51</v>
      </c>
      <c r="S321" s="35" t="n">
        <f>1898.83</f>
        <v>1898.83</v>
      </c>
      <c r="T321" s="32" t="n">
        <f>612090</f>
        <v>612090.0</v>
      </c>
      <c r="U321" s="32" t="str">
        <f>"－"</f>
        <v>－</v>
      </c>
      <c r="V321" s="32" t="n">
        <f>1158629185</f>
        <v>1.158629185E9</v>
      </c>
      <c r="W321" s="32" t="str">
        <f>"－"</f>
        <v>－</v>
      </c>
      <c r="X321" s="36" t="n">
        <f>20</f>
        <v>20.0</v>
      </c>
    </row>
    <row r="322">
      <c r="A322" s="27" t="s">
        <v>42</v>
      </c>
      <c r="B322" s="27" t="s">
        <v>1009</v>
      </c>
      <c r="C322" s="27" t="s">
        <v>1010</v>
      </c>
      <c r="D322" s="27" t="s">
        <v>1011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1720</f>
        <v>1720.0</v>
      </c>
      <c r="L322" s="34" t="s">
        <v>48</v>
      </c>
      <c r="M322" s="33" t="n">
        <f>1812</f>
        <v>1812.0</v>
      </c>
      <c r="N322" s="34" t="s">
        <v>132</v>
      </c>
      <c r="O322" s="33" t="n">
        <f>1719</f>
        <v>1719.0</v>
      </c>
      <c r="P322" s="34" t="s">
        <v>48</v>
      </c>
      <c r="Q322" s="33" t="n">
        <f>1807</f>
        <v>1807.0</v>
      </c>
      <c r="R322" s="34" t="s">
        <v>51</v>
      </c>
      <c r="S322" s="35" t="n">
        <f>1773.95</f>
        <v>1773.95</v>
      </c>
      <c r="T322" s="32" t="n">
        <f>211055</f>
        <v>211055.0</v>
      </c>
      <c r="U322" s="32" t="str">
        <f>"－"</f>
        <v>－</v>
      </c>
      <c r="V322" s="32" t="n">
        <f>372899098</f>
        <v>3.72899098E8</v>
      </c>
      <c r="W322" s="32" t="str">
        <f>"－"</f>
        <v>－</v>
      </c>
      <c r="X322" s="36" t="n">
        <f>20</f>
        <v>20.0</v>
      </c>
    </row>
    <row r="323">
      <c r="A323" s="27" t="s">
        <v>42</v>
      </c>
      <c r="B323" s="27" t="s">
        <v>1012</v>
      </c>
      <c r="C323" s="27" t="s">
        <v>1013</v>
      </c>
      <c r="D323" s="27" t="s">
        <v>1014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1760</f>
        <v>1760.0</v>
      </c>
      <c r="L323" s="34" t="s">
        <v>48</v>
      </c>
      <c r="M323" s="33" t="n">
        <f>1839</f>
        <v>1839.0</v>
      </c>
      <c r="N323" s="34" t="s">
        <v>132</v>
      </c>
      <c r="O323" s="33" t="n">
        <f>1758</f>
        <v>1758.0</v>
      </c>
      <c r="P323" s="34" t="s">
        <v>48</v>
      </c>
      <c r="Q323" s="33" t="n">
        <f>1809</f>
        <v>1809.0</v>
      </c>
      <c r="R323" s="34" t="s">
        <v>51</v>
      </c>
      <c r="S323" s="35" t="n">
        <f>1802.07</f>
        <v>1802.07</v>
      </c>
      <c r="T323" s="32" t="n">
        <f>149630</f>
        <v>149630.0</v>
      </c>
      <c r="U323" s="32" t="n">
        <f>140000</f>
        <v>140000.0</v>
      </c>
      <c r="V323" s="32" t="n">
        <f>273335582</f>
        <v>2.73335582E8</v>
      </c>
      <c r="W323" s="32" t="n">
        <f>256225200</f>
        <v>2.562252E8</v>
      </c>
      <c r="X323" s="36" t="n">
        <f>15</f>
        <v>15.0</v>
      </c>
    </row>
    <row r="324">
      <c r="A324" s="27" t="s">
        <v>42</v>
      </c>
      <c r="B324" s="27" t="s">
        <v>1015</v>
      </c>
      <c r="C324" s="27" t="s">
        <v>1016</v>
      </c>
      <c r="D324" s="27" t="s">
        <v>1017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1.0</v>
      </c>
      <c r="K324" s="33" t="n">
        <f>3745</f>
        <v>3745.0</v>
      </c>
      <c r="L324" s="34" t="s">
        <v>48</v>
      </c>
      <c r="M324" s="33" t="n">
        <f>3905</f>
        <v>3905.0</v>
      </c>
      <c r="N324" s="34" t="s">
        <v>132</v>
      </c>
      <c r="O324" s="33" t="n">
        <f>3735</f>
        <v>3735.0</v>
      </c>
      <c r="P324" s="34" t="s">
        <v>50</v>
      </c>
      <c r="Q324" s="33" t="n">
        <f>3860</f>
        <v>3860.0</v>
      </c>
      <c r="R324" s="34" t="s">
        <v>51</v>
      </c>
      <c r="S324" s="35" t="n">
        <f>3824</f>
        <v>3824.0</v>
      </c>
      <c r="T324" s="32" t="n">
        <f>9427</f>
        <v>9427.0</v>
      </c>
      <c r="U324" s="32" t="str">
        <f>"－"</f>
        <v>－</v>
      </c>
      <c r="V324" s="32" t="n">
        <f>36085375</f>
        <v>3.6085375E7</v>
      </c>
      <c r="W324" s="32" t="str">
        <f>"－"</f>
        <v>－</v>
      </c>
      <c r="X324" s="36" t="n">
        <f>20</f>
        <v>20.0</v>
      </c>
    </row>
    <row r="325">
      <c r="A325" s="27" t="s">
        <v>42</v>
      </c>
      <c r="B325" s="27" t="s">
        <v>1018</v>
      </c>
      <c r="C325" s="27" t="s">
        <v>1019</v>
      </c>
      <c r="D325" s="27" t="s">
        <v>1020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2299</f>
        <v>2299.0</v>
      </c>
      <c r="L325" s="34" t="s">
        <v>116</v>
      </c>
      <c r="M325" s="33" t="n">
        <f>2394</f>
        <v>2394.0</v>
      </c>
      <c r="N325" s="34" t="s">
        <v>132</v>
      </c>
      <c r="O325" s="33" t="n">
        <f>2299</f>
        <v>2299.0</v>
      </c>
      <c r="P325" s="34" t="s">
        <v>116</v>
      </c>
      <c r="Q325" s="33" t="n">
        <f>2355</f>
        <v>2355.0</v>
      </c>
      <c r="R325" s="34" t="s">
        <v>89</v>
      </c>
      <c r="S325" s="35" t="n">
        <f>2353.83</f>
        <v>2353.83</v>
      </c>
      <c r="T325" s="32" t="n">
        <f>1470</f>
        <v>1470.0</v>
      </c>
      <c r="U325" s="32" t="str">
        <f>"－"</f>
        <v>－</v>
      </c>
      <c r="V325" s="32" t="n">
        <f>3431310</f>
        <v>3431310.0</v>
      </c>
      <c r="W325" s="32" t="str">
        <f>"－"</f>
        <v>－</v>
      </c>
      <c r="X325" s="36" t="n">
        <f>6</f>
        <v>6.0</v>
      </c>
    </row>
    <row r="326">
      <c r="A326" s="27" t="s">
        <v>42</v>
      </c>
      <c r="B326" s="27" t="s">
        <v>1021</v>
      </c>
      <c r="C326" s="27" t="s">
        <v>1022</v>
      </c>
      <c r="D326" s="27" t="s">
        <v>1023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221</f>
        <v>221.0</v>
      </c>
      <c r="L326" s="34" t="s">
        <v>48</v>
      </c>
      <c r="M326" s="33" t="n">
        <f>249.7</f>
        <v>249.7</v>
      </c>
      <c r="N326" s="34" t="s">
        <v>116</v>
      </c>
      <c r="O326" s="33" t="n">
        <f>218.3</f>
        <v>218.3</v>
      </c>
      <c r="P326" s="34" t="s">
        <v>225</v>
      </c>
      <c r="Q326" s="33" t="n">
        <f>232.1</f>
        <v>232.1</v>
      </c>
      <c r="R326" s="34" t="s">
        <v>51</v>
      </c>
      <c r="S326" s="35" t="n">
        <f>232.14</f>
        <v>232.14</v>
      </c>
      <c r="T326" s="32" t="n">
        <f>22840</f>
        <v>22840.0</v>
      </c>
      <c r="U326" s="32" t="str">
        <f>"－"</f>
        <v>－</v>
      </c>
      <c r="V326" s="32" t="n">
        <f>5315616</f>
        <v>5315616.0</v>
      </c>
      <c r="W326" s="32" t="str">
        <f>"－"</f>
        <v>－</v>
      </c>
      <c r="X326" s="36" t="n">
        <f>20</f>
        <v>20.0</v>
      </c>
    </row>
    <row r="327">
      <c r="A327" s="27" t="s">
        <v>42</v>
      </c>
      <c r="B327" s="27" t="s">
        <v>1024</v>
      </c>
      <c r="C327" s="27" t="s">
        <v>1025</v>
      </c>
      <c r="D327" s="27" t="s">
        <v>1026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10.0</v>
      </c>
      <c r="K327" s="33" t="n">
        <f>181</f>
        <v>181.0</v>
      </c>
      <c r="L327" s="34" t="s">
        <v>48</v>
      </c>
      <c r="M327" s="33" t="n">
        <f>188.3</f>
        <v>188.3</v>
      </c>
      <c r="N327" s="34" t="s">
        <v>61</v>
      </c>
      <c r="O327" s="33" t="n">
        <f>178.2</f>
        <v>178.2</v>
      </c>
      <c r="P327" s="34" t="s">
        <v>90</v>
      </c>
      <c r="Q327" s="33" t="n">
        <f>180.7</f>
        <v>180.7</v>
      </c>
      <c r="R327" s="34" t="s">
        <v>51</v>
      </c>
      <c r="S327" s="35" t="n">
        <f>182.75</f>
        <v>182.75</v>
      </c>
      <c r="T327" s="32" t="n">
        <f>13740</f>
        <v>13740.0</v>
      </c>
      <c r="U327" s="32" t="str">
        <f>"－"</f>
        <v>－</v>
      </c>
      <c r="V327" s="32" t="n">
        <f>2496893</f>
        <v>2496893.0</v>
      </c>
      <c r="W327" s="32" t="str">
        <f>"－"</f>
        <v>－</v>
      </c>
      <c r="X327" s="36" t="n">
        <f>19</f>
        <v>19.0</v>
      </c>
    </row>
    <row r="328">
      <c r="A328" s="27" t="s">
        <v>42</v>
      </c>
      <c r="B328" s="27" t="s">
        <v>1027</v>
      </c>
      <c r="C328" s="27" t="s">
        <v>1028</v>
      </c>
      <c r="D328" s="27" t="s">
        <v>1029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10.0</v>
      </c>
      <c r="K328" s="33" t="n">
        <f>673.3</f>
        <v>673.3</v>
      </c>
      <c r="L328" s="34" t="s">
        <v>116</v>
      </c>
      <c r="M328" s="33" t="n">
        <f>680.9</f>
        <v>680.9</v>
      </c>
      <c r="N328" s="34" t="s">
        <v>79</v>
      </c>
      <c r="O328" s="33" t="n">
        <f>667</f>
        <v>667.0</v>
      </c>
      <c r="P328" s="34" t="s">
        <v>90</v>
      </c>
      <c r="Q328" s="33" t="n">
        <f>680</f>
        <v>680.0</v>
      </c>
      <c r="R328" s="34" t="s">
        <v>51</v>
      </c>
      <c r="S328" s="35" t="n">
        <f>675.81</f>
        <v>675.81</v>
      </c>
      <c r="T328" s="32" t="n">
        <f>11980</f>
        <v>11980.0</v>
      </c>
      <c r="U328" s="32" t="n">
        <f>9670</f>
        <v>9670.0</v>
      </c>
      <c r="V328" s="32" t="n">
        <f>8127988</f>
        <v>8127988.0</v>
      </c>
      <c r="W328" s="32" t="n">
        <f>6568444</f>
        <v>6568444.0</v>
      </c>
      <c r="X328" s="36" t="n">
        <f>11</f>
        <v>11.0</v>
      </c>
    </row>
    <row r="329">
      <c r="A329" s="27" t="s">
        <v>42</v>
      </c>
      <c r="B329" s="27" t="s">
        <v>1030</v>
      </c>
      <c r="C329" s="27" t="s">
        <v>1031</v>
      </c>
      <c r="D329" s="27" t="s">
        <v>1032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1128</f>
        <v>1128.0</v>
      </c>
      <c r="L329" s="34" t="s">
        <v>48</v>
      </c>
      <c r="M329" s="33" t="n">
        <f>1245</f>
        <v>1245.0</v>
      </c>
      <c r="N329" s="34" t="s">
        <v>62</v>
      </c>
      <c r="O329" s="33" t="n">
        <f>1118</f>
        <v>1118.0</v>
      </c>
      <c r="P329" s="34" t="s">
        <v>48</v>
      </c>
      <c r="Q329" s="33" t="n">
        <f>1238</f>
        <v>1238.0</v>
      </c>
      <c r="R329" s="34" t="s">
        <v>51</v>
      </c>
      <c r="S329" s="35" t="n">
        <f>1199.95</f>
        <v>1199.95</v>
      </c>
      <c r="T329" s="32" t="n">
        <f>94803</f>
        <v>94803.0</v>
      </c>
      <c r="U329" s="32" t="n">
        <f>3</f>
        <v>3.0</v>
      </c>
      <c r="V329" s="32" t="n">
        <f>113622774</f>
        <v>1.13622774E8</v>
      </c>
      <c r="W329" s="32" t="n">
        <f>3483</f>
        <v>3483.0</v>
      </c>
      <c r="X329" s="36" t="n">
        <f>20</f>
        <v>20.0</v>
      </c>
    </row>
    <row r="330">
      <c r="A330" s="27" t="s">
        <v>42</v>
      </c>
      <c r="B330" s="27" t="s">
        <v>1033</v>
      </c>
      <c r="C330" s="27" t="s">
        <v>1034</v>
      </c>
      <c r="D330" s="27" t="s">
        <v>1035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940</f>
        <v>940.0</v>
      </c>
      <c r="L330" s="34" t="s">
        <v>48</v>
      </c>
      <c r="M330" s="33" t="n">
        <f>956</f>
        <v>956.0</v>
      </c>
      <c r="N330" s="34" t="s">
        <v>79</v>
      </c>
      <c r="O330" s="33" t="n">
        <f>934</f>
        <v>934.0</v>
      </c>
      <c r="P330" s="34" t="s">
        <v>103</v>
      </c>
      <c r="Q330" s="33" t="n">
        <f>955</f>
        <v>955.0</v>
      </c>
      <c r="R330" s="34" t="s">
        <v>51</v>
      </c>
      <c r="S330" s="35" t="n">
        <f>945.6</f>
        <v>945.6</v>
      </c>
      <c r="T330" s="32" t="n">
        <f>3450502</f>
        <v>3450502.0</v>
      </c>
      <c r="U330" s="32" t="n">
        <f>3172000</f>
        <v>3172000.0</v>
      </c>
      <c r="V330" s="32" t="n">
        <f>3257947830</f>
        <v>3.25794783E9</v>
      </c>
      <c r="W330" s="32" t="n">
        <f>2995805850</f>
        <v>2.99580585E9</v>
      </c>
      <c r="X330" s="36" t="n">
        <f>20</f>
        <v>20.0</v>
      </c>
    </row>
    <row r="331">
      <c r="A331" s="27" t="s">
        <v>42</v>
      </c>
      <c r="B331" s="27" t="s">
        <v>1036</v>
      </c>
      <c r="C331" s="27" t="s">
        <v>1037</v>
      </c>
      <c r="D331" s="27" t="s">
        <v>1038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10.0</v>
      </c>
      <c r="K331" s="33" t="n">
        <f>704.4</f>
        <v>704.4</v>
      </c>
      <c r="L331" s="34" t="s">
        <v>48</v>
      </c>
      <c r="M331" s="33" t="n">
        <f>721.2</f>
        <v>721.2</v>
      </c>
      <c r="N331" s="34" t="s">
        <v>51</v>
      </c>
      <c r="O331" s="33" t="n">
        <f>700.8</f>
        <v>700.8</v>
      </c>
      <c r="P331" s="34" t="s">
        <v>48</v>
      </c>
      <c r="Q331" s="33" t="n">
        <f>718.6</f>
        <v>718.6</v>
      </c>
      <c r="R331" s="34" t="s">
        <v>51</v>
      </c>
      <c r="S331" s="35" t="n">
        <f>711.45</f>
        <v>711.45</v>
      </c>
      <c r="T331" s="32" t="n">
        <f>1902830</f>
        <v>1902830.0</v>
      </c>
      <c r="U331" s="32" t="n">
        <f>1124080</f>
        <v>1124080.0</v>
      </c>
      <c r="V331" s="32" t="n">
        <f>1354897915</f>
        <v>1.354897915E9</v>
      </c>
      <c r="W331" s="32" t="n">
        <f>800286758</f>
        <v>8.00286758E8</v>
      </c>
      <c r="X331" s="36" t="n">
        <f>20</f>
        <v>20.0</v>
      </c>
    </row>
    <row r="332">
      <c r="A332" s="27" t="s">
        <v>42</v>
      </c>
      <c r="B332" s="27" t="s">
        <v>1039</v>
      </c>
      <c r="C332" s="27" t="s">
        <v>1040</v>
      </c>
      <c r="D332" s="27" t="s">
        <v>1041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10.0</v>
      </c>
      <c r="K332" s="33" t="n">
        <f>681</f>
        <v>681.0</v>
      </c>
      <c r="L332" s="34" t="s">
        <v>48</v>
      </c>
      <c r="M332" s="33" t="n">
        <f>702.1</f>
        <v>702.1</v>
      </c>
      <c r="N332" s="34" t="s">
        <v>49</v>
      </c>
      <c r="O332" s="33" t="n">
        <f>680.7</f>
        <v>680.7</v>
      </c>
      <c r="P332" s="34" t="s">
        <v>48</v>
      </c>
      <c r="Q332" s="33" t="n">
        <f>698.2</f>
        <v>698.2</v>
      </c>
      <c r="R332" s="34" t="s">
        <v>51</v>
      </c>
      <c r="S332" s="35" t="n">
        <f>689.42</f>
        <v>689.42</v>
      </c>
      <c r="T332" s="32" t="n">
        <f>2107880</f>
        <v>2107880.0</v>
      </c>
      <c r="U332" s="32" t="n">
        <f>1991030</f>
        <v>1991030.0</v>
      </c>
      <c r="V332" s="32" t="n">
        <f>1442212406</f>
        <v>1.442212406E9</v>
      </c>
      <c r="W332" s="32" t="n">
        <f>1361466624</f>
        <v>1.361466624E9</v>
      </c>
      <c r="X332" s="36" t="n">
        <f>20</f>
        <v>20.0</v>
      </c>
    </row>
    <row r="333">
      <c r="A333" s="27" t="s">
        <v>42</v>
      </c>
      <c r="B333" s="27" t="s">
        <v>1042</v>
      </c>
      <c r="C333" s="27" t="s">
        <v>1043</v>
      </c>
      <c r="D333" s="27" t="s">
        <v>1044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1118</f>
        <v>1118.0</v>
      </c>
      <c r="L333" s="34" t="s">
        <v>48</v>
      </c>
      <c r="M333" s="33" t="n">
        <f>1188</f>
        <v>1188.0</v>
      </c>
      <c r="N333" s="34" t="s">
        <v>62</v>
      </c>
      <c r="O333" s="33" t="n">
        <f>1118</f>
        <v>1118.0</v>
      </c>
      <c r="P333" s="34" t="s">
        <v>48</v>
      </c>
      <c r="Q333" s="33" t="n">
        <f>1186</f>
        <v>1186.0</v>
      </c>
      <c r="R333" s="34" t="s">
        <v>51</v>
      </c>
      <c r="S333" s="35" t="n">
        <f>1168.6</f>
        <v>1168.6</v>
      </c>
      <c r="T333" s="32" t="n">
        <f>31623</f>
        <v>31623.0</v>
      </c>
      <c r="U333" s="32" t="str">
        <f>"－"</f>
        <v>－</v>
      </c>
      <c r="V333" s="32" t="n">
        <f>36722863</f>
        <v>3.6722863E7</v>
      </c>
      <c r="W333" s="32" t="str">
        <f>"－"</f>
        <v>－</v>
      </c>
      <c r="X333" s="36" t="n">
        <f>20</f>
        <v>20.0</v>
      </c>
    </row>
    <row r="334">
      <c r="A334" s="27" t="s">
        <v>42</v>
      </c>
      <c r="B334" s="27" t="s">
        <v>1045</v>
      </c>
      <c r="C334" s="27" t="s">
        <v>1046</v>
      </c>
      <c r="D334" s="27" t="s">
        <v>1047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10.0</v>
      </c>
      <c r="K334" s="33" t="n">
        <f>2198.5</f>
        <v>2198.5</v>
      </c>
      <c r="L334" s="34" t="s">
        <v>48</v>
      </c>
      <c r="M334" s="33" t="n">
        <f>2399</f>
        <v>2399.0</v>
      </c>
      <c r="N334" s="34" t="s">
        <v>62</v>
      </c>
      <c r="O334" s="33" t="n">
        <f>2198.5</f>
        <v>2198.5</v>
      </c>
      <c r="P334" s="34" t="s">
        <v>48</v>
      </c>
      <c r="Q334" s="33" t="n">
        <f>2368</f>
        <v>2368.0</v>
      </c>
      <c r="R334" s="34" t="s">
        <v>51</v>
      </c>
      <c r="S334" s="35" t="n">
        <f>2308.18</f>
        <v>2308.18</v>
      </c>
      <c r="T334" s="32" t="n">
        <f>15990</f>
        <v>15990.0</v>
      </c>
      <c r="U334" s="32" t="str">
        <f>"－"</f>
        <v>－</v>
      </c>
      <c r="V334" s="32" t="n">
        <f>36454505</f>
        <v>3.6454505E7</v>
      </c>
      <c r="W334" s="32" t="str">
        <f>"－"</f>
        <v>－</v>
      </c>
      <c r="X334" s="36" t="n">
        <f>20</f>
        <v>20.0</v>
      </c>
    </row>
    <row r="335">
      <c r="A335" s="27" t="s">
        <v>42</v>
      </c>
      <c r="B335" s="27" t="s">
        <v>1048</v>
      </c>
      <c r="C335" s="27" t="s">
        <v>1049</v>
      </c>
      <c r="D335" s="27" t="s">
        <v>1050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2149.5</f>
        <v>2149.5</v>
      </c>
      <c r="L335" s="34" t="s">
        <v>48</v>
      </c>
      <c r="M335" s="33" t="n">
        <f>2345</f>
        <v>2345.0</v>
      </c>
      <c r="N335" s="34" t="s">
        <v>51</v>
      </c>
      <c r="O335" s="33" t="n">
        <f>2149.5</f>
        <v>2149.5</v>
      </c>
      <c r="P335" s="34" t="s">
        <v>48</v>
      </c>
      <c r="Q335" s="33" t="n">
        <f>2343.5</f>
        <v>2343.5</v>
      </c>
      <c r="R335" s="34" t="s">
        <v>51</v>
      </c>
      <c r="S335" s="35" t="n">
        <f>2261.94</f>
        <v>2261.94</v>
      </c>
      <c r="T335" s="32" t="n">
        <f>42300</f>
        <v>42300.0</v>
      </c>
      <c r="U335" s="32" t="str">
        <f>"－"</f>
        <v>－</v>
      </c>
      <c r="V335" s="32" t="n">
        <f>97147780</f>
        <v>9.714778E7</v>
      </c>
      <c r="W335" s="32" t="str">
        <f>"－"</f>
        <v>－</v>
      </c>
      <c r="X335" s="36" t="n">
        <f>18</f>
        <v>18.0</v>
      </c>
    </row>
    <row r="336">
      <c r="A336" s="27" t="s">
        <v>42</v>
      </c>
      <c r="B336" s="27" t="s">
        <v>1051</v>
      </c>
      <c r="C336" s="27" t="s">
        <v>1052</v>
      </c>
      <c r="D336" s="27" t="s">
        <v>1053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10.0</v>
      </c>
      <c r="K336" s="33" t="n">
        <f>5106</f>
        <v>5106.0</v>
      </c>
      <c r="L336" s="34" t="s">
        <v>48</v>
      </c>
      <c r="M336" s="33" t="n">
        <f>5301</f>
        <v>5301.0</v>
      </c>
      <c r="N336" s="34" t="s">
        <v>217</v>
      </c>
      <c r="O336" s="33" t="n">
        <f>5106</f>
        <v>5106.0</v>
      </c>
      <c r="P336" s="34" t="s">
        <v>48</v>
      </c>
      <c r="Q336" s="33" t="n">
        <f>5288</f>
        <v>5288.0</v>
      </c>
      <c r="R336" s="34" t="s">
        <v>293</v>
      </c>
      <c r="S336" s="35" t="n">
        <f>5230.33</f>
        <v>5230.33</v>
      </c>
      <c r="T336" s="32" t="n">
        <f>20260</f>
        <v>20260.0</v>
      </c>
      <c r="U336" s="32" t="str">
        <f>"－"</f>
        <v>－</v>
      </c>
      <c r="V336" s="32" t="n">
        <f>103491600</f>
        <v>1.034916E8</v>
      </c>
      <c r="W336" s="32" t="str">
        <f>"－"</f>
        <v>－</v>
      </c>
      <c r="X336" s="36" t="n">
        <f>6</f>
        <v>6.0</v>
      </c>
    </row>
    <row r="337">
      <c r="A337" s="27" t="s">
        <v>42</v>
      </c>
      <c r="B337" s="27" t="s">
        <v>1054</v>
      </c>
      <c r="C337" s="27" t="s">
        <v>1055</v>
      </c>
      <c r="D337" s="27" t="s">
        <v>1056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10.0</v>
      </c>
      <c r="K337" s="33" t="n">
        <f>4263</f>
        <v>4263.0</v>
      </c>
      <c r="L337" s="34" t="s">
        <v>116</v>
      </c>
      <c r="M337" s="33" t="n">
        <f>4351</f>
        <v>4351.0</v>
      </c>
      <c r="N337" s="34" t="s">
        <v>49</v>
      </c>
      <c r="O337" s="33" t="n">
        <f>4242</f>
        <v>4242.0</v>
      </c>
      <c r="P337" s="34" t="s">
        <v>225</v>
      </c>
      <c r="Q337" s="33" t="n">
        <f>4281</f>
        <v>4281.0</v>
      </c>
      <c r="R337" s="34" t="s">
        <v>716</v>
      </c>
      <c r="S337" s="35" t="n">
        <f>4271.2</f>
        <v>4271.2</v>
      </c>
      <c r="T337" s="32" t="n">
        <f>93330</f>
        <v>93330.0</v>
      </c>
      <c r="U337" s="32" t="n">
        <f>93000</f>
        <v>93000.0</v>
      </c>
      <c r="V337" s="32" t="n">
        <f>403224520</f>
        <v>4.0322452E8</v>
      </c>
      <c r="W337" s="32" t="n">
        <f>401815800</f>
        <v>4.018158E8</v>
      </c>
      <c r="X337" s="36" t="n">
        <f>5</f>
        <v>5.0</v>
      </c>
    </row>
    <row r="338">
      <c r="A338" s="27" t="s">
        <v>42</v>
      </c>
      <c r="B338" s="27" t="s">
        <v>1057</v>
      </c>
      <c r="C338" s="27" t="s">
        <v>1058</v>
      </c>
      <c r="D338" s="27" t="s">
        <v>1059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1822</f>
        <v>1822.0</v>
      </c>
      <c r="L338" s="34" t="s">
        <v>218</v>
      </c>
      <c r="M338" s="33" t="n">
        <f>1885.5</f>
        <v>1885.5</v>
      </c>
      <c r="N338" s="34" t="s">
        <v>51</v>
      </c>
      <c r="O338" s="33" t="n">
        <f>1822</f>
        <v>1822.0</v>
      </c>
      <c r="P338" s="34" t="s">
        <v>218</v>
      </c>
      <c r="Q338" s="33" t="n">
        <f>1885.5</f>
        <v>1885.5</v>
      </c>
      <c r="R338" s="34" t="s">
        <v>51</v>
      </c>
      <c r="S338" s="35" t="n">
        <f>1860.5</f>
        <v>1860.5</v>
      </c>
      <c r="T338" s="32" t="n">
        <f>940</f>
        <v>940.0</v>
      </c>
      <c r="U338" s="32" t="str">
        <f>"－"</f>
        <v>－</v>
      </c>
      <c r="V338" s="32" t="n">
        <f>1741575</f>
        <v>1741575.0</v>
      </c>
      <c r="W338" s="32" t="str">
        <f>"－"</f>
        <v>－</v>
      </c>
      <c r="X338" s="36" t="n">
        <f>8</f>
        <v>8.0</v>
      </c>
    </row>
    <row r="339">
      <c r="A339" s="27" t="s">
        <v>42</v>
      </c>
      <c r="B339" s="27" t="s">
        <v>1060</v>
      </c>
      <c r="C339" s="27" t="s">
        <v>1061</v>
      </c>
      <c r="D339" s="27" t="s">
        <v>1062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1.0</v>
      </c>
      <c r="K339" s="33" t="n">
        <f>1075</f>
        <v>1075.0</v>
      </c>
      <c r="L339" s="34" t="s">
        <v>48</v>
      </c>
      <c r="M339" s="33" t="n">
        <f>1212</f>
        <v>1212.0</v>
      </c>
      <c r="N339" s="34" t="s">
        <v>79</v>
      </c>
      <c r="O339" s="33" t="n">
        <f>1075</f>
        <v>1075.0</v>
      </c>
      <c r="P339" s="34" t="s">
        <v>48</v>
      </c>
      <c r="Q339" s="33" t="n">
        <f>1171</f>
        <v>1171.0</v>
      </c>
      <c r="R339" s="34" t="s">
        <v>51</v>
      </c>
      <c r="S339" s="35" t="n">
        <f>1148.25</f>
        <v>1148.25</v>
      </c>
      <c r="T339" s="32" t="n">
        <f>3750</f>
        <v>3750.0</v>
      </c>
      <c r="U339" s="32" t="str">
        <f>"－"</f>
        <v>－</v>
      </c>
      <c r="V339" s="32" t="n">
        <f>4218902</f>
        <v>4218902.0</v>
      </c>
      <c r="W339" s="32" t="str">
        <f>"－"</f>
        <v>－</v>
      </c>
      <c r="X339" s="36" t="n">
        <f>20</f>
        <v>20.0</v>
      </c>
    </row>
    <row r="340">
      <c r="A340" s="27" t="s">
        <v>42</v>
      </c>
      <c r="B340" s="27" t="s">
        <v>1063</v>
      </c>
      <c r="C340" s="27" t="s">
        <v>1064</v>
      </c>
      <c r="D340" s="27" t="s">
        <v>1065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1095</f>
        <v>1095.0</v>
      </c>
      <c r="L340" s="34" t="s">
        <v>48</v>
      </c>
      <c r="M340" s="33" t="n">
        <f>1170</f>
        <v>1170.0</v>
      </c>
      <c r="N340" s="34" t="s">
        <v>132</v>
      </c>
      <c r="O340" s="33" t="n">
        <f>1090</f>
        <v>1090.0</v>
      </c>
      <c r="P340" s="34" t="s">
        <v>48</v>
      </c>
      <c r="Q340" s="33" t="n">
        <f>1099</f>
        <v>1099.0</v>
      </c>
      <c r="R340" s="34" t="s">
        <v>51</v>
      </c>
      <c r="S340" s="35" t="n">
        <f>1108.05</f>
        <v>1108.05</v>
      </c>
      <c r="T340" s="32" t="n">
        <f>1192223</f>
        <v>1192223.0</v>
      </c>
      <c r="U340" s="32" t="n">
        <f>50</f>
        <v>50.0</v>
      </c>
      <c r="V340" s="32" t="n">
        <f>1321207284</f>
        <v>1.321207284E9</v>
      </c>
      <c r="W340" s="32" t="n">
        <f>51950</f>
        <v>51950.0</v>
      </c>
      <c r="X340" s="36" t="n">
        <f>20</f>
        <v>20.0</v>
      </c>
    </row>
    <row r="341">
      <c r="A341" s="27" t="s">
        <v>42</v>
      </c>
      <c r="B341" s="27" t="s">
        <v>1066</v>
      </c>
      <c r="C341" s="27" t="s">
        <v>1067</v>
      </c>
      <c r="D341" s="27" t="s">
        <v>1068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900</f>
        <v>900.0</v>
      </c>
      <c r="L341" s="34" t="s">
        <v>48</v>
      </c>
      <c r="M341" s="33" t="n">
        <f>953</f>
        <v>953.0</v>
      </c>
      <c r="N341" s="34" t="s">
        <v>79</v>
      </c>
      <c r="O341" s="33" t="n">
        <f>897</f>
        <v>897.0</v>
      </c>
      <c r="P341" s="34" t="s">
        <v>48</v>
      </c>
      <c r="Q341" s="33" t="n">
        <f>941</f>
        <v>941.0</v>
      </c>
      <c r="R341" s="34" t="s">
        <v>51</v>
      </c>
      <c r="S341" s="35" t="n">
        <f>934.75</f>
        <v>934.75</v>
      </c>
      <c r="T341" s="32" t="n">
        <f>1095317</f>
        <v>1095317.0</v>
      </c>
      <c r="U341" s="32" t="n">
        <f>1</f>
        <v>1.0</v>
      </c>
      <c r="V341" s="32" t="n">
        <f>1023237228</f>
        <v>1.023237228E9</v>
      </c>
      <c r="W341" s="32" t="n">
        <f>961</f>
        <v>961.0</v>
      </c>
      <c r="X341" s="36" t="n">
        <f>20</f>
        <v>20.0</v>
      </c>
    </row>
    <row r="342">
      <c r="A342" s="27" t="s">
        <v>42</v>
      </c>
      <c r="B342" s="27" t="s">
        <v>1069</v>
      </c>
      <c r="C342" s="27" t="s">
        <v>1070</v>
      </c>
      <c r="D342" s="27" t="s">
        <v>1071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996</f>
        <v>996.0</v>
      </c>
      <c r="L342" s="34" t="s">
        <v>48</v>
      </c>
      <c r="M342" s="33" t="n">
        <f>1100</f>
        <v>1100.0</v>
      </c>
      <c r="N342" s="34" t="s">
        <v>79</v>
      </c>
      <c r="O342" s="33" t="n">
        <f>990</f>
        <v>990.0</v>
      </c>
      <c r="P342" s="34" t="s">
        <v>48</v>
      </c>
      <c r="Q342" s="33" t="n">
        <f>1082</f>
        <v>1082.0</v>
      </c>
      <c r="R342" s="34" t="s">
        <v>51</v>
      </c>
      <c r="S342" s="35" t="n">
        <f>1062.95</f>
        <v>1062.95</v>
      </c>
      <c r="T342" s="32" t="n">
        <f>18156</f>
        <v>18156.0</v>
      </c>
      <c r="U342" s="32" t="str">
        <f>"－"</f>
        <v>－</v>
      </c>
      <c r="V342" s="32" t="n">
        <f>19296105</f>
        <v>1.9296105E7</v>
      </c>
      <c r="W342" s="32" t="str">
        <f>"－"</f>
        <v>－</v>
      </c>
      <c r="X342" s="36" t="n">
        <f>20</f>
        <v>20.0</v>
      </c>
    </row>
    <row r="343">
      <c r="A343" s="27" t="s">
        <v>42</v>
      </c>
      <c r="B343" s="27" t="s">
        <v>1072</v>
      </c>
      <c r="C343" s="27" t="s">
        <v>1073</v>
      </c>
      <c r="D343" s="27" t="s">
        <v>1074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998</f>
        <v>998.0</v>
      </c>
      <c r="L343" s="34" t="s">
        <v>48</v>
      </c>
      <c r="M343" s="33" t="n">
        <f>1013</f>
        <v>1013.0</v>
      </c>
      <c r="N343" s="34" t="s">
        <v>50</v>
      </c>
      <c r="O343" s="33" t="n">
        <f>986</f>
        <v>986.0</v>
      </c>
      <c r="P343" s="34" t="s">
        <v>89</v>
      </c>
      <c r="Q343" s="33" t="n">
        <f>990</f>
        <v>990.0</v>
      </c>
      <c r="R343" s="34" t="s">
        <v>51</v>
      </c>
      <c r="S343" s="35" t="n">
        <f>1002.55</f>
        <v>1002.55</v>
      </c>
      <c r="T343" s="32" t="n">
        <f>333085</f>
        <v>333085.0</v>
      </c>
      <c r="U343" s="32" t="str">
        <f>"－"</f>
        <v>－</v>
      </c>
      <c r="V343" s="32" t="n">
        <f>333143645</f>
        <v>3.33143645E8</v>
      </c>
      <c r="W343" s="32" t="str">
        <f>"－"</f>
        <v>－</v>
      </c>
      <c r="X343" s="36" t="n">
        <f>20</f>
        <v>20.0</v>
      </c>
    </row>
    <row r="344">
      <c r="A344" s="27" t="s">
        <v>42</v>
      </c>
      <c r="B344" s="27" t="s">
        <v>1075</v>
      </c>
      <c r="C344" s="27" t="s">
        <v>1076</v>
      </c>
      <c r="D344" s="27" t="s">
        <v>1077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25925</f>
        <v>25925.0</v>
      </c>
      <c r="L344" s="34" t="s">
        <v>48</v>
      </c>
      <c r="M344" s="33" t="n">
        <f>32120</f>
        <v>32120.0</v>
      </c>
      <c r="N344" s="34" t="s">
        <v>69</v>
      </c>
      <c r="O344" s="33" t="n">
        <f>25880</f>
        <v>25880.0</v>
      </c>
      <c r="P344" s="34" t="s">
        <v>48</v>
      </c>
      <c r="Q344" s="33" t="n">
        <f>31880</f>
        <v>31880.0</v>
      </c>
      <c r="R344" s="34" t="s">
        <v>51</v>
      </c>
      <c r="S344" s="35" t="n">
        <f>30213</f>
        <v>30213.0</v>
      </c>
      <c r="T344" s="32" t="n">
        <f>381094</f>
        <v>381094.0</v>
      </c>
      <c r="U344" s="32" t="n">
        <f>5</f>
        <v>5.0</v>
      </c>
      <c r="V344" s="32" t="n">
        <f>11464848465</f>
        <v>1.1464848465E10</v>
      </c>
      <c r="W344" s="32" t="n">
        <f>159250</f>
        <v>159250.0</v>
      </c>
      <c r="X344" s="36" t="n">
        <f>20</f>
        <v>20.0</v>
      </c>
    </row>
    <row r="345">
      <c r="A345" s="27" t="s">
        <v>42</v>
      </c>
      <c r="B345" s="27" t="s">
        <v>1078</v>
      </c>
      <c r="C345" s="27" t="s">
        <v>1079</v>
      </c>
      <c r="D345" s="27" t="s">
        <v>1080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37940</f>
        <v>37940.0</v>
      </c>
      <c r="L345" s="34" t="s">
        <v>48</v>
      </c>
      <c r="M345" s="33" t="n">
        <f>38020</f>
        <v>38020.0</v>
      </c>
      <c r="N345" s="34" t="s">
        <v>48</v>
      </c>
      <c r="O345" s="33" t="n">
        <f>30350</f>
        <v>30350.0</v>
      </c>
      <c r="P345" s="34" t="s">
        <v>69</v>
      </c>
      <c r="Q345" s="33" t="n">
        <f>30540</f>
        <v>30540.0</v>
      </c>
      <c r="R345" s="34" t="s">
        <v>51</v>
      </c>
      <c r="S345" s="35" t="n">
        <f>32467.5</f>
        <v>32467.5</v>
      </c>
      <c r="T345" s="32" t="n">
        <f>226828</f>
        <v>226828.0</v>
      </c>
      <c r="U345" s="32" t="n">
        <f>3</f>
        <v>3.0</v>
      </c>
      <c r="V345" s="32" t="n">
        <f>7442573165</f>
        <v>7.442573165E9</v>
      </c>
      <c r="W345" s="32" t="n">
        <f>86275</f>
        <v>86275.0</v>
      </c>
      <c r="X345" s="36" t="n">
        <f>20</f>
        <v>20.0</v>
      </c>
    </row>
    <row r="346">
      <c r="A346" s="27" t="s">
        <v>42</v>
      </c>
      <c r="B346" s="27" t="s">
        <v>1081</v>
      </c>
      <c r="C346" s="27" t="s">
        <v>1082</v>
      </c>
      <c r="D346" s="27" t="s">
        <v>1083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118800</f>
        <v>118800.0</v>
      </c>
      <c r="L346" s="34" t="s">
        <v>48</v>
      </c>
      <c r="M346" s="33" t="n">
        <f>119700</f>
        <v>119700.0</v>
      </c>
      <c r="N346" s="34" t="s">
        <v>79</v>
      </c>
      <c r="O346" s="33" t="n">
        <f>116300</f>
        <v>116300.0</v>
      </c>
      <c r="P346" s="34" t="s">
        <v>103</v>
      </c>
      <c r="Q346" s="33" t="n">
        <f>118400</f>
        <v>118400.0</v>
      </c>
      <c r="R346" s="34" t="s">
        <v>51</v>
      </c>
      <c r="S346" s="35" t="n">
        <f>118565</f>
        <v>118565.0</v>
      </c>
      <c r="T346" s="32" t="n">
        <f>11653</f>
        <v>11653.0</v>
      </c>
      <c r="U346" s="32" t="n">
        <f>2621</f>
        <v>2621.0</v>
      </c>
      <c r="V346" s="32" t="n">
        <f>1380008265</f>
        <v>1.380008265E9</v>
      </c>
      <c r="W346" s="32" t="n">
        <f>310003465</f>
        <v>3.10003465E8</v>
      </c>
      <c r="X346" s="36" t="n">
        <f>20</f>
        <v>20.0</v>
      </c>
    </row>
    <row r="347">
      <c r="A347" s="27" t="s">
        <v>42</v>
      </c>
      <c r="B347" s="27" t="s">
        <v>1084</v>
      </c>
      <c r="C347" s="27" t="s">
        <v>1085</v>
      </c>
      <c r="D347" s="27" t="s">
        <v>1086</v>
      </c>
      <c r="E347" s="28" t="s">
        <v>46</v>
      </c>
      <c r="F347" s="29" t="s">
        <v>46</v>
      </c>
      <c r="G347" s="30" t="s">
        <v>46</v>
      </c>
      <c r="H347" s="31"/>
      <c r="I347" s="31" t="s">
        <v>556</v>
      </c>
      <c r="J347" s="32" t="n">
        <v>1.0</v>
      </c>
      <c r="K347" s="33" t="n">
        <f>91800</f>
        <v>91800.0</v>
      </c>
      <c r="L347" s="34" t="s">
        <v>48</v>
      </c>
      <c r="M347" s="33" t="n">
        <f>93700</f>
        <v>93700.0</v>
      </c>
      <c r="N347" s="34" t="s">
        <v>116</v>
      </c>
      <c r="O347" s="33" t="n">
        <f>89000</f>
        <v>89000.0</v>
      </c>
      <c r="P347" s="34" t="s">
        <v>103</v>
      </c>
      <c r="Q347" s="33" t="n">
        <f>92700</f>
        <v>92700.0</v>
      </c>
      <c r="R347" s="34" t="s">
        <v>51</v>
      </c>
      <c r="S347" s="35" t="n">
        <f>90745</f>
        <v>90745.0</v>
      </c>
      <c r="T347" s="32" t="n">
        <f>32175</f>
        <v>32175.0</v>
      </c>
      <c r="U347" s="32" t="n">
        <f>7733</f>
        <v>7733.0</v>
      </c>
      <c r="V347" s="32" t="n">
        <f>2927532192</f>
        <v>2.927532192E9</v>
      </c>
      <c r="W347" s="32" t="n">
        <f>703021092</f>
        <v>7.03021092E8</v>
      </c>
      <c r="X347" s="36" t="n">
        <f>20</f>
        <v>20.0</v>
      </c>
    </row>
    <row r="348">
      <c r="A348" s="27" t="s">
        <v>42</v>
      </c>
      <c r="B348" s="27" t="s">
        <v>1087</v>
      </c>
      <c r="C348" s="27" t="s">
        <v>1088</v>
      </c>
      <c r="D348" s="27" t="s">
        <v>1089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120800</f>
        <v>120800.0</v>
      </c>
      <c r="L348" s="34" t="s">
        <v>48</v>
      </c>
      <c r="M348" s="33" t="n">
        <f>122400</f>
        <v>122400.0</v>
      </c>
      <c r="N348" s="34" t="s">
        <v>116</v>
      </c>
      <c r="O348" s="33" t="n">
        <f>118200</f>
        <v>118200.0</v>
      </c>
      <c r="P348" s="34" t="s">
        <v>89</v>
      </c>
      <c r="Q348" s="33" t="n">
        <f>121100</f>
        <v>121100.0</v>
      </c>
      <c r="R348" s="34" t="s">
        <v>51</v>
      </c>
      <c r="S348" s="35" t="n">
        <f>120310</f>
        <v>120310.0</v>
      </c>
      <c r="T348" s="32" t="n">
        <f>64026</f>
        <v>64026.0</v>
      </c>
      <c r="U348" s="32" t="n">
        <f>13283</f>
        <v>13283.0</v>
      </c>
      <c r="V348" s="32" t="n">
        <f>7702236226</f>
        <v>7.702236226E9</v>
      </c>
      <c r="W348" s="32" t="n">
        <f>1596299926</f>
        <v>1.596299926E9</v>
      </c>
      <c r="X348" s="36" t="n">
        <f>20</f>
        <v>20.0</v>
      </c>
    </row>
    <row r="349">
      <c r="A349" s="27" t="s">
        <v>42</v>
      </c>
      <c r="B349" s="27" t="s">
        <v>1090</v>
      </c>
      <c r="C349" s="27" t="s">
        <v>1091</v>
      </c>
      <c r="D349" s="27" t="s">
        <v>1092</v>
      </c>
      <c r="E349" s="28" t="s">
        <v>46</v>
      </c>
      <c r="F349" s="29" t="s">
        <v>46</v>
      </c>
      <c r="G349" s="30" t="s">
        <v>46</v>
      </c>
      <c r="H349" s="31"/>
      <c r="I349" s="31" t="s">
        <v>556</v>
      </c>
      <c r="J349" s="32" t="n">
        <v>1.0</v>
      </c>
      <c r="K349" s="33" t="n">
        <f>125900</f>
        <v>125900.0</v>
      </c>
      <c r="L349" s="34" t="s">
        <v>48</v>
      </c>
      <c r="M349" s="33" t="n">
        <f>127500</f>
        <v>127500.0</v>
      </c>
      <c r="N349" s="34" t="s">
        <v>48</v>
      </c>
      <c r="O349" s="33" t="n">
        <f>123100</f>
        <v>123100.0</v>
      </c>
      <c r="P349" s="34" t="s">
        <v>103</v>
      </c>
      <c r="Q349" s="33" t="n">
        <f>127400</f>
        <v>127400.0</v>
      </c>
      <c r="R349" s="34" t="s">
        <v>51</v>
      </c>
      <c r="S349" s="35" t="n">
        <f>125900</f>
        <v>125900.0</v>
      </c>
      <c r="T349" s="32" t="n">
        <f>12196</f>
        <v>12196.0</v>
      </c>
      <c r="U349" s="32" t="n">
        <f>1718</f>
        <v>1718.0</v>
      </c>
      <c r="V349" s="32" t="n">
        <f>1535014786</f>
        <v>1.535014786E9</v>
      </c>
      <c r="W349" s="32" t="n">
        <f>215868586</f>
        <v>2.15868586E8</v>
      </c>
      <c r="X349" s="36" t="n">
        <f>20</f>
        <v>20.0</v>
      </c>
    </row>
    <row r="350">
      <c r="A350" s="27" t="s">
        <v>42</v>
      </c>
      <c r="B350" s="27" t="s">
        <v>1093</v>
      </c>
      <c r="C350" s="27" t="s">
        <v>1094</v>
      </c>
      <c r="D350" s="27" t="s">
        <v>1095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1.0</v>
      </c>
      <c r="K350" s="33" t="n">
        <f>609000</f>
        <v>609000.0</v>
      </c>
      <c r="L350" s="34" t="s">
        <v>48</v>
      </c>
      <c r="M350" s="33" t="n">
        <f>630000</f>
        <v>630000.0</v>
      </c>
      <c r="N350" s="34" t="s">
        <v>61</v>
      </c>
      <c r="O350" s="33" t="n">
        <f>602000</f>
        <v>602000.0</v>
      </c>
      <c r="P350" s="34" t="s">
        <v>69</v>
      </c>
      <c r="Q350" s="33" t="n">
        <f>608000</f>
        <v>608000.0</v>
      </c>
      <c r="R350" s="34" t="s">
        <v>51</v>
      </c>
      <c r="S350" s="35" t="n">
        <f>612950</f>
        <v>612950.0</v>
      </c>
      <c r="T350" s="32" t="n">
        <f>26253</f>
        <v>26253.0</v>
      </c>
      <c r="U350" s="32" t="n">
        <f>4825</f>
        <v>4825.0</v>
      </c>
      <c r="V350" s="32" t="n">
        <f>16126129932</f>
        <v>1.6126129932E10</v>
      </c>
      <c r="W350" s="32" t="n">
        <f>2972238932</f>
        <v>2.972238932E9</v>
      </c>
      <c r="X350" s="36" t="n">
        <f>20</f>
        <v>20.0</v>
      </c>
    </row>
    <row r="351">
      <c r="A351" s="27" t="s">
        <v>42</v>
      </c>
      <c r="B351" s="27" t="s">
        <v>1096</v>
      </c>
      <c r="C351" s="27" t="s">
        <v>1097</v>
      </c>
      <c r="D351" s="27" t="s">
        <v>1098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1.0</v>
      </c>
      <c r="K351" s="33" t="n">
        <f>142300</f>
        <v>142300.0</v>
      </c>
      <c r="L351" s="34" t="s">
        <v>48</v>
      </c>
      <c r="M351" s="33" t="n">
        <f>144200</f>
        <v>144200.0</v>
      </c>
      <c r="N351" s="34" t="s">
        <v>116</v>
      </c>
      <c r="O351" s="33" t="n">
        <f>138000</f>
        <v>138000.0</v>
      </c>
      <c r="P351" s="34" t="s">
        <v>225</v>
      </c>
      <c r="Q351" s="33" t="n">
        <f>140600</f>
        <v>140600.0</v>
      </c>
      <c r="R351" s="34" t="s">
        <v>51</v>
      </c>
      <c r="S351" s="35" t="n">
        <f>140660</f>
        <v>140660.0</v>
      </c>
      <c r="T351" s="32" t="n">
        <f>69896</f>
        <v>69896.0</v>
      </c>
      <c r="U351" s="32" t="n">
        <f>15652</f>
        <v>15652.0</v>
      </c>
      <c r="V351" s="32" t="n">
        <f>9836248396</f>
        <v>9.836248396E9</v>
      </c>
      <c r="W351" s="32" t="n">
        <f>2202855396</f>
        <v>2.202855396E9</v>
      </c>
      <c r="X351" s="36" t="n">
        <f>20</f>
        <v>20.0</v>
      </c>
    </row>
    <row r="352">
      <c r="A352" s="27" t="s">
        <v>42</v>
      </c>
      <c r="B352" s="27" t="s">
        <v>1099</v>
      </c>
      <c r="C352" s="27" t="s">
        <v>1100</v>
      </c>
      <c r="D352" s="27" t="s">
        <v>1101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136900</f>
        <v>136900.0</v>
      </c>
      <c r="L352" s="34" t="s">
        <v>48</v>
      </c>
      <c r="M352" s="33" t="n">
        <f>140300</f>
        <v>140300.0</v>
      </c>
      <c r="N352" s="34" t="s">
        <v>61</v>
      </c>
      <c r="O352" s="33" t="n">
        <f>134500</f>
        <v>134500.0</v>
      </c>
      <c r="P352" s="34" t="s">
        <v>225</v>
      </c>
      <c r="Q352" s="33" t="n">
        <f>138000</f>
        <v>138000.0</v>
      </c>
      <c r="R352" s="34" t="s">
        <v>51</v>
      </c>
      <c r="S352" s="35" t="n">
        <f>136920</f>
        <v>136920.0</v>
      </c>
      <c r="T352" s="32" t="n">
        <f>108373</f>
        <v>108373.0</v>
      </c>
      <c r="U352" s="32" t="n">
        <f>20571</f>
        <v>20571.0</v>
      </c>
      <c r="V352" s="32" t="n">
        <f>14825773019</f>
        <v>1.4825773019E10</v>
      </c>
      <c r="W352" s="32" t="n">
        <f>2810223319</f>
        <v>2.810223319E9</v>
      </c>
      <c r="X352" s="36" t="n">
        <f>20</f>
        <v>20.0</v>
      </c>
    </row>
    <row r="353">
      <c r="A353" s="27" t="s">
        <v>42</v>
      </c>
      <c r="B353" s="27" t="s">
        <v>1102</v>
      </c>
      <c r="C353" s="27" t="s">
        <v>1103</v>
      </c>
      <c r="D353" s="27" t="s">
        <v>1104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332000</f>
        <v>332000.0</v>
      </c>
      <c r="L353" s="34" t="s">
        <v>48</v>
      </c>
      <c r="M353" s="33" t="n">
        <f>339000</f>
        <v>339000.0</v>
      </c>
      <c r="N353" s="34" t="s">
        <v>61</v>
      </c>
      <c r="O353" s="33" t="n">
        <f>320000</f>
        <v>320000.0</v>
      </c>
      <c r="P353" s="34" t="s">
        <v>51</v>
      </c>
      <c r="Q353" s="33" t="n">
        <f>325000</f>
        <v>325000.0</v>
      </c>
      <c r="R353" s="34" t="s">
        <v>51</v>
      </c>
      <c r="S353" s="35" t="n">
        <f>328100</f>
        <v>328100.0</v>
      </c>
      <c r="T353" s="32" t="n">
        <f>76659</f>
        <v>76659.0</v>
      </c>
      <c r="U353" s="32" t="n">
        <f>19557</f>
        <v>19557.0</v>
      </c>
      <c r="V353" s="32" t="n">
        <f>25163454629</f>
        <v>2.5163454629E10</v>
      </c>
      <c r="W353" s="32" t="n">
        <f>6424061629</f>
        <v>6.424061629E9</v>
      </c>
      <c r="X353" s="36" t="n">
        <f>20</f>
        <v>20.0</v>
      </c>
    </row>
    <row r="354">
      <c r="A354" s="27" t="s">
        <v>42</v>
      </c>
      <c r="B354" s="27" t="s">
        <v>1105</v>
      </c>
      <c r="C354" s="27" t="s">
        <v>1106</v>
      </c>
      <c r="D354" s="27" t="s">
        <v>1107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410000</f>
        <v>410000.0</v>
      </c>
      <c r="L354" s="34" t="s">
        <v>48</v>
      </c>
      <c r="M354" s="33" t="n">
        <f>418500</f>
        <v>418500.0</v>
      </c>
      <c r="N354" s="34" t="s">
        <v>62</v>
      </c>
      <c r="O354" s="33" t="n">
        <f>396000</f>
        <v>396000.0</v>
      </c>
      <c r="P354" s="34" t="s">
        <v>103</v>
      </c>
      <c r="Q354" s="33" t="n">
        <f>406500</f>
        <v>406500.0</v>
      </c>
      <c r="R354" s="34" t="s">
        <v>51</v>
      </c>
      <c r="S354" s="35" t="n">
        <f>408325</f>
        <v>408325.0</v>
      </c>
      <c r="T354" s="32" t="n">
        <f>58015</f>
        <v>58015.0</v>
      </c>
      <c r="U354" s="32" t="n">
        <f>13283</f>
        <v>13283.0</v>
      </c>
      <c r="V354" s="32" t="n">
        <f>23726341841</f>
        <v>2.3726341841E10</v>
      </c>
      <c r="W354" s="32" t="n">
        <f>5427057841</f>
        <v>5.427057841E9</v>
      </c>
      <c r="X354" s="36" t="n">
        <f>20</f>
        <v>20.0</v>
      </c>
    </row>
    <row r="355">
      <c r="A355" s="27" t="s">
        <v>42</v>
      </c>
      <c r="B355" s="27" t="s">
        <v>1108</v>
      </c>
      <c r="C355" s="27" t="s">
        <v>1109</v>
      </c>
      <c r="D355" s="27" t="s">
        <v>1110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136500</f>
        <v>136500.0</v>
      </c>
      <c r="L355" s="34" t="s">
        <v>48</v>
      </c>
      <c r="M355" s="33" t="n">
        <f>142200</f>
        <v>142200.0</v>
      </c>
      <c r="N355" s="34" t="s">
        <v>89</v>
      </c>
      <c r="O355" s="33" t="n">
        <f>135400</f>
        <v>135400.0</v>
      </c>
      <c r="P355" s="34" t="s">
        <v>48</v>
      </c>
      <c r="Q355" s="33" t="n">
        <f>139700</f>
        <v>139700.0</v>
      </c>
      <c r="R355" s="34" t="s">
        <v>51</v>
      </c>
      <c r="S355" s="35" t="n">
        <f>138685</f>
        <v>138685.0</v>
      </c>
      <c r="T355" s="32" t="n">
        <f>317111</f>
        <v>317111.0</v>
      </c>
      <c r="U355" s="32" t="n">
        <f>78863</f>
        <v>78863.0</v>
      </c>
      <c r="V355" s="32" t="n">
        <f>43966100013</f>
        <v>4.3966100013E10</v>
      </c>
      <c r="W355" s="32" t="n">
        <f>10922937213</f>
        <v>1.0922937213E10</v>
      </c>
      <c r="X355" s="36" t="n">
        <f>20</f>
        <v>20.0</v>
      </c>
    </row>
    <row r="356">
      <c r="A356" s="27" t="s">
        <v>42</v>
      </c>
      <c r="B356" s="27" t="s">
        <v>1111</v>
      </c>
      <c r="C356" s="27" t="s">
        <v>1112</v>
      </c>
      <c r="D356" s="27" t="s">
        <v>1113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326000</f>
        <v>326000.0</v>
      </c>
      <c r="L356" s="34" t="s">
        <v>48</v>
      </c>
      <c r="M356" s="33" t="n">
        <f>331000</f>
        <v>331000.0</v>
      </c>
      <c r="N356" s="34" t="s">
        <v>50</v>
      </c>
      <c r="O356" s="33" t="n">
        <f>311500</f>
        <v>311500.0</v>
      </c>
      <c r="P356" s="34" t="s">
        <v>69</v>
      </c>
      <c r="Q356" s="33" t="n">
        <f>318000</f>
        <v>318000.0</v>
      </c>
      <c r="R356" s="34" t="s">
        <v>51</v>
      </c>
      <c r="S356" s="35" t="n">
        <f>318550</f>
        <v>318550.0</v>
      </c>
      <c r="T356" s="32" t="n">
        <f>52784</f>
        <v>52784.0</v>
      </c>
      <c r="U356" s="32" t="n">
        <f>13914</f>
        <v>13914.0</v>
      </c>
      <c r="V356" s="32" t="n">
        <f>16905116860</f>
        <v>1.690511686E10</v>
      </c>
      <c r="W356" s="32" t="n">
        <f>4473816860</f>
        <v>4.47381686E9</v>
      </c>
      <c r="X356" s="36" t="n">
        <f>20</f>
        <v>20.0</v>
      </c>
    </row>
    <row r="357">
      <c r="A357" s="27" t="s">
        <v>42</v>
      </c>
      <c r="B357" s="27" t="s">
        <v>1114</v>
      </c>
      <c r="C357" s="27" t="s">
        <v>1115</v>
      </c>
      <c r="D357" s="27" t="s">
        <v>1116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270000</f>
        <v>270000.0</v>
      </c>
      <c r="L357" s="34" t="s">
        <v>48</v>
      </c>
      <c r="M357" s="33" t="n">
        <f>280400</f>
        <v>280400.0</v>
      </c>
      <c r="N357" s="34" t="s">
        <v>51</v>
      </c>
      <c r="O357" s="33" t="n">
        <f>266800</f>
        <v>266800.0</v>
      </c>
      <c r="P357" s="34" t="s">
        <v>48</v>
      </c>
      <c r="Q357" s="33" t="n">
        <f>280400</f>
        <v>280400.0</v>
      </c>
      <c r="R357" s="34" t="s">
        <v>51</v>
      </c>
      <c r="S357" s="35" t="n">
        <f>274355</f>
        <v>274355.0</v>
      </c>
      <c r="T357" s="32" t="n">
        <f>189687</f>
        <v>189687.0</v>
      </c>
      <c r="U357" s="32" t="n">
        <f>38467</f>
        <v>38467.0</v>
      </c>
      <c r="V357" s="32" t="n">
        <f>52163498615</f>
        <v>5.2163498615E10</v>
      </c>
      <c r="W357" s="32" t="n">
        <f>10607874715</f>
        <v>1.0607874715E10</v>
      </c>
      <c r="X357" s="36" t="n">
        <f>20</f>
        <v>20.0</v>
      </c>
    </row>
    <row r="358">
      <c r="A358" s="27" t="s">
        <v>42</v>
      </c>
      <c r="B358" s="27" t="s">
        <v>1117</v>
      </c>
      <c r="C358" s="27" t="s">
        <v>1118</v>
      </c>
      <c r="D358" s="27" t="s">
        <v>1119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595000</f>
        <v>595000.0</v>
      </c>
      <c r="L358" s="34" t="s">
        <v>48</v>
      </c>
      <c r="M358" s="33" t="n">
        <f>628000</f>
        <v>628000.0</v>
      </c>
      <c r="N358" s="34" t="s">
        <v>49</v>
      </c>
      <c r="O358" s="33" t="n">
        <f>587000</f>
        <v>587000.0</v>
      </c>
      <c r="P358" s="34" t="s">
        <v>103</v>
      </c>
      <c r="Q358" s="33" t="n">
        <f>605000</f>
        <v>605000.0</v>
      </c>
      <c r="R358" s="34" t="s">
        <v>51</v>
      </c>
      <c r="S358" s="35" t="n">
        <f>606800</f>
        <v>606800.0</v>
      </c>
      <c r="T358" s="32" t="n">
        <f>16726</f>
        <v>16726.0</v>
      </c>
      <c r="U358" s="32" t="n">
        <f>2771</f>
        <v>2771.0</v>
      </c>
      <c r="V358" s="32" t="n">
        <f>10110070768</f>
        <v>1.0110070768E10</v>
      </c>
      <c r="W358" s="32" t="n">
        <f>1671412768</f>
        <v>1.671412768E9</v>
      </c>
      <c r="X358" s="36" t="n">
        <f>20</f>
        <v>20.0</v>
      </c>
    </row>
    <row r="359">
      <c r="A359" s="27" t="s">
        <v>42</v>
      </c>
      <c r="B359" s="27" t="s">
        <v>1120</v>
      </c>
      <c r="C359" s="27" t="s">
        <v>1121</v>
      </c>
      <c r="D359" s="27" t="s">
        <v>1122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262200</f>
        <v>262200.0</v>
      </c>
      <c r="L359" s="34" t="s">
        <v>48</v>
      </c>
      <c r="M359" s="33" t="n">
        <f>267000</f>
        <v>267000.0</v>
      </c>
      <c r="N359" s="34" t="s">
        <v>89</v>
      </c>
      <c r="O359" s="33" t="n">
        <f>254600</f>
        <v>254600.0</v>
      </c>
      <c r="P359" s="34" t="s">
        <v>103</v>
      </c>
      <c r="Q359" s="33" t="n">
        <f>265900</f>
        <v>265900.0</v>
      </c>
      <c r="R359" s="34" t="s">
        <v>51</v>
      </c>
      <c r="S359" s="35" t="n">
        <f>261165</f>
        <v>261165.0</v>
      </c>
      <c r="T359" s="32" t="n">
        <f>17035</f>
        <v>17035.0</v>
      </c>
      <c r="U359" s="32" t="n">
        <f>2703</f>
        <v>2703.0</v>
      </c>
      <c r="V359" s="32" t="n">
        <f>4450208804</f>
        <v>4.450208804E9</v>
      </c>
      <c r="W359" s="32" t="n">
        <f>703829604</f>
        <v>7.03829604E8</v>
      </c>
      <c r="X359" s="36" t="n">
        <f>20</f>
        <v>20.0</v>
      </c>
    </row>
    <row r="360">
      <c r="A360" s="27" t="s">
        <v>42</v>
      </c>
      <c r="B360" s="27" t="s">
        <v>1123</v>
      </c>
      <c r="C360" s="27" t="s">
        <v>1124</v>
      </c>
      <c r="D360" s="27" t="s">
        <v>1125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144700</f>
        <v>144700.0</v>
      </c>
      <c r="L360" s="34" t="s">
        <v>48</v>
      </c>
      <c r="M360" s="33" t="n">
        <f>146000</f>
        <v>146000.0</v>
      </c>
      <c r="N360" s="34" t="s">
        <v>61</v>
      </c>
      <c r="O360" s="33" t="n">
        <f>141400</f>
        <v>141400.0</v>
      </c>
      <c r="P360" s="34" t="s">
        <v>225</v>
      </c>
      <c r="Q360" s="33" t="n">
        <f>143800</f>
        <v>143800.0</v>
      </c>
      <c r="R360" s="34" t="s">
        <v>51</v>
      </c>
      <c r="S360" s="35" t="n">
        <f>143000</f>
        <v>143000.0</v>
      </c>
      <c r="T360" s="32" t="n">
        <f>98437</f>
        <v>98437.0</v>
      </c>
      <c r="U360" s="32" t="n">
        <f>17888</f>
        <v>17888.0</v>
      </c>
      <c r="V360" s="32" t="n">
        <f>14081971526</f>
        <v>1.4081971526E10</v>
      </c>
      <c r="W360" s="32" t="n">
        <f>2558947426</f>
        <v>2.558947426E9</v>
      </c>
      <c r="X360" s="36" t="n">
        <f>20</f>
        <v>20.0</v>
      </c>
    </row>
    <row r="361">
      <c r="A361" s="27" t="s">
        <v>42</v>
      </c>
      <c r="B361" s="27" t="s">
        <v>1126</v>
      </c>
      <c r="C361" s="27" t="s">
        <v>1127</v>
      </c>
      <c r="D361" s="27" t="s">
        <v>1128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154400</f>
        <v>154400.0</v>
      </c>
      <c r="L361" s="34" t="s">
        <v>48</v>
      </c>
      <c r="M361" s="33" t="n">
        <f>158600</f>
        <v>158600.0</v>
      </c>
      <c r="N361" s="34" t="s">
        <v>61</v>
      </c>
      <c r="O361" s="33" t="n">
        <f>149500</f>
        <v>149500.0</v>
      </c>
      <c r="P361" s="34" t="s">
        <v>225</v>
      </c>
      <c r="Q361" s="33" t="n">
        <f>155100</f>
        <v>155100.0</v>
      </c>
      <c r="R361" s="34" t="s">
        <v>51</v>
      </c>
      <c r="S361" s="35" t="n">
        <f>152945</f>
        <v>152945.0</v>
      </c>
      <c r="T361" s="32" t="n">
        <f>100659</f>
        <v>100659.0</v>
      </c>
      <c r="U361" s="32" t="n">
        <f>28478</f>
        <v>28478.0</v>
      </c>
      <c r="V361" s="32" t="n">
        <f>15432533154</f>
        <v>1.5432533154E10</v>
      </c>
      <c r="W361" s="32" t="n">
        <f>4374517554</f>
        <v>4.374517554E9</v>
      </c>
      <c r="X361" s="36" t="n">
        <f>20</f>
        <v>20.0</v>
      </c>
    </row>
    <row r="362">
      <c r="A362" s="27" t="s">
        <v>42</v>
      </c>
      <c r="B362" s="27" t="s">
        <v>1129</v>
      </c>
      <c r="C362" s="27" t="s">
        <v>1130</v>
      </c>
      <c r="D362" s="27" t="s">
        <v>1131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350000</f>
        <v>350000.0</v>
      </c>
      <c r="L362" s="34" t="s">
        <v>48</v>
      </c>
      <c r="M362" s="33" t="n">
        <f>356000</f>
        <v>356000.0</v>
      </c>
      <c r="N362" s="34" t="s">
        <v>48</v>
      </c>
      <c r="O362" s="33" t="n">
        <f>336500</f>
        <v>336500.0</v>
      </c>
      <c r="P362" s="34" t="s">
        <v>103</v>
      </c>
      <c r="Q362" s="33" t="n">
        <f>350000</f>
        <v>350000.0</v>
      </c>
      <c r="R362" s="34" t="s">
        <v>51</v>
      </c>
      <c r="S362" s="35" t="n">
        <f>347675</f>
        <v>347675.0</v>
      </c>
      <c r="T362" s="32" t="n">
        <f>28074</f>
        <v>28074.0</v>
      </c>
      <c r="U362" s="32" t="n">
        <f>8980</f>
        <v>8980.0</v>
      </c>
      <c r="V362" s="32" t="n">
        <f>9740156874</f>
        <v>9.740156874E9</v>
      </c>
      <c r="W362" s="32" t="n">
        <f>3110527874</f>
        <v>3.110527874E9</v>
      </c>
      <c r="X362" s="36" t="n">
        <f>20</f>
        <v>20.0</v>
      </c>
    </row>
    <row r="363">
      <c r="A363" s="27" t="s">
        <v>42</v>
      </c>
      <c r="B363" s="27" t="s">
        <v>1132</v>
      </c>
      <c r="C363" s="27" t="s">
        <v>1133</v>
      </c>
      <c r="D363" s="27" t="s">
        <v>1134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80100</f>
        <v>80100.0</v>
      </c>
      <c r="L363" s="34" t="s">
        <v>48</v>
      </c>
      <c r="M363" s="33" t="n">
        <f>84700</f>
        <v>84700.0</v>
      </c>
      <c r="N363" s="34" t="s">
        <v>51</v>
      </c>
      <c r="O363" s="33" t="n">
        <f>76800</f>
        <v>76800.0</v>
      </c>
      <c r="P363" s="34" t="s">
        <v>103</v>
      </c>
      <c r="Q363" s="33" t="n">
        <f>84700</f>
        <v>84700.0</v>
      </c>
      <c r="R363" s="34" t="s">
        <v>51</v>
      </c>
      <c r="S363" s="35" t="n">
        <f>79335</f>
        <v>79335.0</v>
      </c>
      <c r="T363" s="32" t="n">
        <f>264220</f>
        <v>264220.0</v>
      </c>
      <c r="U363" s="32" t="n">
        <f>66676</f>
        <v>66676.0</v>
      </c>
      <c r="V363" s="32" t="n">
        <f>21031871683</f>
        <v>2.1031871683E10</v>
      </c>
      <c r="W363" s="32" t="n">
        <f>5279281383</f>
        <v>5.279281383E9</v>
      </c>
      <c r="X363" s="36" t="n">
        <f>20</f>
        <v>20.0</v>
      </c>
    </row>
    <row r="364">
      <c r="A364" s="27" t="s">
        <v>42</v>
      </c>
      <c r="B364" s="27" t="s">
        <v>1135</v>
      </c>
      <c r="C364" s="27" t="s">
        <v>1136</v>
      </c>
      <c r="D364" s="27" t="s">
        <v>1137</v>
      </c>
      <c r="E364" s="28" t="s">
        <v>46</v>
      </c>
      <c r="F364" s="29" t="s">
        <v>46</v>
      </c>
      <c r="G364" s="30" t="s">
        <v>46</v>
      </c>
      <c r="H364" s="31"/>
      <c r="I364" s="31" t="s">
        <v>556</v>
      </c>
      <c r="J364" s="32" t="n">
        <v>1.0</v>
      </c>
      <c r="K364" s="33" t="n">
        <f>136300</f>
        <v>136300.0</v>
      </c>
      <c r="L364" s="34" t="s">
        <v>48</v>
      </c>
      <c r="M364" s="33" t="n">
        <f>137500</f>
        <v>137500.0</v>
      </c>
      <c r="N364" s="34" t="s">
        <v>48</v>
      </c>
      <c r="O364" s="33" t="n">
        <f>133600</f>
        <v>133600.0</v>
      </c>
      <c r="P364" s="34" t="s">
        <v>51</v>
      </c>
      <c r="Q364" s="33" t="n">
        <f>134500</f>
        <v>134500.0</v>
      </c>
      <c r="R364" s="34" t="s">
        <v>51</v>
      </c>
      <c r="S364" s="35" t="n">
        <f>135750</f>
        <v>135750.0</v>
      </c>
      <c r="T364" s="32" t="n">
        <f>17789</f>
        <v>17789.0</v>
      </c>
      <c r="U364" s="32" t="n">
        <f>2781</f>
        <v>2781.0</v>
      </c>
      <c r="V364" s="32" t="n">
        <f>2414473275</f>
        <v>2.414473275E9</v>
      </c>
      <c r="W364" s="32" t="n">
        <f>377506575</f>
        <v>3.77506575E8</v>
      </c>
      <c r="X364" s="36" t="n">
        <f>20</f>
        <v>20.0</v>
      </c>
    </row>
    <row r="365">
      <c r="A365" s="27" t="s">
        <v>42</v>
      </c>
      <c r="B365" s="27" t="s">
        <v>1138</v>
      </c>
      <c r="C365" s="27" t="s">
        <v>1139</v>
      </c>
      <c r="D365" s="27" t="s">
        <v>1140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141400</f>
        <v>141400.0</v>
      </c>
      <c r="L365" s="34" t="s">
        <v>48</v>
      </c>
      <c r="M365" s="33" t="n">
        <f>146900</f>
        <v>146900.0</v>
      </c>
      <c r="N365" s="34" t="s">
        <v>241</v>
      </c>
      <c r="O365" s="33" t="n">
        <f>140800</f>
        <v>140800.0</v>
      </c>
      <c r="P365" s="34" t="s">
        <v>48</v>
      </c>
      <c r="Q365" s="33" t="n">
        <f>143200</f>
        <v>143200.0</v>
      </c>
      <c r="R365" s="34" t="s">
        <v>51</v>
      </c>
      <c r="S365" s="35" t="n">
        <f>142940</f>
        <v>142940.0</v>
      </c>
      <c r="T365" s="32" t="n">
        <f>16158</f>
        <v>16158.0</v>
      </c>
      <c r="U365" s="32" t="n">
        <f>3474</f>
        <v>3474.0</v>
      </c>
      <c r="V365" s="32" t="n">
        <f>2314037848</f>
        <v>2.314037848E9</v>
      </c>
      <c r="W365" s="32" t="n">
        <f>497457748</f>
        <v>4.97457748E8</v>
      </c>
      <c r="X365" s="36" t="n">
        <f>20</f>
        <v>20.0</v>
      </c>
    </row>
    <row r="366">
      <c r="A366" s="27" t="s">
        <v>42</v>
      </c>
      <c r="B366" s="27" t="s">
        <v>1141</v>
      </c>
      <c r="C366" s="27" t="s">
        <v>1142</v>
      </c>
      <c r="D366" s="27" t="s">
        <v>1143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112900</f>
        <v>112900.0</v>
      </c>
      <c r="L366" s="34" t="s">
        <v>48</v>
      </c>
      <c r="M366" s="33" t="n">
        <f>113600</f>
        <v>113600.0</v>
      </c>
      <c r="N366" s="34" t="s">
        <v>48</v>
      </c>
      <c r="O366" s="33" t="n">
        <f>107600</f>
        <v>107600.0</v>
      </c>
      <c r="P366" s="34" t="s">
        <v>225</v>
      </c>
      <c r="Q366" s="33" t="n">
        <f>112500</f>
        <v>112500.0</v>
      </c>
      <c r="R366" s="34" t="s">
        <v>51</v>
      </c>
      <c r="S366" s="35" t="n">
        <f>109490</f>
        <v>109490.0</v>
      </c>
      <c r="T366" s="32" t="n">
        <f>26050</f>
        <v>26050.0</v>
      </c>
      <c r="U366" s="32" t="n">
        <f>3960</f>
        <v>3960.0</v>
      </c>
      <c r="V366" s="32" t="n">
        <f>2865778079</f>
        <v>2.865778079E9</v>
      </c>
      <c r="W366" s="32" t="n">
        <f>435184479</f>
        <v>4.35184479E8</v>
      </c>
      <c r="X366" s="36" t="n">
        <f>20</f>
        <v>20.0</v>
      </c>
    </row>
    <row r="367">
      <c r="A367" s="27" t="s">
        <v>42</v>
      </c>
      <c r="B367" s="27" t="s">
        <v>1144</v>
      </c>
      <c r="C367" s="27" t="s">
        <v>1145</v>
      </c>
      <c r="D367" s="27" t="s">
        <v>1146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168800</f>
        <v>168800.0</v>
      </c>
      <c r="L367" s="34" t="s">
        <v>48</v>
      </c>
      <c r="M367" s="33" t="n">
        <f>171600</f>
        <v>171600.0</v>
      </c>
      <c r="N367" s="34" t="s">
        <v>61</v>
      </c>
      <c r="O367" s="33" t="n">
        <f>164900</f>
        <v>164900.0</v>
      </c>
      <c r="P367" s="34" t="s">
        <v>103</v>
      </c>
      <c r="Q367" s="33" t="n">
        <f>169800</f>
        <v>169800.0</v>
      </c>
      <c r="R367" s="34" t="s">
        <v>51</v>
      </c>
      <c r="S367" s="35" t="n">
        <f>168895</f>
        <v>168895.0</v>
      </c>
      <c r="T367" s="32" t="n">
        <f>247420</f>
        <v>247420.0</v>
      </c>
      <c r="U367" s="32" t="n">
        <f>54201</f>
        <v>54201.0</v>
      </c>
      <c r="V367" s="32" t="n">
        <f>41704914019</f>
        <v>4.1704914019E10</v>
      </c>
      <c r="W367" s="32" t="n">
        <f>9115928419</f>
        <v>9.115928419E9</v>
      </c>
      <c r="X367" s="36" t="n">
        <f>20</f>
        <v>20.0</v>
      </c>
    </row>
    <row r="368">
      <c r="A368" s="27" t="s">
        <v>42</v>
      </c>
      <c r="B368" s="27" t="s">
        <v>1147</v>
      </c>
      <c r="C368" s="27" t="s">
        <v>1148</v>
      </c>
      <c r="D368" s="27" t="s">
        <v>1149</v>
      </c>
      <c r="E368" s="28" t="s">
        <v>46</v>
      </c>
      <c r="F368" s="29" t="s">
        <v>46</v>
      </c>
      <c r="G368" s="30" t="s">
        <v>46</v>
      </c>
      <c r="H368" s="31"/>
      <c r="I368" s="31" t="s">
        <v>556</v>
      </c>
      <c r="J368" s="32" t="n">
        <v>1.0</v>
      </c>
      <c r="K368" s="33" t="n">
        <f>105700</f>
        <v>105700.0</v>
      </c>
      <c r="L368" s="34" t="s">
        <v>48</v>
      </c>
      <c r="M368" s="33" t="n">
        <f>107500</f>
        <v>107500.0</v>
      </c>
      <c r="N368" s="34" t="s">
        <v>217</v>
      </c>
      <c r="O368" s="33" t="n">
        <f>100700</f>
        <v>100700.0</v>
      </c>
      <c r="P368" s="34" t="s">
        <v>103</v>
      </c>
      <c r="Q368" s="33" t="n">
        <f>107200</f>
        <v>107200.0</v>
      </c>
      <c r="R368" s="34" t="s">
        <v>51</v>
      </c>
      <c r="S368" s="35" t="n">
        <f>104625</f>
        <v>104625.0</v>
      </c>
      <c r="T368" s="32" t="n">
        <f>26992</f>
        <v>26992.0</v>
      </c>
      <c r="U368" s="32" t="n">
        <f>3745</f>
        <v>3745.0</v>
      </c>
      <c r="V368" s="32" t="n">
        <f>2817816949</f>
        <v>2.817816949E9</v>
      </c>
      <c r="W368" s="32" t="n">
        <f>392121949</f>
        <v>3.92121949E8</v>
      </c>
      <c r="X368" s="36" t="n">
        <f>20</f>
        <v>20.0</v>
      </c>
    </row>
    <row r="369">
      <c r="A369" s="27" t="s">
        <v>42</v>
      </c>
      <c r="B369" s="27" t="s">
        <v>1150</v>
      </c>
      <c r="C369" s="27" t="s">
        <v>1151</v>
      </c>
      <c r="D369" s="27" t="s">
        <v>1152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149000</f>
        <v>149000.0</v>
      </c>
      <c r="L369" s="34" t="s">
        <v>48</v>
      </c>
      <c r="M369" s="33" t="n">
        <f>157600</f>
        <v>157600.0</v>
      </c>
      <c r="N369" s="34" t="s">
        <v>51</v>
      </c>
      <c r="O369" s="33" t="n">
        <f>147100</f>
        <v>147100.0</v>
      </c>
      <c r="P369" s="34" t="s">
        <v>103</v>
      </c>
      <c r="Q369" s="33" t="n">
        <f>157600</f>
        <v>157600.0</v>
      </c>
      <c r="R369" s="34" t="s">
        <v>51</v>
      </c>
      <c r="S369" s="35" t="n">
        <f>149955</f>
        <v>149955.0</v>
      </c>
      <c r="T369" s="32" t="n">
        <f>130753</f>
        <v>130753.0</v>
      </c>
      <c r="U369" s="32" t="n">
        <f>27887</f>
        <v>27887.0</v>
      </c>
      <c r="V369" s="32" t="n">
        <f>19612355205</f>
        <v>1.9612355205E10</v>
      </c>
      <c r="W369" s="32" t="n">
        <f>4176298605</f>
        <v>4.176298605E9</v>
      </c>
      <c r="X369" s="36" t="n">
        <f>20</f>
        <v>20.0</v>
      </c>
    </row>
    <row r="370">
      <c r="A370" s="27" t="s">
        <v>42</v>
      </c>
      <c r="B370" s="27" t="s">
        <v>1153</v>
      </c>
      <c r="C370" s="27" t="s">
        <v>1154</v>
      </c>
      <c r="D370" s="27" t="s">
        <v>1155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57400</f>
        <v>57400.0</v>
      </c>
      <c r="L370" s="34" t="s">
        <v>48</v>
      </c>
      <c r="M370" s="33" t="n">
        <f>59400</f>
        <v>59400.0</v>
      </c>
      <c r="N370" s="34" t="s">
        <v>49</v>
      </c>
      <c r="O370" s="33" t="n">
        <f>56200</f>
        <v>56200.0</v>
      </c>
      <c r="P370" s="34" t="s">
        <v>103</v>
      </c>
      <c r="Q370" s="33" t="n">
        <f>57700</f>
        <v>57700.0</v>
      </c>
      <c r="R370" s="34" t="s">
        <v>51</v>
      </c>
      <c r="S370" s="35" t="n">
        <f>57820</f>
        <v>57820.0</v>
      </c>
      <c r="T370" s="32" t="n">
        <f>145129</f>
        <v>145129.0</v>
      </c>
      <c r="U370" s="32" t="n">
        <f>28560</f>
        <v>28560.0</v>
      </c>
      <c r="V370" s="32" t="n">
        <f>8390390729</f>
        <v>8.390390729E9</v>
      </c>
      <c r="W370" s="32" t="n">
        <f>1650182729</f>
        <v>1.650182729E9</v>
      </c>
      <c r="X370" s="36" t="n">
        <f>20</f>
        <v>20.0</v>
      </c>
    </row>
    <row r="371">
      <c r="A371" s="27" t="s">
        <v>42</v>
      </c>
      <c r="B371" s="27" t="s">
        <v>1156</v>
      </c>
      <c r="C371" s="27" t="s">
        <v>1157</v>
      </c>
      <c r="D371" s="27" t="s">
        <v>1158</v>
      </c>
      <c r="E371" s="28" t="s">
        <v>46</v>
      </c>
      <c r="F371" s="29" t="s">
        <v>46</v>
      </c>
      <c r="G371" s="30" t="s">
        <v>46</v>
      </c>
      <c r="H371" s="31"/>
      <c r="I371" s="31" t="s">
        <v>556</v>
      </c>
      <c r="J371" s="32" t="n">
        <v>1.0</v>
      </c>
      <c r="K371" s="33" t="n">
        <f>126800</f>
        <v>126800.0</v>
      </c>
      <c r="L371" s="34" t="s">
        <v>48</v>
      </c>
      <c r="M371" s="33" t="n">
        <f>128000</f>
        <v>128000.0</v>
      </c>
      <c r="N371" s="34" t="s">
        <v>116</v>
      </c>
      <c r="O371" s="33" t="n">
        <f>125600</f>
        <v>125600.0</v>
      </c>
      <c r="P371" s="34" t="s">
        <v>103</v>
      </c>
      <c r="Q371" s="33" t="n">
        <f>128000</f>
        <v>128000.0</v>
      </c>
      <c r="R371" s="34" t="s">
        <v>51</v>
      </c>
      <c r="S371" s="35" t="n">
        <f>127075</f>
        <v>127075.0</v>
      </c>
      <c r="T371" s="32" t="n">
        <f>10744</f>
        <v>10744.0</v>
      </c>
      <c r="U371" s="32" t="n">
        <f>2007</f>
        <v>2007.0</v>
      </c>
      <c r="V371" s="32" t="n">
        <f>1365480379</f>
        <v>1.365480379E9</v>
      </c>
      <c r="W371" s="32" t="n">
        <f>254985179</f>
        <v>2.54985179E8</v>
      </c>
      <c r="X371" s="36" t="n">
        <f>20</f>
        <v>20.0</v>
      </c>
    </row>
    <row r="372">
      <c r="A372" s="27" t="s">
        <v>42</v>
      </c>
      <c r="B372" s="27" t="s">
        <v>1159</v>
      </c>
      <c r="C372" s="27" t="s">
        <v>1160</v>
      </c>
      <c r="D372" s="27" t="s">
        <v>1161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458000</f>
        <v>458000.0</v>
      </c>
      <c r="L372" s="34" t="s">
        <v>48</v>
      </c>
      <c r="M372" s="33" t="n">
        <f>478000</f>
        <v>478000.0</v>
      </c>
      <c r="N372" s="34" t="s">
        <v>49</v>
      </c>
      <c r="O372" s="33" t="n">
        <f>454000</f>
        <v>454000.0</v>
      </c>
      <c r="P372" s="34" t="s">
        <v>48</v>
      </c>
      <c r="Q372" s="33" t="n">
        <f>467000</f>
        <v>467000.0</v>
      </c>
      <c r="R372" s="34" t="s">
        <v>51</v>
      </c>
      <c r="S372" s="35" t="n">
        <f>469400</f>
        <v>469400.0</v>
      </c>
      <c r="T372" s="32" t="n">
        <f>30772</f>
        <v>30772.0</v>
      </c>
      <c r="U372" s="32" t="n">
        <f>5364</f>
        <v>5364.0</v>
      </c>
      <c r="V372" s="32" t="n">
        <f>14416752250</f>
        <v>1.441675225E10</v>
      </c>
      <c r="W372" s="32" t="n">
        <f>2516837750</f>
        <v>2.51683775E9</v>
      </c>
      <c r="X372" s="36" t="n">
        <f>20</f>
        <v>20.0</v>
      </c>
    </row>
    <row r="373">
      <c r="A373" s="27" t="s">
        <v>42</v>
      </c>
      <c r="B373" s="27" t="s">
        <v>1162</v>
      </c>
      <c r="C373" s="27" t="s">
        <v>1163</v>
      </c>
      <c r="D373" s="27" t="s">
        <v>1164</v>
      </c>
      <c r="E373" s="28" t="s">
        <v>46</v>
      </c>
      <c r="F373" s="29" t="s">
        <v>46</v>
      </c>
      <c r="G373" s="30" t="s">
        <v>46</v>
      </c>
      <c r="H373" s="31"/>
      <c r="I373" s="31" t="s">
        <v>556</v>
      </c>
      <c r="J373" s="32" t="n">
        <v>1.0</v>
      </c>
      <c r="K373" s="33" t="n">
        <f>64800</f>
        <v>64800.0</v>
      </c>
      <c r="L373" s="34" t="s">
        <v>48</v>
      </c>
      <c r="M373" s="33" t="n">
        <f>65800</f>
        <v>65800.0</v>
      </c>
      <c r="N373" s="34" t="s">
        <v>61</v>
      </c>
      <c r="O373" s="33" t="n">
        <f>62100</f>
        <v>62100.0</v>
      </c>
      <c r="P373" s="34" t="s">
        <v>51</v>
      </c>
      <c r="Q373" s="33" t="n">
        <f>62400</f>
        <v>62400.0</v>
      </c>
      <c r="R373" s="34" t="s">
        <v>51</v>
      </c>
      <c r="S373" s="35" t="n">
        <f>64745</f>
        <v>64745.0</v>
      </c>
      <c r="T373" s="32" t="n">
        <f>15455</f>
        <v>15455.0</v>
      </c>
      <c r="U373" s="32" t="n">
        <f>1444</f>
        <v>1444.0</v>
      </c>
      <c r="V373" s="32" t="n">
        <f>996446143</f>
        <v>9.96446143E8</v>
      </c>
      <c r="W373" s="32" t="n">
        <f>93768743</f>
        <v>9.3768743E7</v>
      </c>
      <c r="X373" s="36" t="n">
        <f>20</f>
        <v>20.0</v>
      </c>
    </row>
    <row r="374">
      <c r="A374" s="27" t="s">
        <v>42</v>
      </c>
      <c r="B374" s="27" t="s">
        <v>1165</v>
      </c>
      <c r="C374" s="27" t="s">
        <v>1166</v>
      </c>
      <c r="D374" s="27" t="s">
        <v>1167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45750</f>
        <v>45750.0</v>
      </c>
      <c r="L374" s="34" t="s">
        <v>48</v>
      </c>
      <c r="M374" s="33" t="n">
        <f>46550</f>
        <v>46550.0</v>
      </c>
      <c r="N374" s="34" t="s">
        <v>61</v>
      </c>
      <c r="O374" s="33" t="n">
        <f>43150</f>
        <v>43150.0</v>
      </c>
      <c r="P374" s="34" t="s">
        <v>89</v>
      </c>
      <c r="Q374" s="33" t="n">
        <f>44200</f>
        <v>44200.0</v>
      </c>
      <c r="R374" s="34" t="s">
        <v>51</v>
      </c>
      <c r="S374" s="35" t="n">
        <f>44440</f>
        <v>44440.0</v>
      </c>
      <c r="T374" s="32" t="n">
        <f>361908</f>
        <v>361908.0</v>
      </c>
      <c r="U374" s="32" t="n">
        <f>48946</f>
        <v>48946.0</v>
      </c>
      <c r="V374" s="32" t="n">
        <f>15873256970</f>
        <v>1.587325697E10</v>
      </c>
      <c r="W374" s="32" t="n">
        <f>2156453970</f>
        <v>2.15645397E9</v>
      </c>
      <c r="X374" s="36" t="n">
        <f>20</f>
        <v>20.0</v>
      </c>
    </row>
    <row r="375">
      <c r="A375" s="27" t="s">
        <v>42</v>
      </c>
      <c r="B375" s="27" t="s">
        <v>1168</v>
      </c>
      <c r="C375" s="27" t="s">
        <v>1169</v>
      </c>
      <c r="D375" s="27" t="s">
        <v>1170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384000</f>
        <v>384000.0</v>
      </c>
      <c r="L375" s="34" t="s">
        <v>48</v>
      </c>
      <c r="M375" s="33" t="n">
        <f>386000</f>
        <v>386000.0</v>
      </c>
      <c r="N375" s="34" t="s">
        <v>61</v>
      </c>
      <c r="O375" s="33" t="n">
        <f>374000</f>
        <v>374000.0</v>
      </c>
      <c r="P375" s="34" t="s">
        <v>225</v>
      </c>
      <c r="Q375" s="33" t="n">
        <f>383000</f>
        <v>383000.0</v>
      </c>
      <c r="R375" s="34" t="s">
        <v>51</v>
      </c>
      <c r="S375" s="35" t="n">
        <f>380425</f>
        <v>380425.0</v>
      </c>
      <c r="T375" s="32" t="n">
        <f>31541</f>
        <v>31541.0</v>
      </c>
      <c r="U375" s="32" t="n">
        <f>4995</f>
        <v>4995.0</v>
      </c>
      <c r="V375" s="32" t="n">
        <f>11989391691</f>
        <v>1.1989391691E10</v>
      </c>
      <c r="W375" s="32" t="n">
        <f>1898139191</f>
        <v>1.898139191E9</v>
      </c>
      <c r="X375" s="36" t="n">
        <f>20</f>
        <v>20.0</v>
      </c>
    </row>
    <row r="376">
      <c r="A376" s="27" t="s">
        <v>42</v>
      </c>
      <c r="B376" s="27" t="s">
        <v>1171</v>
      </c>
      <c r="C376" s="27" t="s">
        <v>1172</v>
      </c>
      <c r="D376" s="27" t="s">
        <v>1173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159700</f>
        <v>159700.0</v>
      </c>
      <c r="L376" s="34" t="s">
        <v>48</v>
      </c>
      <c r="M376" s="33" t="n">
        <f>164400</f>
        <v>164400.0</v>
      </c>
      <c r="N376" s="34" t="s">
        <v>51</v>
      </c>
      <c r="O376" s="33" t="n">
        <f>158400</f>
        <v>158400.0</v>
      </c>
      <c r="P376" s="34" t="s">
        <v>48</v>
      </c>
      <c r="Q376" s="33" t="n">
        <f>164300</f>
        <v>164300.0</v>
      </c>
      <c r="R376" s="34" t="s">
        <v>51</v>
      </c>
      <c r="S376" s="35" t="n">
        <f>161410</f>
        <v>161410.0</v>
      </c>
      <c r="T376" s="32" t="n">
        <f>31397</f>
        <v>31397.0</v>
      </c>
      <c r="U376" s="32" t="n">
        <f>7511</f>
        <v>7511.0</v>
      </c>
      <c r="V376" s="32" t="n">
        <f>5067362834</f>
        <v>5.067362834E9</v>
      </c>
      <c r="W376" s="32" t="n">
        <f>1210758834</f>
        <v>1.210758834E9</v>
      </c>
      <c r="X376" s="36" t="n">
        <f>20</f>
        <v>20.0</v>
      </c>
    </row>
    <row r="377">
      <c r="A377" s="27" t="s">
        <v>42</v>
      </c>
      <c r="B377" s="27" t="s">
        <v>1174</v>
      </c>
      <c r="C377" s="27" t="s">
        <v>1175</v>
      </c>
      <c r="D377" s="27" t="s">
        <v>1176</v>
      </c>
      <c r="E377" s="28" t="s">
        <v>46</v>
      </c>
      <c r="F377" s="29" t="s">
        <v>46</v>
      </c>
      <c r="G377" s="30" t="s">
        <v>46</v>
      </c>
      <c r="H377" s="31"/>
      <c r="I377" s="31" t="s">
        <v>556</v>
      </c>
      <c r="J377" s="32" t="n">
        <v>1.0</v>
      </c>
      <c r="K377" s="33" t="n">
        <f>116600</f>
        <v>116600.0</v>
      </c>
      <c r="L377" s="34" t="s">
        <v>48</v>
      </c>
      <c r="M377" s="33" t="n">
        <f>119100</f>
        <v>119100.0</v>
      </c>
      <c r="N377" s="34" t="s">
        <v>61</v>
      </c>
      <c r="O377" s="33" t="n">
        <f>115800</f>
        <v>115800.0</v>
      </c>
      <c r="P377" s="34" t="s">
        <v>103</v>
      </c>
      <c r="Q377" s="33" t="n">
        <f>117900</f>
        <v>117900.0</v>
      </c>
      <c r="R377" s="34" t="s">
        <v>51</v>
      </c>
      <c r="S377" s="35" t="n">
        <f>117630</f>
        <v>117630.0</v>
      </c>
      <c r="T377" s="32" t="n">
        <f>11253</f>
        <v>11253.0</v>
      </c>
      <c r="U377" s="32" t="n">
        <f>2048</f>
        <v>2048.0</v>
      </c>
      <c r="V377" s="32" t="n">
        <f>1322551333</f>
        <v>1.322551333E9</v>
      </c>
      <c r="W377" s="32" t="n">
        <f>240602133</f>
        <v>2.40602133E8</v>
      </c>
      <c r="X377" s="36" t="n">
        <f>20</f>
        <v>20.0</v>
      </c>
    </row>
    <row r="378">
      <c r="A378" s="27" t="s">
        <v>42</v>
      </c>
      <c r="B378" s="27" t="s">
        <v>1177</v>
      </c>
      <c r="C378" s="27" t="s">
        <v>1178</v>
      </c>
      <c r="D378" s="27" t="s">
        <v>1179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99300</f>
        <v>99300.0</v>
      </c>
      <c r="L378" s="34" t="s">
        <v>48</v>
      </c>
      <c r="M378" s="33" t="n">
        <f>101500</f>
        <v>101500.0</v>
      </c>
      <c r="N378" s="34" t="s">
        <v>51</v>
      </c>
      <c r="O378" s="33" t="n">
        <f>96300</f>
        <v>96300.0</v>
      </c>
      <c r="P378" s="34" t="s">
        <v>103</v>
      </c>
      <c r="Q378" s="33" t="n">
        <f>101500</f>
        <v>101500.0</v>
      </c>
      <c r="R378" s="34" t="s">
        <v>51</v>
      </c>
      <c r="S378" s="35" t="n">
        <f>98910</f>
        <v>98910.0</v>
      </c>
      <c r="T378" s="32" t="n">
        <f>65929</f>
        <v>65929.0</v>
      </c>
      <c r="U378" s="32" t="n">
        <f>10333</f>
        <v>10333.0</v>
      </c>
      <c r="V378" s="32" t="n">
        <f>6542141941</f>
        <v>6.542141941E9</v>
      </c>
      <c r="W378" s="32" t="n">
        <f>1029404041</f>
        <v>1.029404041E9</v>
      </c>
      <c r="X378" s="36" t="n">
        <f>20</f>
        <v>20.0</v>
      </c>
    </row>
    <row r="379">
      <c r="A379" s="27" t="s">
        <v>42</v>
      </c>
      <c r="B379" s="27" t="s">
        <v>1180</v>
      </c>
      <c r="C379" s="27" t="s">
        <v>1181</v>
      </c>
      <c r="D379" s="27" t="s">
        <v>1182</v>
      </c>
      <c r="E379" s="28" t="s">
        <v>46</v>
      </c>
      <c r="F379" s="29" t="s">
        <v>46</v>
      </c>
      <c r="G379" s="30" t="s">
        <v>46</v>
      </c>
      <c r="H379" s="31"/>
      <c r="I379" s="31" t="s">
        <v>556</v>
      </c>
      <c r="J379" s="32" t="n">
        <v>1.0</v>
      </c>
      <c r="K379" s="33" t="n">
        <f>124700</f>
        <v>124700.0</v>
      </c>
      <c r="L379" s="34" t="s">
        <v>48</v>
      </c>
      <c r="M379" s="33" t="n">
        <f>129600</f>
        <v>129600.0</v>
      </c>
      <c r="N379" s="34" t="s">
        <v>89</v>
      </c>
      <c r="O379" s="33" t="n">
        <f>123300</f>
        <v>123300.0</v>
      </c>
      <c r="P379" s="34" t="s">
        <v>50</v>
      </c>
      <c r="Q379" s="33" t="n">
        <f>128700</f>
        <v>128700.0</v>
      </c>
      <c r="R379" s="34" t="s">
        <v>51</v>
      </c>
      <c r="S379" s="35" t="n">
        <f>126050</f>
        <v>126050.0</v>
      </c>
      <c r="T379" s="32" t="n">
        <f>36150</f>
        <v>36150.0</v>
      </c>
      <c r="U379" s="32" t="n">
        <f>6338</f>
        <v>6338.0</v>
      </c>
      <c r="V379" s="32" t="n">
        <f>4554295211</f>
        <v>4.554295211E9</v>
      </c>
      <c r="W379" s="32" t="n">
        <f>796530611</f>
        <v>7.96530611E8</v>
      </c>
      <c r="X379" s="36" t="n">
        <f>20</f>
        <v>20.0</v>
      </c>
    </row>
    <row r="380">
      <c r="A380" s="27" t="s">
        <v>42</v>
      </c>
      <c r="B380" s="27" t="s">
        <v>1183</v>
      </c>
      <c r="C380" s="27" t="s">
        <v>1184</v>
      </c>
      <c r="D380" s="27" t="s">
        <v>1185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611000</f>
        <v>611000.0</v>
      </c>
      <c r="L380" s="34" t="s">
        <v>48</v>
      </c>
      <c r="M380" s="33" t="n">
        <f>624000</f>
        <v>624000.0</v>
      </c>
      <c r="N380" s="34" t="s">
        <v>241</v>
      </c>
      <c r="O380" s="33" t="n">
        <f>600000</f>
        <v>600000.0</v>
      </c>
      <c r="P380" s="34" t="s">
        <v>103</v>
      </c>
      <c r="Q380" s="33" t="n">
        <f>621000</f>
        <v>621000.0</v>
      </c>
      <c r="R380" s="34" t="s">
        <v>51</v>
      </c>
      <c r="S380" s="35" t="n">
        <f>611750</f>
        <v>611750.0</v>
      </c>
      <c r="T380" s="32" t="n">
        <f>116938</f>
        <v>116938.0</v>
      </c>
      <c r="U380" s="32" t="n">
        <f>33844</f>
        <v>33844.0</v>
      </c>
      <c r="V380" s="32" t="n">
        <f>71562274441</f>
        <v>7.1562274441E10</v>
      </c>
      <c r="W380" s="32" t="n">
        <f>20712549441</f>
        <v>2.0712549441E10</v>
      </c>
      <c r="X380" s="36" t="n">
        <f>20</f>
        <v>20.0</v>
      </c>
    </row>
    <row r="381">
      <c r="A381" s="27" t="s">
        <v>42</v>
      </c>
      <c r="B381" s="27" t="s">
        <v>1186</v>
      </c>
      <c r="C381" s="27" t="s">
        <v>1187</v>
      </c>
      <c r="D381" s="27" t="s">
        <v>1188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567000</f>
        <v>567000.0</v>
      </c>
      <c r="L381" s="34" t="s">
        <v>48</v>
      </c>
      <c r="M381" s="33" t="n">
        <f>580000</f>
        <v>580000.0</v>
      </c>
      <c r="N381" s="34" t="s">
        <v>49</v>
      </c>
      <c r="O381" s="33" t="n">
        <f>556000</f>
        <v>556000.0</v>
      </c>
      <c r="P381" s="34" t="s">
        <v>103</v>
      </c>
      <c r="Q381" s="33" t="n">
        <f>575000</f>
        <v>575000.0</v>
      </c>
      <c r="R381" s="34" t="s">
        <v>51</v>
      </c>
      <c r="S381" s="35" t="n">
        <f>567950</f>
        <v>567950.0</v>
      </c>
      <c r="T381" s="32" t="n">
        <f>108747</f>
        <v>108747.0</v>
      </c>
      <c r="U381" s="32" t="n">
        <f>23719</f>
        <v>23719.0</v>
      </c>
      <c r="V381" s="32" t="n">
        <f>61744797016</f>
        <v>6.1744797016E10</v>
      </c>
      <c r="W381" s="32" t="n">
        <f>13461930016</f>
        <v>1.3461930016E10</v>
      </c>
      <c r="X381" s="36" t="n">
        <f>20</f>
        <v>20.0</v>
      </c>
    </row>
    <row r="382">
      <c r="A382" s="27" t="s">
        <v>42</v>
      </c>
      <c r="B382" s="27" t="s">
        <v>1189</v>
      </c>
      <c r="C382" s="27" t="s">
        <v>1190</v>
      </c>
      <c r="D382" s="27" t="s">
        <v>1191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98800</f>
        <v>98800.0</v>
      </c>
      <c r="L382" s="34" t="s">
        <v>48</v>
      </c>
      <c r="M382" s="33" t="n">
        <f>101000</f>
        <v>101000.0</v>
      </c>
      <c r="N382" s="34" t="s">
        <v>79</v>
      </c>
      <c r="O382" s="33" t="n">
        <f>96200</f>
        <v>96200.0</v>
      </c>
      <c r="P382" s="34" t="s">
        <v>51</v>
      </c>
      <c r="Q382" s="33" t="n">
        <f>98500</f>
        <v>98500.0</v>
      </c>
      <c r="R382" s="34" t="s">
        <v>51</v>
      </c>
      <c r="S382" s="35" t="n">
        <f>98305</f>
        <v>98305.0</v>
      </c>
      <c r="T382" s="32" t="n">
        <f>500846</f>
        <v>500846.0</v>
      </c>
      <c r="U382" s="32" t="n">
        <f>176429</f>
        <v>176429.0</v>
      </c>
      <c r="V382" s="32" t="n">
        <f>49270556973</f>
        <v>4.9270556973E10</v>
      </c>
      <c r="W382" s="32" t="n">
        <f>17349113673</f>
        <v>1.7349113673E10</v>
      </c>
      <c r="X382" s="36" t="n">
        <f>20</f>
        <v>20.0</v>
      </c>
    </row>
    <row r="383">
      <c r="A383" s="27" t="s">
        <v>42</v>
      </c>
      <c r="B383" s="27" t="s">
        <v>1192</v>
      </c>
      <c r="C383" s="27" t="s">
        <v>1193</v>
      </c>
      <c r="D383" s="27" t="s">
        <v>1194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175200</f>
        <v>175200.0</v>
      </c>
      <c r="L383" s="34" t="s">
        <v>48</v>
      </c>
      <c r="M383" s="33" t="n">
        <f>178700</f>
        <v>178700.0</v>
      </c>
      <c r="N383" s="34" t="s">
        <v>61</v>
      </c>
      <c r="O383" s="33" t="n">
        <f>168700</f>
        <v>168700.0</v>
      </c>
      <c r="P383" s="34" t="s">
        <v>103</v>
      </c>
      <c r="Q383" s="33" t="n">
        <f>174400</f>
        <v>174400.0</v>
      </c>
      <c r="R383" s="34" t="s">
        <v>51</v>
      </c>
      <c r="S383" s="35" t="n">
        <f>172460</f>
        <v>172460.0</v>
      </c>
      <c r="T383" s="32" t="n">
        <f>181234</f>
        <v>181234.0</v>
      </c>
      <c r="U383" s="32" t="n">
        <f>49191</f>
        <v>49191.0</v>
      </c>
      <c r="V383" s="32" t="n">
        <f>31294260844</f>
        <v>3.1294260844E10</v>
      </c>
      <c r="W383" s="32" t="n">
        <f>8484624844</f>
        <v>8.484624844E9</v>
      </c>
      <c r="X383" s="36" t="n">
        <f>20</f>
        <v>20.0</v>
      </c>
    </row>
    <row r="384">
      <c r="A384" s="27" t="s">
        <v>42</v>
      </c>
      <c r="B384" s="27" t="s">
        <v>1195</v>
      </c>
      <c r="C384" s="27" t="s">
        <v>1196</v>
      </c>
      <c r="D384" s="27" t="s">
        <v>1197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357500</f>
        <v>357500.0</v>
      </c>
      <c r="L384" s="34" t="s">
        <v>48</v>
      </c>
      <c r="M384" s="33" t="n">
        <f>371000</f>
        <v>371000.0</v>
      </c>
      <c r="N384" s="34" t="s">
        <v>51</v>
      </c>
      <c r="O384" s="33" t="n">
        <f>343500</f>
        <v>343500.0</v>
      </c>
      <c r="P384" s="34" t="s">
        <v>225</v>
      </c>
      <c r="Q384" s="33" t="n">
        <f>371000</f>
        <v>371000.0</v>
      </c>
      <c r="R384" s="34" t="s">
        <v>51</v>
      </c>
      <c r="S384" s="35" t="n">
        <f>354900</f>
        <v>354900.0</v>
      </c>
      <c r="T384" s="32" t="n">
        <f>77065</f>
        <v>77065.0</v>
      </c>
      <c r="U384" s="32" t="n">
        <f>25352</f>
        <v>25352.0</v>
      </c>
      <c r="V384" s="32" t="n">
        <f>27544002037</f>
        <v>2.7544002037E10</v>
      </c>
      <c r="W384" s="32" t="n">
        <f>9115040037</f>
        <v>9.115040037E9</v>
      </c>
      <c r="X384" s="36" t="n">
        <f>20</f>
        <v>20.0</v>
      </c>
    </row>
    <row r="385">
      <c r="A385" s="27" t="s">
        <v>42</v>
      </c>
      <c r="B385" s="27" t="s">
        <v>1198</v>
      </c>
      <c r="C385" s="27" t="s">
        <v>1199</v>
      </c>
      <c r="D385" s="27" t="s">
        <v>1200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125700</f>
        <v>125700.0</v>
      </c>
      <c r="L385" s="34" t="s">
        <v>48</v>
      </c>
      <c r="M385" s="33" t="n">
        <f>131800</f>
        <v>131800.0</v>
      </c>
      <c r="N385" s="34" t="s">
        <v>531</v>
      </c>
      <c r="O385" s="33" t="n">
        <f>125000</f>
        <v>125000.0</v>
      </c>
      <c r="P385" s="34" t="s">
        <v>116</v>
      </c>
      <c r="Q385" s="33" t="n">
        <f>127500</f>
        <v>127500.0</v>
      </c>
      <c r="R385" s="34" t="s">
        <v>51</v>
      </c>
      <c r="S385" s="35" t="n">
        <f>128325</f>
        <v>128325.0</v>
      </c>
      <c r="T385" s="32" t="n">
        <f>164973</f>
        <v>164973.0</v>
      </c>
      <c r="U385" s="32" t="n">
        <f>32340</f>
        <v>32340.0</v>
      </c>
      <c r="V385" s="32" t="n">
        <f>21046393699</f>
        <v>2.1046393699E10</v>
      </c>
      <c r="W385" s="32" t="n">
        <f>4134209399</f>
        <v>4.134209399E9</v>
      </c>
      <c r="X385" s="36" t="n">
        <f>20</f>
        <v>20.0</v>
      </c>
    </row>
    <row r="386">
      <c r="A386" s="27" t="s">
        <v>42</v>
      </c>
      <c r="B386" s="27" t="s">
        <v>1201</v>
      </c>
      <c r="C386" s="27" t="s">
        <v>1202</v>
      </c>
      <c r="D386" s="27" t="s">
        <v>1203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181000</f>
        <v>181000.0</v>
      </c>
      <c r="L386" s="34" t="s">
        <v>48</v>
      </c>
      <c r="M386" s="33" t="n">
        <f>183100</f>
        <v>183100.0</v>
      </c>
      <c r="N386" s="34" t="s">
        <v>48</v>
      </c>
      <c r="O386" s="33" t="n">
        <f>176600</f>
        <v>176600.0</v>
      </c>
      <c r="P386" s="34" t="s">
        <v>218</v>
      </c>
      <c r="Q386" s="33" t="n">
        <f>180400</f>
        <v>180400.0</v>
      </c>
      <c r="R386" s="34" t="s">
        <v>51</v>
      </c>
      <c r="S386" s="35" t="n">
        <f>179505</f>
        <v>179505.0</v>
      </c>
      <c r="T386" s="32" t="n">
        <f>43507</f>
        <v>43507.0</v>
      </c>
      <c r="U386" s="32" t="n">
        <f>10900</f>
        <v>10900.0</v>
      </c>
      <c r="V386" s="32" t="n">
        <f>7810260556</f>
        <v>7.810260556E9</v>
      </c>
      <c r="W386" s="32" t="n">
        <f>1955352656</f>
        <v>1.955352656E9</v>
      </c>
      <c r="X386" s="36" t="n">
        <f>20</f>
        <v>20.0</v>
      </c>
    </row>
    <row r="387">
      <c r="A387" s="27" t="s">
        <v>42</v>
      </c>
      <c r="B387" s="27" t="s">
        <v>1204</v>
      </c>
      <c r="C387" s="27" t="s">
        <v>1205</v>
      </c>
      <c r="D387" s="27" t="s">
        <v>1206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115200</f>
        <v>115200.0</v>
      </c>
      <c r="L387" s="34" t="s">
        <v>48</v>
      </c>
      <c r="M387" s="33" t="n">
        <f>116200</f>
        <v>116200.0</v>
      </c>
      <c r="N387" s="34" t="s">
        <v>48</v>
      </c>
      <c r="O387" s="33" t="n">
        <f>109500</f>
        <v>109500.0</v>
      </c>
      <c r="P387" s="34" t="s">
        <v>69</v>
      </c>
      <c r="Q387" s="33" t="n">
        <f>114800</f>
        <v>114800.0</v>
      </c>
      <c r="R387" s="34" t="s">
        <v>51</v>
      </c>
      <c r="S387" s="35" t="n">
        <f>112135</f>
        <v>112135.0</v>
      </c>
      <c r="T387" s="32" t="n">
        <f>78076</f>
        <v>78076.0</v>
      </c>
      <c r="U387" s="32" t="n">
        <f>15550</f>
        <v>15550.0</v>
      </c>
      <c r="V387" s="32" t="n">
        <f>8773470539</f>
        <v>8.773470539E9</v>
      </c>
      <c r="W387" s="32" t="n">
        <f>1751666539</f>
        <v>1.751666539E9</v>
      </c>
      <c r="X387" s="36" t="n">
        <f>20</f>
        <v>20.0</v>
      </c>
    </row>
    <row r="388">
      <c r="A388" s="27" t="s">
        <v>42</v>
      </c>
      <c r="B388" s="27" t="s">
        <v>1207</v>
      </c>
      <c r="C388" s="27" t="s">
        <v>1208</v>
      </c>
      <c r="D388" s="27" t="s">
        <v>1209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152600</f>
        <v>152600.0</v>
      </c>
      <c r="L388" s="34" t="s">
        <v>48</v>
      </c>
      <c r="M388" s="33" t="n">
        <f>155300</f>
        <v>155300.0</v>
      </c>
      <c r="N388" s="34" t="s">
        <v>61</v>
      </c>
      <c r="O388" s="33" t="n">
        <f>143800</f>
        <v>143800.0</v>
      </c>
      <c r="P388" s="34" t="s">
        <v>51</v>
      </c>
      <c r="Q388" s="33" t="n">
        <f>145000</f>
        <v>145000.0</v>
      </c>
      <c r="R388" s="34" t="s">
        <v>51</v>
      </c>
      <c r="S388" s="35" t="n">
        <f>151250</f>
        <v>151250.0</v>
      </c>
      <c r="T388" s="32" t="n">
        <f>163396</f>
        <v>163396.0</v>
      </c>
      <c r="U388" s="32" t="n">
        <f>33865</f>
        <v>33865.0</v>
      </c>
      <c r="V388" s="32" t="n">
        <f>24637411615</f>
        <v>2.4637411615E10</v>
      </c>
      <c r="W388" s="32" t="n">
        <f>5113056815</f>
        <v>5.113056815E9</v>
      </c>
      <c r="X388" s="36" t="n">
        <f>20</f>
        <v>20.0</v>
      </c>
    </row>
    <row r="389">
      <c r="A389" s="27" t="s">
        <v>42</v>
      </c>
      <c r="B389" s="27" t="s">
        <v>1210</v>
      </c>
      <c r="C389" s="27" t="s">
        <v>1211</v>
      </c>
      <c r="D389" s="27" t="s">
        <v>1212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73700</f>
        <v>73700.0</v>
      </c>
      <c r="L389" s="34" t="s">
        <v>48</v>
      </c>
      <c r="M389" s="33" t="n">
        <f>75800</f>
        <v>75800.0</v>
      </c>
      <c r="N389" s="34" t="s">
        <v>61</v>
      </c>
      <c r="O389" s="33" t="n">
        <f>72100</f>
        <v>72100.0</v>
      </c>
      <c r="P389" s="34" t="s">
        <v>51</v>
      </c>
      <c r="Q389" s="33" t="n">
        <f>73700</f>
        <v>73700.0</v>
      </c>
      <c r="R389" s="34" t="s">
        <v>51</v>
      </c>
      <c r="S389" s="35" t="n">
        <f>73575</f>
        <v>73575.0</v>
      </c>
      <c r="T389" s="32" t="n">
        <f>98770</f>
        <v>98770.0</v>
      </c>
      <c r="U389" s="32" t="n">
        <f>22170</f>
        <v>22170.0</v>
      </c>
      <c r="V389" s="32" t="n">
        <f>7271062690</f>
        <v>7.27106269E9</v>
      </c>
      <c r="W389" s="32" t="n">
        <f>1632818190</f>
        <v>1.63281819E9</v>
      </c>
      <c r="X389" s="36" t="n">
        <f>20</f>
        <v>20.0</v>
      </c>
    </row>
    <row r="390">
      <c r="A390" s="27" t="s">
        <v>42</v>
      </c>
      <c r="B390" s="27" t="s">
        <v>1213</v>
      </c>
      <c r="C390" s="27" t="s">
        <v>1214</v>
      </c>
      <c r="D390" s="27" t="s">
        <v>1215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58800</f>
        <v>58800.0</v>
      </c>
      <c r="L390" s="34" t="s">
        <v>48</v>
      </c>
      <c r="M390" s="33" t="n">
        <f>61100</f>
        <v>61100.0</v>
      </c>
      <c r="N390" s="34" t="s">
        <v>132</v>
      </c>
      <c r="O390" s="33" t="n">
        <f>55500</f>
        <v>55500.0</v>
      </c>
      <c r="P390" s="34" t="s">
        <v>103</v>
      </c>
      <c r="Q390" s="33" t="n">
        <f>60000</f>
        <v>60000.0</v>
      </c>
      <c r="R390" s="34" t="s">
        <v>51</v>
      </c>
      <c r="S390" s="35" t="n">
        <f>58915</f>
        <v>58915.0</v>
      </c>
      <c r="T390" s="32" t="n">
        <f>604546</f>
        <v>604546.0</v>
      </c>
      <c r="U390" s="32" t="n">
        <f>206671</f>
        <v>206671.0</v>
      </c>
      <c r="V390" s="32" t="n">
        <f>35411759801</f>
        <v>3.5411759801E10</v>
      </c>
      <c r="W390" s="32" t="n">
        <f>12100436201</f>
        <v>1.2100436201E10</v>
      </c>
      <c r="X390" s="36" t="n">
        <f>20</f>
        <v>20.0</v>
      </c>
    </row>
    <row r="391">
      <c r="A391" s="27" t="s">
        <v>42</v>
      </c>
      <c r="B391" s="27" t="s">
        <v>1216</v>
      </c>
      <c r="C391" s="27" t="s">
        <v>1217</v>
      </c>
      <c r="D391" s="27" t="s">
        <v>1218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455500</f>
        <v>455500.0</v>
      </c>
      <c r="L391" s="34" t="s">
        <v>48</v>
      </c>
      <c r="M391" s="33" t="n">
        <f>459000</f>
        <v>459000.0</v>
      </c>
      <c r="N391" s="34" t="s">
        <v>79</v>
      </c>
      <c r="O391" s="33" t="n">
        <f>447000</f>
        <v>447000.0</v>
      </c>
      <c r="P391" s="34" t="s">
        <v>51</v>
      </c>
      <c r="Q391" s="33" t="n">
        <f>453500</f>
        <v>453500.0</v>
      </c>
      <c r="R391" s="34" t="s">
        <v>51</v>
      </c>
      <c r="S391" s="35" t="n">
        <f>452425</f>
        <v>452425.0</v>
      </c>
      <c r="T391" s="32" t="n">
        <f>22299</f>
        <v>22299.0</v>
      </c>
      <c r="U391" s="32" t="n">
        <f>4417</f>
        <v>4417.0</v>
      </c>
      <c r="V391" s="32" t="n">
        <f>10100048555</f>
        <v>1.0100048555E10</v>
      </c>
      <c r="W391" s="32" t="n">
        <f>2001180555</f>
        <v>2.001180555E9</v>
      </c>
      <c r="X391" s="36" t="n">
        <f>20</f>
        <v>20.0</v>
      </c>
    </row>
    <row r="392">
      <c r="A392" s="27" t="s">
        <v>42</v>
      </c>
      <c r="B392" s="27" t="s">
        <v>1219</v>
      </c>
      <c r="C392" s="27" t="s">
        <v>1220</v>
      </c>
      <c r="D392" s="27" t="s">
        <v>1221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142800</f>
        <v>142800.0</v>
      </c>
      <c r="L392" s="34" t="s">
        <v>48</v>
      </c>
      <c r="M392" s="33" t="n">
        <f>144800</f>
        <v>144800.0</v>
      </c>
      <c r="N392" s="34" t="s">
        <v>61</v>
      </c>
      <c r="O392" s="33" t="n">
        <f>134700</f>
        <v>134700.0</v>
      </c>
      <c r="P392" s="34" t="s">
        <v>51</v>
      </c>
      <c r="Q392" s="33" t="n">
        <f>135400</f>
        <v>135400.0</v>
      </c>
      <c r="R392" s="34" t="s">
        <v>51</v>
      </c>
      <c r="S392" s="35" t="n">
        <f>140605</f>
        <v>140605.0</v>
      </c>
      <c r="T392" s="32" t="n">
        <f>79265</f>
        <v>79265.0</v>
      </c>
      <c r="U392" s="32" t="n">
        <f>14308</f>
        <v>14308.0</v>
      </c>
      <c r="V392" s="32" t="n">
        <f>11099423805</f>
        <v>1.1099423805E10</v>
      </c>
      <c r="W392" s="32" t="n">
        <f>2013073805</f>
        <v>2.013073805E9</v>
      </c>
      <c r="X392" s="36" t="n">
        <f>20</f>
        <v>20.0</v>
      </c>
    </row>
    <row r="393">
      <c r="A393" s="27" t="s">
        <v>42</v>
      </c>
      <c r="B393" s="27" t="s">
        <v>1222</v>
      </c>
      <c r="C393" s="27" t="s">
        <v>1223</v>
      </c>
      <c r="D393" s="27" t="s">
        <v>1224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281900</f>
        <v>281900.0</v>
      </c>
      <c r="L393" s="34" t="s">
        <v>48</v>
      </c>
      <c r="M393" s="33" t="n">
        <f>293400</f>
        <v>293400.0</v>
      </c>
      <c r="N393" s="34" t="s">
        <v>89</v>
      </c>
      <c r="O393" s="33" t="n">
        <f>279300</f>
        <v>279300.0</v>
      </c>
      <c r="P393" s="34" t="s">
        <v>48</v>
      </c>
      <c r="Q393" s="33" t="n">
        <f>288500</f>
        <v>288500.0</v>
      </c>
      <c r="R393" s="34" t="s">
        <v>51</v>
      </c>
      <c r="S393" s="35" t="n">
        <f>286490</f>
        <v>286490.0</v>
      </c>
      <c r="T393" s="32" t="n">
        <f>40371</f>
        <v>40371.0</v>
      </c>
      <c r="U393" s="32" t="n">
        <f>8814</f>
        <v>8814.0</v>
      </c>
      <c r="V393" s="32" t="n">
        <f>11547664882</f>
        <v>1.1547664882E10</v>
      </c>
      <c r="W393" s="32" t="n">
        <f>2514728382</f>
        <v>2.514728382E9</v>
      </c>
      <c r="X393" s="36" t="n">
        <f>20</f>
        <v>20.0</v>
      </c>
    </row>
    <row r="394">
      <c r="A394" s="27" t="s">
        <v>42</v>
      </c>
      <c r="B394" s="27" t="s">
        <v>1225</v>
      </c>
      <c r="C394" s="27" t="s">
        <v>1226</v>
      </c>
      <c r="D394" s="27" t="s">
        <v>1227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163000</f>
        <v>163000.0</v>
      </c>
      <c r="L394" s="34" t="s">
        <v>48</v>
      </c>
      <c r="M394" s="33" t="n">
        <f>168400</f>
        <v>168400.0</v>
      </c>
      <c r="N394" s="34" t="s">
        <v>293</v>
      </c>
      <c r="O394" s="33" t="n">
        <f>160100</f>
        <v>160100.0</v>
      </c>
      <c r="P394" s="34" t="s">
        <v>103</v>
      </c>
      <c r="Q394" s="33" t="n">
        <f>166400</f>
        <v>166400.0</v>
      </c>
      <c r="R394" s="34" t="s">
        <v>51</v>
      </c>
      <c r="S394" s="35" t="n">
        <f>163955</f>
        <v>163955.0</v>
      </c>
      <c r="T394" s="32" t="n">
        <f>28596</f>
        <v>28596.0</v>
      </c>
      <c r="U394" s="32" t="n">
        <f>5406</f>
        <v>5406.0</v>
      </c>
      <c r="V394" s="32" t="n">
        <f>4690441293</f>
        <v>4.690441293E9</v>
      </c>
      <c r="W394" s="32" t="n">
        <f>883842393</f>
        <v>8.83842393E8</v>
      </c>
      <c r="X394" s="36" t="n">
        <f>20</f>
        <v>20.0</v>
      </c>
    </row>
    <row r="395">
      <c r="A395" s="27" t="s">
        <v>42</v>
      </c>
      <c r="B395" s="27" t="s">
        <v>1228</v>
      </c>
      <c r="C395" s="27" t="s">
        <v>1229</v>
      </c>
      <c r="D395" s="27" t="s">
        <v>1230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159400</f>
        <v>159400.0</v>
      </c>
      <c r="L395" s="34" t="s">
        <v>48</v>
      </c>
      <c r="M395" s="33" t="n">
        <f>169600</f>
        <v>169600.0</v>
      </c>
      <c r="N395" s="34" t="s">
        <v>69</v>
      </c>
      <c r="O395" s="33" t="n">
        <f>158500</f>
        <v>158500.0</v>
      </c>
      <c r="P395" s="34" t="s">
        <v>225</v>
      </c>
      <c r="Q395" s="33" t="n">
        <f>169500</f>
        <v>169500.0</v>
      </c>
      <c r="R395" s="34" t="s">
        <v>51</v>
      </c>
      <c r="S395" s="35" t="n">
        <f>164640</f>
        <v>164640.0</v>
      </c>
      <c r="T395" s="32" t="n">
        <f>501367</f>
        <v>501367.0</v>
      </c>
      <c r="U395" s="32" t="n">
        <f>109486</f>
        <v>109486.0</v>
      </c>
      <c r="V395" s="32" t="n">
        <f>82720703104</f>
        <v>8.2720703104E10</v>
      </c>
      <c r="W395" s="32" t="n">
        <f>17998664204</f>
        <v>1.7998664204E10</v>
      </c>
      <c r="X395" s="36" t="n">
        <f>20</f>
        <v>20.0</v>
      </c>
    </row>
    <row r="396">
      <c r="A396" s="27" t="s">
        <v>42</v>
      </c>
      <c r="B396" s="27" t="s">
        <v>1231</v>
      </c>
      <c r="C396" s="27" t="s">
        <v>1232</v>
      </c>
      <c r="D396" s="27" t="s">
        <v>1233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84900</f>
        <v>84900.0</v>
      </c>
      <c r="L396" s="34" t="s">
        <v>48</v>
      </c>
      <c r="M396" s="33" t="n">
        <f>86300</f>
        <v>86300.0</v>
      </c>
      <c r="N396" s="34" t="s">
        <v>61</v>
      </c>
      <c r="O396" s="33" t="n">
        <f>82900</f>
        <v>82900.0</v>
      </c>
      <c r="P396" s="34" t="s">
        <v>51</v>
      </c>
      <c r="Q396" s="33" t="n">
        <f>84800</f>
        <v>84800.0</v>
      </c>
      <c r="R396" s="34" t="s">
        <v>51</v>
      </c>
      <c r="S396" s="35" t="n">
        <f>84615</f>
        <v>84615.0</v>
      </c>
      <c r="T396" s="32" t="n">
        <f>104303</f>
        <v>104303.0</v>
      </c>
      <c r="U396" s="32" t="n">
        <f>30805</f>
        <v>30805.0</v>
      </c>
      <c r="V396" s="32" t="n">
        <f>8829861488</f>
        <v>8.829861488E9</v>
      </c>
      <c r="W396" s="32" t="n">
        <f>2608634988</f>
        <v>2.608634988E9</v>
      </c>
      <c r="X396" s="36" t="n">
        <f>20</f>
        <v>20.0</v>
      </c>
    </row>
    <row r="397">
      <c r="A397" s="27" t="s">
        <v>42</v>
      </c>
      <c r="B397" s="27" t="s">
        <v>1234</v>
      </c>
      <c r="C397" s="27" t="s">
        <v>1235</v>
      </c>
      <c r="D397" s="27" t="s">
        <v>1236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668000</f>
        <v>668000.0</v>
      </c>
      <c r="L397" s="34" t="s">
        <v>48</v>
      </c>
      <c r="M397" s="33" t="n">
        <f>694000</f>
        <v>694000.0</v>
      </c>
      <c r="N397" s="34" t="s">
        <v>62</v>
      </c>
      <c r="O397" s="33" t="n">
        <f>647000</f>
        <v>647000.0</v>
      </c>
      <c r="P397" s="34" t="s">
        <v>103</v>
      </c>
      <c r="Q397" s="33" t="n">
        <f>677000</f>
        <v>677000.0</v>
      </c>
      <c r="R397" s="34" t="s">
        <v>51</v>
      </c>
      <c r="S397" s="35" t="n">
        <f>669300</f>
        <v>669300.0</v>
      </c>
      <c r="T397" s="32" t="n">
        <f>26539</f>
        <v>26539.0</v>
      </c>
      <c r="U397" s="32" t="n">
        <f>6486</f>
        <v>6486.0</v>
      </c>
      <c r="V397" s="32" t="n">
        <f>17810797997</f>
        <v>1.7810797997E10</v>
      </c>
      <c r="W397" s="32" t="n">
        <f>4329508997</f>
        <v>4.329508997E9</v>
      </c>
      <c r="X397" s="36" t="n">
        <f>20</f>
        <v>20.0</v>
      </c>
    </row>
    <row r="398">
      <c r="A398" s="27" t="s">
        <v>42</v>
      </c>
      <c r="B398" s="27" t="s">
        <v>1237</v>
      </c>
      <c r="C398" s="27" t="s">
        <v>1238</v>
      </c>
      <c r="D398" s="27" t="s">
        <v>1239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143400</f>
        <v>143400.0</v>
      </c>
      <c r="L398" s="34" t="s">
        <v>48</v>
      </c>
      <c r="M398" s="33" t="n">
        <f>145000</f>
        <v>145000.0</v>
      </c>
      <c r="N398" s="34" t="s">
        <v>61</v>
      </c>
      <c r="O398" s="33" t="n">
        <f>139100</f>
        <v>139100.0</v>
      </c>
      <c r="P398" s="34" t="s">
        <v>51</v>
      </c>
      <c r="Q398" s="33" t="n">
        <f>141300</f>
        <v>141300.0</v>
      </c>
      <c r="R398" s="34" t="s">
        <v>51</v>
      </c>
      <c r="S398" s="35" t="n">
        <f>142495</f>
        <v>142495.0</v>
      </c>
      <c r="T398" s="32" t="n">
        <f>34772</f>
        <v>34772.0</v>
      </c>
      <c r="U398" s="32" t="n">
        <f>5628</f>
        <v>5628.0</v>
      </c>
      <c r="V398" s="32" t="n">
        <f>4957605053</f>
        <v>4.957605053E9</v>
      </c>
      <c r="W398" s="32" t="n">
        <f>802573953</f>
        <v>8.02573953E8</v>
      </c>
      <c r="X398" s="36" t="n">
        <f>20</f>
        <v>20.0</v>
      </c>
    </row>
    <row r="399">
      <c r="A399" s="27" t="s">
        <v>42</v>
      </c>
      <c r="B399" s="27" t="s">
        <v>1240</v>
      </c>
      <c r="C399" s="27" t="s">
        <v>1241</v>
      </c>
      <c r="D399" s="27" t="s">
        <v>1242</v>
      </c>
      <c r="E399" s="28" t="s">
        <v>46</v>
      </c>
      <c r="F399" s="29" t="s">
        <v>46</v>
      </c>
      <c r="G399" s="30" t="s">
        <v>46</v>
      </c>
      <c r="H399" s="31"/>
      <c r="I399" s="31" t="s">
        <v>556</v>
      </c>
      <c r="J399" s="32" t="n">
        <v>1.0</v>
      </c>
      <c r="K399" s="33" t="n">
        <f>210500</f>
        <v>210500.0</v>
      </c>
      <c r="L399" s="34" t="s">
        <v>48</v>
      </c>
      <c r="M399" s="33" t="n">
        <f>214900</f>
        <v>214900.0</v>
      </c>
      <c r="N399" s="34" t="s">
        <v>61</v>
      </c>
      <c r="O399" s="33" t="n">
        <f>201600</f>
        <v>201600.0</v>
      </c>
      <c r="P399" s="34" t="s">
        <v>225</v>
      </c>
      <c r="Q399" s="33" t="n">
        <f>205300</f>
        <v>205300.0</v>
      </c>
      <c r="R399" s="34" t="s">
        <v>51</v>
      </c>
      <c r="S399" s="35" t="n">
        <f>205635</f>
        <v>205635.0</v>
      </c>
      <c r="T399" s="32" t="n">
        <f>16325</f>
        <v>16325.0</v>
      </c>
      <c r="U399" s="32" t="n">
        <f>3583</f>
        <v>3583.0</v>
      </c>
      <c r="V399" s="32" t="n">
        <f>3372513834</f>
        <v>3.372513834E9</v>
      </c>
      <c r="W399" s="32" t="n">
        <f>739052134</f>
        <v>7.39052134E8</v>
      </c>
      <c r="X399" s="36" t="n">
        <f>20</f>
        <v>20.0</v>
      </c>
    </row>
    <row r="400">
      <c r="A400" s="27" t="s">
        <v>42</v>
      </c>
      <c r="B400" s="27" t="s">
        <v>1243</v>
      </c>
      <c r="C400" s="27" t="s">
        <v>1244</v>
      </c>
      <c r="D400" s="27" t="s">
        <v>1245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268400</f>
        <v>268400.0</v>
      </c>
      <c r="L400" s="34" t="s">
        <v>48</v>
      </c>
      <c r="M400" s="33" t="n">
        <f>277200</f>
        <v>277200.0</v>
      </c>
      <c r="N400" s="34" t="s">
        <v>531</v>
      </c>
      <c r="O400" s="33" t="n">
        <f>262800</f>
        <v>262800.0</v>
      </c>
      <c r="P400" s="34" t="s">
        <v>293</v>
      </c>
      <c r="Q400" s="33" t="n">
        <f>263800</f>
        <v>263800.0</v>
      </c>
      <c r="R400" s="34" t="s">
        <v>51</v>
      </c>
      <c r="S400" s="35" t="n">
        <f>271455</f>
        <v>271455.0</v>
      </c>
      <c r="T400" s="32" t="n">
        <f>168490</f>
        <v>168490.0</v>
      </c>
      <c r="U400" s="32" t="n">
        <f>32632</f>
        <v>32632.0</v>
      </c>
      <c r="V400" s="32" t="n">
        <f>45589317197</f>
        <v>4.5589317197E10</v>
      </c>
      <c r="W400" s="32" t="n">
        <f>8830975097</f>
        <v>8.830975097E9</v>
      </c>
      <c r="X400" s="36" t="n">
        <f>20</f>
        <v>20.0</v>
      </c>
    </row>
    <row r="401">
      <c r="A401" s="27" t="s">
        <v>42</v>
      </c>
      <c r="B401" s="27" t="s">
        <v>1246</v>
      </c>
      <c r="C401" s="27" t="s">
        <v>1247</v>
      </c>
      <c r="D401" s="27" t="s">
        <v>1248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69000</f>
        <v>69000.0</v>
      </c>
      <c r="L401" s="34" t="s">
        <v>48</v>
      </c>
      <c r="M401" s="33" t="n">
        <f>71600</f>
        <v>71600.0</v>
      </c>
      <c r="N401" s="34" t="s">
        <v>49</v>
      </c>
      <c r="O401" s="33" t="n">
        <f>65500</f>
        <v>65500.0</v>
      </c>
      <c r="P401" s="34" t="s">
        <v>531</v>
      </c>
      <c r="Q401" s="33" t="n">
        <f>69400</f>
        <v>69400.0</v>
      </c>
      <c r="R401" s="34" t="s">
        <v>51</v>
      </c>
      <c r="S401" s="35" t="n">
        <f>69040</f>
        <v>69040.0</v>
      </c>
      <c r="T401" s="32" t="n">
        <f>451852</f>
        <v>451852.0</v>
      </c>
      <c r="U401" s="32" t="n">
        <f>118258</f>
        <v>118258.0</v>
      </c>
      <c r="V401" s="32" t="n">
        <f>30941858760</f>
        <v>3.094185876E10</v>
      </c>
      <c r="W401" s="32" t="n">
        <f>8079993460</f>
        <v>8.07999346E9</v>
      </c>
      <c r="X401" s="36" t="n">
        <f>20</f>
        <v>20.0</v>
      </c>
    </row>
    <row r="402">
      <c r="A402" s="27" t="s">
        <v>42</v>
      </c>
      <c r="B402" s="27" t="s">
        <v>1249</v>
      </c>
      <c r="C402" s="27" t="s">
        <v>1250</v>
      </c>
      <c r="D402" s="27" t="s">
        <v>1251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112400</f>
        <v>112400.0</v>
      </c>
      <c r="L402" s="34" t="s">
        <v>48</v>
      </c>
      <c r="M402" s="33" t="n">
        <f>113300</f>
        <v>113300.0</v>
      </c>
      <c r="N402" s="34" t="s">
        <v>48</v>
      </c>
      <c r="O402" s="33" t="n">
        <f>106700</f>
        <v>106700.0</v>
      </c>
      <c r="P402" s="34" t="s">
        <v>89</v>
      </c>
      <c r="Q402" s="33" t="n">
        <f>109300</f>
        <v>109300.0</v>
      </c>
      <c r="R402" s="34" t="s">
        <v>51</v>
      </c>
      <c r="S402" s="35" t="n">
        <f>109185</f>
        <v>109185.0</v>
      </c>
      <c r="T402" s="32" t="n">
        <f>152800</f>
        <v>152800.0</v>
      </c>
      <c r="U402" s="32" t="n">
        <f>30532</f>
        <v>30532.0</v>
      </c>
      <c r="V402" s="32" t="n">
        <f>16743571675</f>
        <v>1.6743571675E10</v>
      </c>
      <c r="W402" s="32" t="n">
        <f>3346314675</f>
        <v>3.346314675E9</v>
      </c>
      <c r="X402" s="36" t="n">
        <f>20</f>
        <v>20.0</v>
      </c>
    </row>
    <row r="403">
      <c r="A403" s="27" t="s">
        <v>42</v>
      </c>
      <c r="B403" s="27" t="s">
        <v>1252</v>
      </c>
      <c r="C403" s="27" t="s">
        <v>1253</v>
      </c>
      <c r="D403" s="27" t="s">
        <v>1254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133400</f>
        <v>133400.0</v>
      </c>
      <c r="L403" s="34" t="s">
        <v>48</v>
      </c>
      <c r="M403" s="33" t="n">
        <f>141100</f>
        <v>141100.0</v>
      </c>
      <c r="N403" s="34" t="s">
        <v>51</v>
      </c>
      <c r="O403" s="33" t="n">
        <f>129800</f>
        <v>129800.0</v>
      </c>
      <c r="P403" s="34" t="s">
        <v>225</v>
      </c>
      <c r="Q403" s="33" t="n">
        <f>141100</f>
        <v>141100.0</v>
      </c>
      <c r="R403" s="34" t="s">
        <v>51</v>
      </c>
      <c r="S403" s="35" t="n">
        <f>132700</f>
        <v>132700.0</v>
      </c>
      <c r="T403" s="32" t="n">
        <f>96150</f>
        <v>96150.0</v>
      </c>
      <c r="U403" s="32" t="n">
        <f>24589</f>
        <v>24589.0</v>
      </c>
      <c r="V403" s="32" t="n">
        <f>12892338597</f>
        <v>1.2892338597E10</v>
      </c>
      <c r="W403" s="32" t="n">
        <f>3345406997</f>
        <v>3.345406997E9</v>
      </c>
      <c r="X403" s="36" t="n">
        <f>20</f>
        <v>20.0</v>
      </c>
    </row>
    <row r="404">
      <c r="A404" s="27" t="s">
        <v>42</v>
      </c>
      <c r="B404" s="27" t="s">
        <v>1255</v>
      </c>
      <c r="C404" s="27" t="s">
        <v>1256</v>
      </c>
      <c r="D404" s="27" t="s">
        <v>1257</v>
      </c>
      <c r="E404" s="28" t="s">
        <v>46</v>
      </c>
      <c r="F404" s="29" t="s">
        <v>46</v>
      </c>
      <c r="G404" s="30" t="s">
        <v>46</v>
      </c>
      <c r="H404" s="31"/>
      <c r="I404" s="31" t="s">
        <v>556</v>
      </c>
      <c r="J404" s="32" t="n">
        <v>1.0</v>
      </c>
      <c r="K404" s="33" t="n">
        <f>72000</f>
        <v>72000.0</v>
      </c>
      <c r="L404" s="34" t="s">
        <v>48</v>
      </c>
      <c r="M404" s="33" t="n">
        <f>72000</f>
        <v>72000.0</v>
      </c>
      <c r="N404" s="34" t="s">
        <v>48</v>
      </c>
      <c r="O404" s="33" t="n">
        <f>70800</f>
        <v>70800.0</v>
      </c>
      <c r="P404" s="34" t="s">
        <v>103</v>
      </c>
      <c r="Q404" s="33" t="n">
        <f>71600</f>
        <v>71600.0</v>
      </c>
      <c r="R404" s="34" t="s">
        <v>51</v>
      </c>
      <c r="S404" s="35" t="n">
        <f>71345</f>
        <v>71345.0</v>
      </c>
      <c r="T404" s="32" t="n">
        <f>1083</f>
        <v>1083.0</v>
      </c>
      <c r="U404" s="32" t="n">
        <f>2</f>
        <v>2.0</v>
      </c>
      <c r="V404" s="32" t="n">
        <f>77217400</f>
        <v>7.72174E7</v>
      </c>
      <c r="W404" s="32" t="n">
        <f>142600</f>
        <v>142600.0</v>
      </c>
      <c r="X404" s="36" t="n">
        <f>20</f>
        <v>20.0</v>
      </c>
    </row>
    <row r="405">
      <c r="A405" s="27" t="s">
        <v>42</v>
      </c>
      <c r="B405" s="27" t="s">
        <v>1258</v>
      </c>
      <c r="C405" s="27" t="s">
        <v>1259</v>
      </c>
      <c r="D405" s="27" t="s">
        <v>1260</v>
      </c>
      <c r="E405" s="28" t="s">
        <v>46</v>
      </c>
      <c r="F405" s="29" t="s">
        <v>46</v>
      </c>
      <c r="G405" s="30" t="s">
        <v>46</v>
      </c>
      <c r="H405" s="31"/>
      <c r="I405" s="31" t="s">
        <v>556</v>
      </c>
      <c r="J405" s="32" t="n">
        <v>1.0</v>
      </c>
      <c r="K405" s="33" t="n">
        <f>119900</f>
        <v>119900.0</v>
      </c>
      <c r="L405" s="34" t="s">
        <v>48</v>
      </c>
      <c r="M405" s="33" t="n">
        <f>120000</f>
        <v>120000.0</v>
      </c>
      <c r="N405" s="34" t="s">
        <v>48</v>
      </c>
      <c r="O405" s="33" t="n">
        <f>118300</f>
        <v>118300.0</v>
      </c>
      <c r="P405" s="34" t="s">
        <v>79</v>
      </c>
      <c r="Q405" s="33" t="n">
        <f>119200</f>
        <v>119200.0</v>
      </c>
      <c r="R405" s="34" t="s">
        <v>51</v>
      </c>
      <c r="S405" s="35" t="n">
        <f>119200</f>
        <v>119200.0</v>
      </c>
      <c r="T405" s="32" t="n">
        <f>11600</f>
        <v>11600.0</v>
      </c>
      <c r="U405" s="32" t="n">
        <f>16</f>
        <v>16.0</v>
      </c>
      <c r="V405" s="32" t="n">
        <f>1382697948</f>
        <v>1.382697948E9</v>
      </c>
      <c r="W405" s="32" t="n">
        <f>1905148</f>
        <v>1905148.0</v>
      </c>
      <c r="X405" s="36" t="n">
        <f>20</f>
        <v>20.0</v>
      </c>
    </row>
    <row r="406">
      <c r="A406" s="27" t="s">
        <v>42</v>
      </c>
      <c r="B406" s="27" t="s">
        <v>1261</v>
      </c>
      <c r="C406" s="27" t="s">
        <v>1262</v>
      </c>
      <c r="D406" s="27" t="s">
        <v>1263</v>
      </c>
      <c r="E406" s="28" t="s">
        <v>46</v>
      </c>
      <c r="F406" s="29" t="s">
        <v>46</v>
      </c>
      <c r="G406" s="30" t="s">
        <v>46</v>
      </c>
      <c r="H406" s="31"/>
      <c r="I406" s="31" t="s">
        <v>556</v>
      </c>
      <c r="J406" s="32" t="n">
        <v>1.0</v>
      </c>
      <c r="K406" s="33" t="n">
        <f>91800</f>
        <v>91800.0</v>
      </c>
      <c r="L406" s="34" t="s">
        <v>48</v>
      </c>
      <c r="M406" s="33" t="n">
        <f>92100</f>
        <v>92100.0</v>
      </c>
      <c r="N406" s="34" t="s">
        <v>48</v>
      </c>
      <c r="O406" s="33" t="n">
        <f>91200</f>
        <v>91200.0</v>
      </c>
      <c r="P406" s="34" t="s">
        <v>716</v>
      </c>
      <c r="Q406" s="33" t="n">
        <f>91700</f>
        <v>91700.0</v>
      </c>
      <c r="R406" s="34" t="s">
        <v>51</v>
      </c>
      <c r="S406" s="35" t="n">
        <f>91745</f>
        <v>91745.0</v>
      </c>
      <c r="T406" s="32" t="n">
        <f>4211</f>
        <v>4211.0</v>
      </c>
      <c r="U406" s="32" t="n">
        <f>1</f>
        <v>1.0</v>
      </c>
      <c r="V406" s="32" t="n">
        <f>385999000</f>
        <v>3.85999E8</v>
      </c>
      <c r="W406" s="32" t="n">
        <f>91700</f>
        <v>91700.0</v>
      </c>
      <c r="X406" s="36" t="n">
        <f>20</f>
        <v>20.0</v>
      </c>
    </row>
    <row r="407">
      <c r="A407" s="27" t="s">
        <v>42</v>
      </c>
      <c r="B407" s="27" t="s">
        <v>1264</v>
      </c>
      <c r="C407" s="27" t="s">
        <v>1265</v>
      </c>
      <c r="D407" s="27" t="s">
        <v>1266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90800</f>
        <v>90800.0</v>
      </c>
      <c r="L407" s="34" t="s">
        <v>48</v>
      </c>
      <c r="M407" s="33" t="n">
        <f>91400</f>
        <v>91400.0</v>
      </c>
      <c r="N407" s="34" t="s">
        <v>531</v>
      </c>
      <c r="O407" s="33" t="n">
        <f>87200</f>
        <v>87200.0</v>
      </c>
      <c r="P407" s="34" t="s">
        <v>51</v>
      </c>
      <c r="Q407" s="33" t="n">
        <f>87300</f>
        <v>87300.0</v>
      </c>
      <c r="R407" s="34" t="s">
        <v>51</v>
      </c>
      <c r="S407" s="35" t="n">
        <f>90490</f>
        <v>90490.0</v>
      </c>
      <c r="T407" s="32" t="n">
        <f>42411</f>
        <v>42411.0</v>
      </c>
      <c r="U407" s="32" t="n">
        <f>158</f>
        <v>158.0</v>
      </c>
      <c r="V407" s="32" t="n">
        <f>3807554600</f>
        <v>3.8075546E9</v>
      </c>
      <c r="W407" s="32" t="n">
        <f>14246400</f>
        <v>1.42464E7</v>
      </c>
      <c r="X407" s="36" t="n">
        <f>20</f>
        <v>20.0</v>
      </c>
    </row>
    <row r="408">
      <c r="A408" s="27" t="s">
        <v>42</v>
      </c>
      <c r="B408" s="27" t="s">
        <v>1267</v>
      </c>
      <c r="C408" s="27" t="s">
        <v>1268</v>
      </c>
      <c r="D408" s="27" t="s">
        <v>1269</v>
      </c>
      <c r="E408" s="28" t="s">
        <v>46</v>
      </c>
      <c r="F408" s="29" t="s">
        <v>46</v>
      </c>
      <c r="G408" s="30" t="s">
        <v>46</v>
      </c>
      <c r="H408" s="31"/>
      <c r="I408" s="31" t="s">
        <v>556</v>
      </c>
      <c r="J408" s="32" t="n">
        <v>1.0</v>
      </c>
      <c r="K408" s="33" t="n">
        <f>91000</f>
        <v>91000.0</v>
      </c>
      <c r="L408" s="34" t="s">
        <v>48</v>
      </c>
      <c r="M408" s="33" t="n">
        <f>91400</f>
        <v>91400.0</v>
      </c>
      <c r="N408" s="34" t="s">
        <v>61</v>
      </c>
      <c r="O408" s="33" t="n">
        <f>87400</f>
        <v>87400.0</v>
      </c>
      <c r="P408" s="34" t="s">
        <v>89</v>
      </c>
      <c r="Q408" s="33" t="n">
        <f>87500</f>
        <v>87500.0</v>
      </c>
      <c r="R408" s="34" t="s">
        <v>51</v>
      </c>
      <c r="S408" s="35" t="n">
        <f>90360</f>
        <v>90360.0</v>
      </c>
      <c r="T408" s="32" t="n">
        <f>27034</f>
        <v>27034.0</v>
      </c>
      <c r="U408" s="32" t="n">
        <f>32</f>
        <v>32.0</v>
      </c>
      <c r="V408" s="32" t="n">
        <f>2419553250</f>
        <v>2.41955325E9</v>
      </c>
      <c r="W408" s="32" t="n">
        <f>2867650</f>
        <v>2867650.0</v>
      </c>
      <c r="X408" s="36" t="n">
        <f>20</f>
        <v>20.0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