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EM0004" r:id="rId1" sheetId="1"/>
  </sheets>
  <definedNames>
    <definedName localSheetId="0" name="_xlnm.Print_Titles">BO_EM0004!$1:$6</definedName>
  </definedNames>
  <calcPr calcId="145621"/>
</workbook>
</file>

<file path=xl/sharedStrings.xml><?xml version="1.0" encoding="utf-8"?>
<sst xmlns="http://schemas.openxmlformats.org/spreadsheetml/2006/main" count="4851" uniqueCount="1267">
  <si>
    <t>(注) 1.信用：制度信用銘柄                  　　　　　　　　　　 (Notes) 1."信用"：Issues eligible for Standardized margin transactions.
     2.貸借：制度信用銘柄及び貸借銘柄                                   2."貸借"：Issues eligible for Standardized margin transactions and loan transactions.
     3.審　：監理銘柄（審査中）　確　：監理銘柄（確認中）               3."審""確""監"：Securities Under Supervision(Examination/Confirmation).
       監　：監理銘柄（審査中・確認中）                                   "整"　　　　：Securities to be Delisted.
       整　：整理銘柄</t>
    <phoneticPr fontId="3"/>
  </si>
  <si>
    <t>投　信　等　相　場　表</t>
    <rPh eb="1" sb="0">
      <t>トウ</t>
    </rPh>
    <rPh eb="3" sb="2">
      <t>シン</t>
    </rPh>
    <rPh eb="5" sb="4">
      <t>トウ</t>
    </rPh>
    <rPh eb="7" sb="6">
      <t>ソウ</t>
    </rPh>
    <rPh eb="9" sb="8">
      <t>バ</t>
    </rPh>
    <rPh eb="11" sb="10">
      <t>ヒョウ</t>
    </rPh>
    <phoneticPr fontId="3"/>
  </si>
  <si>
    <t>Investment Trust Quotations</t>
    <phoneticPr fontId="3"/>
  </si>
  <si>
    <t>年月</t>
  </si>
  <si>
    <t>銘柄コード</t>
    <rPh eb="2" sb="0">
      <t>メイガラ</t>
    </rPh>
    <phoneticPr fontId="3"/>
  </si>
  <si>
    <t>銘柄名称</t>
    <rPh eb="2" sb="0">
      <t>メイガラ</t>
    </rPh>
    <rPh eb="4" sb="2">
      <t>メイショウ</t>
    </rPh>
    <phoneticPr fontId="3"/>
  </si>
  <si>
    <t>Issues</t>
  </si>
  <si>
    <t>銘柄属性</t>
    <phoneticPr fontId="3"/>
  </si>
  <si>
    <t>Attribute</t>
    <phoneticPr fontId="3"/>
  </si>
  <si>
    <t>日付</t>
    <rPh eb="2" sb="0">
      <t>ヒヅケ</t>
    </rPh>
    <phoneticPr fontId="3"/>
  </si>
  <si>
    <t>区分</t>
  </si>
  <si>
    <t>信用・貸借</t>
    <rPh eb="2" sb="0">
      <t>シンヨウ</t>
    </rPh>
    <rPh eb="5" sb="3">
      <t>タイシャク</t>
    </rPh>
    <phoneticPr fontId="3"/>
  </si>
  <si>
    <t>売買単位</t>
    <rPh eb="2" sb="0">
      <t>バイバイ</t>
    </rPh>
    <rPh eb="4" sb="2">
      <t>タンイ</t>
    </rPh>
    <phoneticPr fontId="3"/>
  </si>
  <si>
    <t>始値</t>
    <rPh eb="2" sb="0">
      <t>ハジメネ</t>
    </rPh>
    <phoneticPr fontId="3"/>
  </si>
  <si>
    <t>高値</t>
    <rPh eb="1" sb="0">
      <t>タカ</t>
    </rPh>
    <rPh eb="2" sb="1">
      <t>ネ</t>
    </rPh>
    <phoneticPr fontId="3"/>
  </si>
  <si>
    <t>安値</t>
    <rPh eb="2" sb="0">
      <t>ヤスネ</t>
    </rPh>
    <phoneticPr fontId="3"/>
  </si>
  <si>
    <t>終値</t>
    <rPh eb="2" sb="0">
      <t>オワリネ</t>
    </rPh>
    <phoneticPr fontId="3"/>
  </si>
  <si>
    <t>終値平均</t>
    <rPh eb="2" sb="0">
      <t>オワリネ</t>
    </rPh>
    <rPh eb="4" sb="2">
      <t>ヘイキン</t>
    </rPh>
    <phoneticPr fontId="3"/>
  </si>
  <si>
    <t>売買高</t>
    <rPh eb="3" sb="0">
      <t>バイバイダカ</t>
    </rPh>
    <phoneticPr fontId="3"/>
  </si>
  <si>
    <t>うちToSTNeT売買高</t>
  </si>
  <si>
    <t>売買代金</t>
    <rPh eb="2" sb="0">
      <t>バイバイ</t>
    </rPh>
    <rPh eb="4" sb="2">
      <t>ダイキン</t>
    </rPh>
    <phoneticPr fontId="3"/>
  </si>
  <si>
    <t>うちToSTNeT売買代金</t>
  </si>
  <si>
    <t>値付日数</t>
    <rPh eb="2" sb="0">
      <t>ネツ</t>
    </rPh>
    <rPh eb="4" sb="2">
      <t>ニッスウ</t>
    </rPh>
    <phoneticPr fontId="3"/>
  </si>
  <si>
    <t>Year/Month</t>
  </si>
  <si>
    <t>Code</t>
    <phoneticPr fontId="10"/>
  </si>
  <si>
    <t>Date</t>
    <phoneticPr fontId="3"/>
  </si>
  <si>
    <t>Sector</t>
  </si>
  <si>
    <t>margin/loan</t>
    <phoneticPr fontId="10"/>
  </si>
  <si>
    <t>Trading Unit</t>
    <phoneticPr fontId="3"/>
  </si>
  <si>
    <t>Open</t>
  </si>
  <si>
    <t>High</t>
    <phoneticPr fontId="3"/>
  </si>
  <si>
    <t>Low</t>
  </si>
  <si>
    <t>Close</t>
  </si>
  <si>
    <t>Average Closing Price</t>
    <phoneticPr fontId="10"/>
  </si>
  <si>
    <t>Trading Volume</t>
  </si>
  <si>
    <t>Trading Volume(ToSTNeT)</t>
    <phoneticPr fontId="10"/>
  </si>
  <si>
    <t>Trading Value</t>
  </si>
  <si>
    <t>Trading Value(ToSTNeT)</t>
    <phoneticPr fontId="10"/>
  </si>
  <si>
    <t>Days Traded</t>
    <phoneticPr fontId="3"/>
  </si>
  <si>
    <t>口(units）</t>
    <phoneticPr fontId="10"/>
  </si>
  <si>
    <t>円(￥)</t>
    <phoneticPr fontId="10"/>
  </si>
  <si>
    <t>口(units）</t>
  </si>
  <si>
    <t>2023/12</t>
  </si>
  <si>
    <t>1305</t>
  </si>
  <si>
    <t>ｉＦｒｅｅＥＴＦ　ＴＯＰＩＸ（年１回決算型）　受益証券</t>
  </si>
  <si>
    <t>iFreeETF TOPIX (Yearly Dividend Type)</t>
  </si>
  <si>
    <t/>
  </si>
  <si>
    <t>貸借</t>
  </si>
  <si>
    <t>1</t>
  </si>
  <si>
    <t>6</t>
  </si>
  <si>
    <t>18</t>
  </si>
  <si>
    <t>29</t>
  </si>
  <si>
    <t>1306</t>
  </si>
  <si>
    <t>ＮＥＸＴ　ＦＵＮＤＳ　ＴＯＰＩＸ連動型上場投信　受益証券</t>
  </si>
  <si>
    <t>NEXT FUNDS TOPIX Exchange Traded Fund</t>
  </si>
  <si>
    <t>1308</t>
  </si>
  <si>
    <t>上場インデックスファンドＴＯＰＩＸ　受益証券</t>
  </si>
  <si>
    <t>Nikko Exchange Traded Index Fund TOPIX</t>
  </si>
  <si>
    <t>1309</t>
  </si>
  <si>
    <t>ＮＥＸＴ　ＦＵＮＤＳ　ＣｈｉｎａＡＭＣ・中国株式・上証５０連動型上場投信　受益証券</t>
  </si>
  <si>
    <t>NEXT FUNDS ChinaAMC SSE50 Index Exchange Traded Fund</t>
  </si>
  <si>
    <t>11</t>
  </si>
  <si>
    <t>1311</t>
  </si>
  <si>
    <t>ＮＥＸＴ　ＦＵＮＤＳ　ＴＯＰＩＸ　Ｃｏｒｅ　３０連動型上場投信　受益証券</t>
  </si>
  <si>
    <t>NEXT FUNDS TOPIX Core 30 Exchange Traded Fund</t>
  </si>
  <si>
    <t>1319</t>
  </si>
  <si>
    <t>ＮＥＸＴ　ＦＵＮＤＳ　日経３００株価指数連動型上場投信　受益証券</t>
  </si>
  <si>
    <t>NEXT FUNDS Nikkei 300 Index Exchange Traded Fund</t>
  </si>
  <si>
    <t>21</t>
  </si>
  <si>
    <t>20</t>
  </si>
  <si>
    <t>1320</t>
  </si>
  <si>
    <t>ｉＦｒｅｅＥＴＦ　日経２２５（年１回決算型）　受益証券</t>
  </si>
  <si>
    <t>iFreeETF Nikkei225 (Yearly Dividend Type)</t>
  </si>
  <si>
    <t>8</t>
  </si>
  <si>
    <t>1321</t>
  </si>
  <si>
    <t>ＮＥＸＴ　ＦＵＮＤＳ　日経２２５連動型上場投信　受益証券</t>
  </si>
  <si>
    <t>NEXT FUNDS Nikkei 225 Exchange Traded Fund</t>
  </si>
  <si>
    <t>1322</t>
  </si>
  <si>
    <t>上場インデックスファンド中国Ａ株（パンダ）Ｅ　Ｆｕｎｄ　ＣＳＩ３００　受益証券</t>
  </si>
  <si>
    <t>Listed Index Fund China A Share (Panda) E Fund CSI300</t>
  </si>
  <si>
    <t>1324</t>
  </si>
  <si>
    <t>ＮＥＸＴ　ＦＵＮＤＳ　ロシア株式指数連動型上場投信　受益証券</t>
  </si>
  <si>
    <t>NEXT FUNDS Russian Equity Index Exchange Traded Fund</t>
  </si>
  <si>
    <t>1325</t>
  </si>
  <si>
    <t>ＮＥＸＴ　ＦＵＮＤＳ　ブラジル株式指数・ボベスパ連動型上場投信　受益証券</t>
  </si>
  <si>
    <t>NEXT FUNDS Ibovespa Linked Exchange Traded Fund</t>
  </si>
  <si>
    <t>1326</t>
  </si>
  <si>
    <t>ＳＰＤＲゴールド・シェア　受益証券</t>
  </si>
  <si>
    <t>SPDR Gold Shares</t>
  </si>
  <si>
    <t>4</t>
  </si>
  <si>
    <t>14</t>
  </si>
  <si>
    <t>1328</t>
  </si>
  <si>
    <t>ＮＥＸＴ　ＦＵＮＤＳ　金価格連動型上場投信　受益証券</t>
  </si>
  <si>
    <t>NEXT FUNDS Gold Price Exchange Traded Fund</t>
  </si>
  <si>
    <t>1329</t>
  </si>
  <si>
    <t>ｉシェアーズ・コア　日経２２５　ＥＴＦ　受益証券</t>
  </si>
  <si>
    <t>iShares Core Nikkei 225 ETF</t>
  </si>
  <si>
    <t>1330</t>
  </si>
  <si>
    <t>上場インデックスファンド２２５　受益証券</t>
  </si>
  <si>
    <t>Nikko Exchange Traded Index Fund 225</t>
  </si>
  <si>
    <t>1343</t>
  </si>
  <si>
    <t>ＮＥＸＴ　ＦＵＮＤＳ　東証ＲＥＩＴ　指数連動型上場投信　受益証券</t>
  </si>
  <si>
    <t>NEXT FUNDS REIT INDEX ETF</t>
  </si>
  <si>
    <t>26</t>
  </si>
  <si>
    <t>1345</t>
  </si>
  <si>
    <t>上場インデックスファンドＪリート（東証ＲＥＩＴ指数）隔月分配型　受益証券</t>
  </si>
  <si>
    <t>Listed Index Fund J-REIT (Tokyo Stock Exchange REIT Index)Bi-Monthly Dividend Payment Type</t>
  </si>
  <si>
    <t>1346</t>
  </si>
  <si>
    <t>ＭＡＸＩＳ　日経２２５上場投信　受益証券</t>
  </si>
  <si>
    <t>MAXIS NIKKEI 225 ETF</t>
  </si>
  <si>
    <t>1348</t>
  </si>
  <si>
    <t>ＭＡＸＩＳ　トピックス上場投信　受益証券</t>
  </si>
  <si>
    <t>MAXIS TOPIX ETF</t>
  </si>
  <si>
    <t>1349</t>
  </si>
  <si>
    <t>ABF汎アジア債券インデックス・ファンド　受益証券</t>
  </si>
  <si>
    <t>ABF PAN ASIA BOND INDEX FUND</t>
  </si>
  <si>
    <t>25</t>
  </si>
  <si>
    <t>1356</t>
  </si>
  <si>
    <t>ＴＯＰＩＸベア２倍上場投信　受益証券</t>
  </si>
  <si>
    <t>TOPIX Bear -2x ETF</t>
  </si>
  <si>
    <t>1357</t>
  </si>
  <si>
    <t>ＮＥＸＴ　ＦＵＮＤＳ　日経平均ダブルインバース・インデックス連動型上場投信　受益証券</t>
  </si>
  <si>
    <t>NEXT FUNDS Nikkei 225 Double Inverse Index Exchange Traded Fund</t>
  </si>
  <si>
    <t>1358</t>
  </si>
  <si>
    <t>上場インデックスファンド日経レバレッジ指数　受益証券</t>
  </si>
  <si>
    <t>Listed Index Fund Nikkei Leveraged Index</t>
  </si>
  <si>
    <t>1360</t>
  </si>
  <si>
    <t>日経平均ベア２倍上場投信　受益証券</t>
  </si>
  <si>
    <t>Nikkei225 Bear -2x ETF</t>
  </si>
  <si>
    <t>1364</t>
  </si>
  <si>
    <t>ｉシェアーズ　ＪＰＸ日経４００　ＥＴＦ　受益証券</t>
  </si>
  <si>
    <t>iShares JPX-Nikkei 400 ETF</t>
  </si>
  <si>
    <t>1365</t>
  </si>
  <si>
    <t>ｉＦｒｅｅＥＴＦ　日経平均レバレッジ・インデックス　受益証券</t>
  </si>
  <si>
    <t>iFreeETF Nikkei225 Leveraged Index</t>
  </si>
  <si>
    <t>1366</t>
  </si>
  <si>
    <t>ｉＦｒｅｅＥＴＦ　日経平均ダブルインバース・インデックス　受益証券</t>
  </si>
  <si>
    <t>iFreeETF Nikkei225 Double Inverse Index</t>
  </si>
  <si>
    <t>1367</t>
  </si>
  <si>
    <t>ｉＦｒｅｅＥＴＦ　ＴＯＰＩＸレバレッジ（２倍）指数　受益証券</t>
  </si>
  <si>
    <t>iFreeETF TOPIX Leveraged (2x) Index</t>
  </si>
  <si>
    <t>1368</t>
  </si>
  <si>
    <t>ｉＦｒｅｅＥＴＦ　ＴＯＰＩＸダブルインバース（－２倍）指数　受益証券</t>
  </si>
  <si>
    <t>iFreeETF TOPIX Double Inverse (-2x) Index</t>
  </si>
  <si>
    <t>1369</t>
  </si>
  <si>
    <t>Ｏｎｅ　ＥＴＦ　日経２２５　受益証券</t>
  </si>
  <si>
    <t>One ETF Nikkei225</t>
  </si>
  <si>
    <t>1397</t>
  </si>
  <si>
    <t>ＳＭＤＡＭ　日経２２５上場投信　受益証券</t>
  </si>
  <si>
    <t>SMDAM NIKKEI225 ETF</t>
  </si>
  <si>
    <t>1398</t>
  </si>
  <si>
    <t>ＳＭＤＡＭ　東証ＲＥＩＴ指数上場投信　受益証券</t>
  </si>
  <si>
    <t>SMDAM REIT Index ETF</t>
  </si>
  <si>
    <t>1399</t>
  </si>
  <si>
    <t>上場インデックスファンドＭＳＣＩ日本株高配当低ボラティリティ　受益証券</t>
  </si>
  <si>
    <t>Listed Index Fund MSCI Japan Equity High Dividend Low Volatility</t>
  </si>
  <si>
    <t>27</t>
  </si>
  <si>
    <t>15</t>
  </si>
  <si>
    <t>1456</t>
  </si>
  <si>
    <t>ｉＦｒｅｅＥＴＦ　日経平均インバース・インデックス　受益証券</t>
  </si>
  <si>
    <t>iFreeETF Nikkei225 Inverse Index</t>
  </si>
  <si>
    <t>1457</t>
  </si>
  <si>
    <t>ｉＦｒｅｅＥＴＦ　ＴＯＰＩＸインバース（－１倍）指数　受益証券</t>
  </si>
  <si>
    <t>iFreeETF TOPIX Inverse (-1x) Index</t>
  </si>
  <si>
    <t>1458</t>
  </si>
  <si>
    <t>楽天ＥＴＦ‐日経レバレッジ指数連動型　受益証券</t>
  </si>
  <si>
    <t>Rakuten ETF - Nikkei 225 Leveraged Index</t>
  </si>
  <si>
    <t>1459</t>
  </si>
  <si>
    <t>楽天ＥＴＦ‐日経ダブルインバース指数連動型　受益証券</t>
  </si>
  <si>
    <t>Rakuten ETF - Nikkei 225 Double Inverse Index</t>
  </si>
  <si>
    <t>1464</t>
  </si>
  <si>
    <t>ｉＦｒｅｅＥＴＦ　ＪＰＸ日経４００レバレッジ・インデックス　受益証券</t>
  </si>
  <si>
    <t>iFreeETF JPX-Nikkei400 Leveraged (2x) Index</t>
  </si>
  <si>
    <t>1465</t>
  </si>
  <si>
    <t>ｉＦｒｅｅＥＴＦ　ＪＰＸ日経４００インバース・インデックス　受益証券</t>
  </si>
  <si>
    <t>iFreeETF JPX-Nikkei400 Inverse (-1x) Index</t>
  </si>
  <si>
    <t>19</t>
  </si>
  <si>
    <t>28</t>
  </si>
  <si>
    <t>1466</t>
  </si>
  <si>
    <t>ｉＦｒｅｅＥＴＦ　ＪＰＸ日経４００ダブルインバース・インデックス　受益証券</t>
  </si>
  <si>
    <t>iFreeETF JPX-Nikkei400 Double Inverse (-2x) Index</t>
  </si>
  <si>
    <t>1469</t>
  </si>
  <si>
    <t>ＪＰＸ日経４００ベア２倍上場投信（ダブルインバース）　受益証券</t>
  </si>
  <si>
    <t>JPX-Nikkei 400 Bear -2x Double Inverse ETF</t>
  </si>
  <si>
    <t>1472</t>
  </si>
  <si>
    <t>ＮＥＸＴ　ＦＵＮＤＳ　ＪＰＸ日経４００ダブルインバース・インデックス連動型上場投信　受益証券</t>
  </si>
  <si>
    <t>NEXT FUNDS JPX-Nikkei 400 Double Inverse Index Exchange Traded Fund</t>
  </si>
  <si>
    <t>5</t>
  </si>
  <si>
    <t>1473</t>
  </si>
  <si>
    <t>Ｏｎｅ　ＥＴＦ　トピックス　受益証券</t>
  </si>
  <si>
    <t>One ETF TOPIX</t>
  </si>
  <si>
    <t>1474</t>
  </si>
  <si>
    <t>Ｏｎｅ　ＥＴＦ　ＪＰＸ日経４００　受益証券</t>
  </si>
  <si>
    <t>One ETF JPX-Nikkei 400</t>
  </si>
  <si>
    <t>1475</t>
  </si>
  <si>
    <t>ｉシェアーズ・コア　ＴＯＰＩＸ　ＥＴＦ　受益証券</t>
  </si>
  <si>
    <t>iShares Core TOPIX ETF</t>
  </si>
  <si>
    <t>1476</t>
  </si>
  <si>
    <t>ｉシェアーズ・コア　Ｊリート　ＥＴＦ　受益証券</t>
  </si>
  <si>
    <t>iShares Core Japan REIT ETF</t>
  </si>
  <si>
    <t>1477</t>
  </si>
  <si>
    <t>ｉシェアーズ　ＭＳＣＩ　日本株最小分散　ＥＴＦ　受益証券</t>
  </si>
  <si>
    <t>iShares MSCI Japan Minimum Volatility (ex-REITs) ETF</t>
  </si>
  <si>
    <t>13</t>
  </si>
  <si>
    <t>1478</t>
  </si>
  <si>
    <t>ｉシェアーズ　ＭＳＣＩ　ジャパン高配当利回り　ＥＴＦ　受益証券</t>
  </si>
  <si>
    <t>iShares MSCI Japan High Dividend ETF</t>
  </si>
  <si>
    <t>1479</t>
  </si>
  <si>
    <t>ｉＦｒｅｅＥＴＦ　ＭＳＣＩ日本株人材設備投資指数　受益証券</t>
  </si>
  <si>
    <t>iFreeETF MSCI Japan Human and Physical Investment Index</t>
  </si>
  <si>
    <t>1480</t>
  </si>
  <si>
    <t>ＮＥＸＴ　ＦＵＮＤＳ　野村企業価値分配指数連動型上場投信　受益証券</t>
  </si>
  <si>
    <t>NEXT FUNDS Nomura Enterprise Value Allocation Index Exchange Traded Fund</t>
  </si>
  <si>
    <t>1481</t>
  </si>
  <si>
    <t>上場インデックスファンド日本経済貢献株　受益証券</t>
  </si>
  <si>
    <t>Listed Index Fund Japanese Economy Contributor Stocks</t>
  </si>
  <si>
    <t>1482</t>
  </si>
  <si>
    <t>ｉシェアーズ・コア　米国債７－１０年　ＥＴＦ（為替ヘッジあり）　受益証券</t>
  </si>
  <si>
    <t>iShares Core 7-10 Year US Treasury Bond JPY Hedged ETF</t>
  </si>
  <si>
    <t>1483</t>
  </si>
  <si>
    <t>ｉシェアーズ　ＪＰＸ／Ｓ＆Ｐ設備・人材投資　ＥＴＦ　受益証券</t>
  </si>
  <si>
    <t>iShares JPX/S&amp;P CAPEX &amp; Human Capital ETF</t>
  </si>
  <si>
    <t>1484</t>
  </si>
  <si>
    <t>Ｏｎｅ　ＥＴＦ　ＪＰＸ／Ｓ＆Ｐ　設備・人材投資指数　受益証券</t>
  </si>
  <si>
    <t>One ETF JPX/S&amp;P CAPEX &amp; Human Capital Index</t>
  </si>
  <si>
    <t>1485</t>
  </si>
  <si>
    <t>ＭＡＸＩＳ　ＪＡＰＡＮ　設備・人材積極投資企業２００上場投信　受益証券</t>
  </si>
  <si>
    <t>MAXIS JAPAN Proactive Investment in Physical and Human Capital 200 Index ETF</t>
  </si>
  <si>
    <t>1486</t>
  </si>
  <si>
    <t>上場インデックスファンド米国債券（為替ヘッジなし）　受益証券</t>
  </si>
  <si>
    <t>Listed Index Fund US Bond (No Currency Hedge)</t>
  </si>
  <si>
    <t>7</t>
  </si>
  <si>
    <t>1487</t>
  </si>
  <si>
    <t>上場インデックスファンド米国債券（為替ヘッジあり）　受益証券</t>
  </si>
  <si>
    <t>Listed Index Fund US Bond (Currency Hedge)</t>
  </si>
  <si>
    <t>1488</t>
  </si>
  <si>
    <t>ｉＦｒｅｅＥＴＦ　東証ＲＥＩＴ指数　受益証券</t>
  </si>
  <si>
    <t>iFreeETF Tokyo Stock Exchange REIT Index</t>
  </si>
  <si>
    <t>1489</t>
  </si>
  <si>
    <t>ＮＥＸＴ　ＦＵＮＤＳ　日経平均高配当株５０指数連動型上場投信　受益証券</t>
  </si>
  <si>
    <t>NEXT FUNDS Nikkei 225 High Dividend Yield Stock 50 Index Exchange Traded Fund</t>
  </si>
  <si>
    <t>1490</t>
  </si>
  <si>
    <t>上場インデックスファンドＭＳＣＩ日本株高配当低ボラティリティ（βヘッジ）　受益証券</t>
  </si>
  <si>
    <t>Listed Index Fund MSCI Japan Equity High Dividend Low Volatility (Beta Hedged)</t>
  </si>
  <si>
    <t>1492</t>
  </si>
  <si>
    <t>ＭＡＸＩＳ　ＪＰＸ　日経中小型株指数上場投信　受益証券</t>
  </si>
  <si>
    <t>MAXIS JPX-Nikkei Mid and Small Cap Index ETF</t>
  </si>
  <si>
    <t>確</t>
  </si>
  <si>
    <t>1493</t>
  </si>
  <si>
    <t>Ｏｎｅ　ＥＴＦ　ＪＰＸ日経中小型　受益証券</t>
  </si>
  <si>
    <t>One ETF JPX-Nikkei Mid Small</t>
  </si>
  <si>
    <t>1494</t>
  </si>
  <si>
    <t>Ｏｎｅ　ＥＴＦ　高配当日本株　受益証券</t>
  </si>
  <si>
    <t>One ETF High Dividend Japan Equity</t>
  </si>
  <si>
    <t>12</t>
  </si>
  <si>
    <t>1495</t>
  </si>
  <si>
    <t>上場インデックスファンドアジアリート　受益証券</t>
  </si>
  <si>
    <t>Listed Index Fund Asian REIT</t>
  </si>
  <si>
    <t>1496</t>
  </si>
  <si>
    <t>ｉシェアーズ　米ドル建て投資適格社債　ＥＴＦ（為替ヘッジあり）　受益証券</t>
  </si>
  <si>
    <t>iShares USD Investment Grade Corporate Bond JPY Hedged ETF</t>
  </si>
  <si>
    <t>1497</t>
  </si>
  <si>
    <t>ｉシェアーズ　米ドル建てハイイールド社債　ＥＴＦ（為替ヘッジあり）　受益証券</t>
  </si>
  <si>
    <t>iShares USD High Yield Corporate Bond JPY Hedged ETF</t>
  </si>
  <si>
    <t>1498</t>
  </si>
  <si>
    <t>Ｏｎｅ　ＥＴＦ　ＥＳＧ　受益証券</t>
  </si>
  <si>
    <t>One ETF ESG</t>
  </si>
  <si>
    <t>1499</t>
  </si>
  <si>
    <t>ＭＡＸＩＳ日本株高配当７０マーケットニュートラル上場投信　受益証券</t>
  </si>
  <si>
    <t>MAXIS Japan Equity High Dividend 70 Market Neutral ETF</t>
  </si>
  <si>
    <t>1540</t>
  </si>
  <si>
    <t>純金上場信託（現物国内保管型）　受益証券</t>
  </si>
  <si>
    <t>Japan Physical Gold ETF</t>
  </si>
  <si>
    <t>1541</t>
  </si>
  <si>
    <t>純プラチナ上場信託（現物国内保管型）　受益証券</t>
  </si>
  <si>
    <t>Japan Physical Platinum ETF</t>
  </si>
  <si>
    <t>1542</t>
  </si>
  <si>
    <t>純銀上場信託（現物国内保管型）　受益証券</t>
  </si>
  <si>
    <t>Japan Physical Silver ETF</t>
  </si>
  <si>
    <t>1543</t>
  </si>
  <si>
    <t>純パラジウム上場信託（現物国内保管型）　受益証券</t>
  </si>
  <si>
    <t>Japan Physical Palladium ETF</t>
  </si>
  <si>
    <t>1545</t>
  </si>
  <si>
    <t>ＮＥＸＴ　ＦＵＮＤＳ　ＮＡＳＤＡＱ－１００（為替ヘッジなし）連動型上場投信　受益証券</t>
  </si>
  <si>
    <t>NEXT FUNDS NASDAQ-100(R) (Unhedged) Exchange Traded Fund</t>
  </si>
  <si>
    <t>1546</t>
  </si>
  <si>
    <t>ＮＥＸＴ　ＦＵＮＤＳ　ダウ・ジョーンズ工業株３０種平均株価（為替ヘッジなし）連動型上場投信　受益証券</t>
  </si>
  <si>
    <t>NEXT FUNDS DJIA (Unhedged) Exchange Traded Fund</t>
  </si>
  <si>
    <t>1547</t>
  </si>
  <si>
    <t>上場インデックスファンド米国株式（Ｓ＆Ｐ５００）　受益証券</t>
  </si>
  <si>
    <t>Listed Index Fund US Equity (S&amp;P500)</t>
  </si>
  <si>
    <t>1550</t>
  </si>
  <si>
    <t>ＭＡＸＩＳ　海外株式（ＭＳＣＩコクサイ）上場投信　受益証券</t>
  </si>
  <si>
    <t>MAXIS Global Equity (MSCI Kokusai) ETF</t>
  </si>
  <si>
    <t>1551</t>
  </si>
  <si>
    <t>東証スタンダードＴＯＰ２０ＥＴＦ　受益証券</t>
  </si>
  <si>
    <t>TSE Standard Top 20 ETF</t>
  </si>
  <si>
    <t>1552</t>
  </si>
  <si>
    <t>国際のＥＴＦ　ＶＩＸ短期先物指数　受益証券</t>
  </si>
  <si>
    <t>KOKUSAI S&amp;P500 VIX SHORT-TERM FUTURES INDEX ETF</t>
  </si>
  <si>
    <t>1554</t>
  </si>
  <si>
    <t>上場インデックスファンド世界株式（ＭＳＣＩ　ＡＣＷＩ）除く日本　受益証券</t>
  </si>
  <si>
    <t>Listed Index Fund World Equity (MSCI ACWI) ex Japan</t>
  </si>
  <si>
    <t>1555</t>
  </si>
  <si>
    <t>上場インデックスファンド豪州リート（Ｓ＆Ｐ／ＡＳＸ２００　Ａ－ＲＥＩＴ）　受益証券</t>
  </si>
  <si>
    <t>Listed Index Fund Australian REIT (S&amp;P/ASX200 A-REIT)</t>
  </si>
  <si>
    <t>1557</t>
  </si>
  <si>
    <t>ＳＰＤＲ　Ｓ＆Ｐ５００　ＥＴＦ　受益証券</t>
  </si>
  <si>
    <t>SPDR S&amp;P500 ETF Trust</t>
  </si>
  <si>
    <t>1559</t>
  </si>
  <si>
    <t>ＮＥＸＴ　ＦＵＮＤＳ　タイ株式ＳＥＴ５０指数連動型上場投信　受益証券</t>
  </si>
  <si>
    <t>NEXT FUNDS Thai Stock SET50 Exchange Traded Fund</t>
  </si>
  <si>
    <t>1560</t>
  </si>
  <si>
    <t>ＮＥＸＴ　ＦＵＮＤＳ　ＦＴＳＥブルサ・マレーシアＫＬＣＩ連動型上場投信　受益証券</t>
  </si>
  <si>
    <t>NEXT FUNDS FTSE Bursa Malaysia KLCI Exchange Traded Fund</t>
  </si>
  <si>
    <t>1563</t>
  </si>
  <si>
    <t>東証グロース・コアＥＴＦ　受益証券</t>
  </si>
  <si>
    <t>TSE Growth Core ETF</t>
  </si>
  <si>
    <t>1566</t>
  </si>
  <si>
    <t>上場インデックスファンド新興国債券　受益証券</t>
  </si>
  <si>
    <t>Listed Index Fund Emerging Bond</t>
  </si>
  <si>
    <t>1568</t>
  </si>
  <si>
    <t>ＴＯＰＩＸブル２倍上場投信　受益証券</t>
  </si>
  <si>
    <t>TOPIX Bull 2x ETF</t>
  </si>
  <si>
    <t>1569</t>
  </si>
  <si>
    <t>ＴＯＰＩＸベア上場投信　受益証券</t>
  </si>
  <si>
    <t>TOPIX Bear -1x ETF</t>
  </si>
  <si>
    <t>1570</t>
  </si>
  <si>
    <t>ＮＥＸＴ　ＦＵＮＤＳ　日経平均レバレッジ・インデックス連動型上場投信　受益証券</t>
  </si>
  <si>
    <t>NEXT FUNDS Nikkei 225 Leveraged Index Exchange Traded Fund</t>
  </si>
  <si>
    <t>1571</t>
  </si>
  <si>
    <t>ＮＥＸＴ　ＦＵＮＤＳ　日経平均インバース・インデックス連動型上場投信　受益証券</t>
  </si>
  <si>
    <t>NEXT FUNDS Nikkei 225 Inverse Index Exchange Traded Fund</t>
  </si>
  <si>
    <t>1572</t>
  </si>
  <si>
    <t>中国Ｈ株ブル２倍上場投信　受益証券</t>
  </si>
  <si>
    <t>China Bull 2x HSCEI ETF</t>
  </si>
  <si>
    <t>1573</t>
  </si>
  <si>
    <t>中国Ｈ株ベア上場投信　受益証券</t>
  </si>
  <si>
    <t>China Bear -1x HSCEI ETF</t>
  </si>
  <si>
    <t>1577</t>
  </si>
  <si>
    <t>ＮＥＸＴ　ＦＵＮＤＳ　野村日本株高配当７０連動型上場投信　受益証券</t>
  </si>
  <si>
    <t>NEXT FUNDS Nomura Japan Equity High Dividend 70 Exchange Traded Fund</t>
  </si>
  <si>
    <t>1578</t>
  </si>
  <si>
    <t>上場インデックスファンド日経２２５（ミニ）　受益証券</t>
  </si>
  <si>
    <t>Listed Index Fund Nikkei 225 (Mini)</t>
  </si>
  <si>
    <t>1579</t>
  </si>
  <si>
    <t>日経平均ブル２倍上場投信　受益証券</t>
  </si>
  <si>
    <t>Nikkei 225 Bull 2x ETF</t>
  </si>
  <si>
    <t>1580</t>
  </si>
  <si>
    <t>日経平均ベア上場投信　受益証券</t>
  </si>
  <si>
    <t>Nikkei 225 Bear -1x ETF</t>
  </si>
  <si>
    <t>1585</t>
  </si>
  <si>
    <t>ｉＦｒｅｅＥＴＦ　ＴＯＰＩＸ　Ｅｘ－Ｆｉｎａｎｃｉａｌｓ　受益証券</t>
  </si>
  <si>
    <t>iFreeETF TOPIX Ex-Financials</t>
  </si>
  <si>
    <t>1586</t>
  </si>
  <si>
    <t>上場インデックスファンドＴＯＰＩＸ　Ｅｘ－Ｆｉｎａｎｃｉａｌｓ　受益証券</t>
  </si>
  <si>
    <t>Listed Index Fund TOPIX Ex-Financials</t>
  </si>
  <si>
    <t>1591</t>
  </si>
  <si>
    <t>ＮＥＸＴ　ＦＵＮＤＳ　ＪＰＸ日経インデックス４００連動型上場投信　受益証券</t>
  </si>
  <si>
    <t>NEXT FUNDS JPX-Nikkei Index 400 Exchange Traded Fund</t>
  </si>
  <si>
    <t>1592</t>
  </si>
  <si>
    <t>上場インデックスファンドＪＰＸ日経インデックス４００　受益証券</t>
  </si>
  <si>
    <t>Listed Index Fund JPX-Nikkei Index 400</t>
  </si>
  <si>
    <t>1593</t>
  </si>
  <si>
    <t>ＭＡＸＩＳ　ＪＰＸ日経インデックス４００上場投信　受益証券</t>
  </si>
  <si>
    <t>MAXIS JPX-Nikkei Index 400 ETF</t>
  </si>
  <si>
    <t>1595</t>
  </si>
  <si>
    <t>ＮＺＡＭ　上場投信　東証ＲＥＩＴ指数　受益証券</t>
  </si>
  <si>
    <t>NZAM ETF J-REIT Index</t>
  </si>
  <si>
    <t>1596</t>
  </si>
  <si>
    <t>ＮＺＡＭ　上場投信　ＴＯＰＩＸ　Ｅｘ－Ｆｉｎａｎｃｉａｌｓ　受益証券</t>
  </si>
  <si>
    <t>NZAM ETF TOPIX Ex-Financials</t>
  </si>
  <si>
    <t>1597</t>
  </si>
  <si>
    <t>ＭＡＸＩＳ　Ｊリート上場投信　受益証券</t>
  </si>
  <si>
    <t>MAXIS J-REIT ETF</t>
  </si>
  <si>
    <t>1599</t>
  </si>
  <si>
    <t>ｉＦｒｅｅＥＴＦ　ＪＰＸ日経４００　受益証券</t>
  </si>
  <si>
    <t>iFreeETF JPX-Nikkei400</t>
  </si>
  <si>
    <t>1615</t>
  </si>
  <si>
    <t>ＮＥＸＴ　ＦＵＮＤＳ　東証銀行業株価指数連動型上場投信　受益証券</t>
  </si>
  <si>
    <t>NEXT FUNDS TOPIX Banks Exchange Traded Fund</t>
  </si>
  <si>
    <t>1617</t>
  </si>
  <si>
    <t>ＮＥＸＴ　ＦＵＮＤＳ　食品（ＴＯＰＩＸ－１７）上場投信　受益証券</t>
  </si>
  <si>
    <t>NEXT FUNDS TOPIX-17 FOODS ETF</t>
  </si>
  <si>
    <t>1618</t>
  </si>
  <si>
    <t>ＮＥＸＴ　ＦＵＮＤＳ　エネルギー資源（ＴＯＰＩＸ－１７）上場投信　受益証券</t>
  </si>
  <si>
    <t>NEXT FUNDS TOPIX-17 ENERGY RESOURCES ETF</t>
  </si>
  <si>
    <t>1619</t>
  </si>
  <si>
    <t>ＮＥＸＴ　ＦＵＮＤＳ　建設・資材（ＴＯＰＩＸ－１７）上場投信　受益証券</t>
  </si>
  <si>
    <t>NEXT FUNDS TOPIX-17 CONSTRUCTION &amp; MATERIALS ETF</t>
  </si>
  <si>
    <t>1620</t>
  </si>
  <si>
    <t>ＮＥＸＴ　ＦＵＮＤＳ　素材・化学（ＴＯＰＩＸ－１７）上場投信　受益証券</t>
  </si>
  <si>
    <t>NEXT FUNDS TOPIX-17 RAW MATERIALS &amp; CHEMICALS ETF</t>
  </si>
  <si>
    <t>1621</t>
  </si>
  <si>
    <t>ＮＥＸＴ　ＦＵＮＤＳ　医薬品（ＴＯＰＩＸ－１７）上場投信　受益証券</t>
  </si>
  <si>
    <t>NEXT FUNDS TOPIX-17 PHARMACEUTICAL ETF</t>
  </si>
  <si>
    <t>1622</t>
  </si>
  <si>
    <t>ＮＥＸＴ　ＦＵＮＤＳ　自動車・輸送機（ＴＯＰＩＸ－１７）上場投信　受益証券</t>
  </si>
  <si>
    <t>NEXT FUNDS TOPIX-17 AUTOMOBILES TRANSPORTATION EQUIPMENT ETF</t>
  </si>
  <si>
    <t>1623</t>
  </si>
  <si>
    <t>ＮＥＸＴ　ＦＵＮＤＳ　鉄鋼・非鉄（ＴＯＰＩＸ－１７）上場投信　受益証券</t>
  </si>
  <si>
    <t>NEXT FUNDS TOPIX-17 STEEL &amp; NONFERROUS ETF</t>
  </si>
  <si>
    <t>1624</t>
  </si>
  <si>
    <t>ＮＥＸＴ　ＦＵＮＤＳ　機械（ＴＯＰＩＸ－１７）上場投信　受益証券</t>
  </si>
  <si>
    <t>NEXT FUNDS TOPIX-17 MACHINERY ETF</t>
  </si>
  <si>
    <t>1625</t>
  </si>
  <si>
    <t>ＮＥＸＴ　ＦＵＮＤＳ　電機・精密（ＴＯＰＩＸ－１７）上場投信　受益証券</t>
  </si>
  <si>
    <t>NEXT FUNDS TOPIX-17 ELECTRIC &amp; PRECISION INSTRUMENTS ETF</t>
  </si>
  <si>
    <t>1626</t>
  </si>
  <si>
    <t>ＮＥＸＴ　ＦＵＮＤＳ　情報通信・サービスその他（ＴＯＰＩＸ－１７）上場投信　受益証券</t>
  </si>
  <si>
    <t>NEXT FUNDS TOPIX-17 IT &amp; SERVICES,OTHERS ETF</t>
  </si>
  <si>
    <t>1627</t>
  </si>
  <si>
    <t>ＮＥＸＴ　ＦＵＮＤＳ　電力・ガス（ＴＯＰＩＸ－１７）上場投信　受益証券</t>
  </si>
  <si>
    <t>NEXT FUNDS TOPIX-17 ELECTRIC POWER &amp; GAS ETF</t>
  </si>
  <si>
    <t>1628</t>
  </si>
  <si>
    <t>ＮＥＸＴ　ＦＵＮＤＳ　運輸・物流（ＴＯＰＩＸ－１７）上場投信　受益証券</t>
  </si>
  <si>
    <t>NEXT FUNDS TOPIX-17 TRANSPORTATION &amp; LOGISTICS ETF</t>
  </si>
  <si>
    <t>1629</t>
  </si>
  <si>
    <t>ＮＥＸＴ　ＦＵＮＤＳ　商社・卸売（ＴＯＰＩＸ－１７）上場投信　受益証券</t>
  </si>
  <si>
    <t>NEXT FUNDS TOPIX-17 COMMERCIAL &amp; WHOLESALE TRADE ETF</t>
  </si>
  <si>
    <t>1630</t>
  </si>
  <si>
    <t>ＮＥＸＴ　ＦＵＮＤＳ　小売（ＴＯＰＩＸ－１７）上場投信　受益証券</t>
  </si>
  <si>
    <t>NEXT FUNDS TOPIX-17 RETAIL TRADE ETF</t>
  </si>
  <si>
    <t>1631</t>
  </si>
  <si>
    <t>ＮＥＸＴ　ＦＵＮＤＳ　銀行（ＴＯＰＩＸ－１７）上場投信　受益証券</t>
  </si>
  <si>
    <t>NEXT FUNDS TOPIX-17 BANKS ETF</t>
  </si>
  <si>
    <t>1632</t>
  </si>
  <si>
    <t>ＮＥＸＴ　ＦＵＮＤＳ　金融（除く銀行）（ＴＯＰＩＸ－１７）上場投信　受益証券</t>
  </si>
  <si>
    <t>NEXT FUNDS TOPIX-17 FINANCIALS (EX BANKS) ETF</t>
  </si>
  <si>
    <t>1633</t>
  </si>
  <si>
    <t>ＮＥＸＴ　ＦＵＮＤＳ　不動産（ＴＯＰＩＸ－１７）上場投信　受益証券</t>
  </si>
  <si>
    <t>NEXT FUNDS TOPIX-17 REAL ESTATE ETF</t>
  </si>
  <si>
    <t>1651</t>
  </si>
  <si>
    <t>ｉＦｒｅｅＥＴＦ　ＴＯＰＩＸ高配当４０指数　受益証券</t>
  </si>
  <si>
    <t>iFreeETF TOPIX High Dividend Yield 40 Index</t>
  </si>
  <si>
    <t>1652</t>
  </si>
  <si>
    <t>ｉＦｒｅｅＥＴＦ　ＭＳＣＩ日本株女性活躍指数（ＷＩＮ）　受益証券</t>
  </si>
  <si>
    <t>iFreeETF MSCI Japan Empowering Women Index (WIN)</t>
  </si>
  <si>
    <t>1653</t>
  </si>
  <si>
    <t>ｉＦｒｅｅＥＴＦ　ＭＳＣＩジャパンＥＳＧセレクト・リーダーズ指数　受益証券</t>
  </si>
  <si>
    <t>iFreeETF MSCI Japan ESG Select Leaders Index</t>
  </si>
  <si>
    <t>1654</t>
  </si>
  <si>
    <t>ｉＦｒｅｅＥＴＦ　ＦＴＳＥ　Ｂｌｏｓｓｏｍ　Ｊａｐａｎ　Ｉｎｄｅｘ　受益証券</t>
  </si>
  <si>
    <t>iFreeETF FTSE Blossom Japan Index</t>
  </si>
  <si>
    <t>1655</t>
  </si>
  <si>
    <t>ｉシェアーズ　Ｓ＆Ｐ　５００　米国株　ＥＴＦ　受益証券</t>
  </si>
  <si>
    <t>iShares S&amp;P 500 ETF</t>
  </si>
  <si>
    <t>1656</t>
  </si>
  <si>
    <t>ｉシェアーズ・コア　米国債７－１０年　ＥＴＦ　受益証券</t>
  </si>
  <si>
    <t>iShares Core 7-10 Year US Treasury Bond ETF</t>
  </si>
  <si>
    <t>1657</t>
  </si>
  <si>
    <t>ｉシェアーズ・コア　ＭＳＣＩ　先進国株（除く日本）ＥＴＦ　受益証券</t>
  </si>
  <si>
    <t>iShares Core MSCI Kokusai ETF</t>
  </si>
  <si>
    <t>1658</t>
  </si>
  <si>
    <t>ｉシェアーズ・コア　ＭＳＣＩ　新興国株　ＥＴＦ　受益証券</t>
  </si>
  <si>
    <t>iShares Core MSCI Emerging Markets IMI ETF</t>
  </si>
  <si>
    <t>1659</t>
  </si>
  <si>
    <t>ｉシェアーズ　米国リート　ＥＴＦ　受益証券</t>
  </si>
  <si>
    <t>iShares US REIT ETF</t>
  </si>
  <si>
    <t>1660</t>
  </si>
  <si>
    <t>ＭＡＸＩＳ高利回りＪリート上場投信　受益証券</t>
  </si>
  <si>
    <t>MAXIS High Yield J-REIT ETF</t>
  </si>
  <si>
    <t>1671</t>
  </si>
  <si>
    <t>ＷＴＩ原油価格連動型上場投信　受益証券</t>
  </si>
  <si>
    <t>Simplex WTI ETF</t>
  </si>
  <si>
    <t>1672</t>
  </si>
  <si>
    <t>ＥＴＦＳ　金上場投資信託　投資証券</t>
  </si>
  <si>
    <t>WisdomTree Physical Gold Individual Securities</t>
  </si>
  <si>
    <t>1673</t>
  </si>
  <si>
    <t>ＥＴＦＳ　銀上場投資信託　投資証券</t>
  </si>
  <si>
    <t>WisdomTree Physical Silver Individual Securities</t>
  </si>
  <si>
    <t>1674</t>
  </si>
  <si>
    <t>ＥＴＦＳ　白金上場投資信託　投資証券</t>
  </si>
  <si>
    <t>WisdomTree Physical Platinum Individual Securities</t>
  </si>
  <si>
    <t>1675</t>
  </si>
  <si>
    <t>ＥＴＦＳ　パラジウム上場投資信託　投資証券</t>
  </si>
  <si>
    <t>WisdomTree Physical Palladium Individual Securities</t>
  </si>
  <si>
    <t>1676</t>
  </si>
  <si>
    <t>ＥＴＦＳ　貴金属バスケット上場投資信託　投資証券</t>
  </si>
  <si>
    <t>WisdomTree Physical Precious Metals Basket Securities</t>
  </si>
  <si>
    <t>1677</t>
  </si>
  <si>
    <t>上場インデックスファンド海外債券（ＦＴＳＥ　ＷＧＢＩ）毎月分配型　受益証券</t>
  </si>
  <si>
    <t>Listed Index Fund International Bond (FTSE WGBI) Monthly Dividend Payment Type</t>
  </si>
  <si>
    <t>1678</t>
  </si>
  <si>
    <t>ＮＥＸＴ　ＦＵＮＤＳ　インド株式指数・Ｎｉｆｔｙ　５０　連動型上場投信　受益証券</t>
  </si>
  <si>
    <t>NEXT FUNDS Nifty 50 Linked Exchange Traded Fund</t>
  </si>
  <si>
    <t>1679</t>
  </si>
  <si>
    <t>Ｓｉｍｐｌｅ－Ｘ　ＮＹ　ダウ・ジョーンズ・インデックス上場投信　受益証券</t>
  </si>
  <si>
    <t>Simple-X NY Dow Jones Index ETF</t>
  </si>
  <si>
    <t>1680</t>
  </si>
  <si>
    <t>上場インデックスファンド海外先進国株式（ＭＳＣＩ－ＫＯＫＵＳＡＩ）　受益証券</t>
  </si>
  <si>
    <t>Listed Index Fund International Developed Countries Equity (MSCI-KOKUSAI)</t>
  </si>
  <si>
    <t>1681</t>
  </si>
  <si>
    <t>上場インデックスファンド海外新興国株式（ＭＳＣＩ　エマージング）　受益証券</t>
  </si>
  <si>
    <t>Listed Index Fund International Emerging Countries Equity (MSCI EMERGING)</t>
  </si>
  <si>
    <t>1682</t>
  </si>
  <si>
    <t>ＮＥＸＴ　ＦＵＮＤＳ　日経・ＪＰＸ白金指数連動型上場投信　受益証券</t>
  </si>
  <si>
    <t>NEXT FUNDS Nikkei-JPX Platinum Index Linked Exchange Traded Fund</t>
  </si>
  <si>
    <t>1684</t>
  </si>
  <si>
    <t>ＥＴＦＳ　総合上場投資信託　投資証券</t>
  </si>
  <si>
    <t>WisdomTree Broad Commodities</t>
  </si>
  <si>
    <t>1685</t>
  </si>
  <si>
    <t>ＥＴＦＳ　エネルギー上場投資信託　投資証券</t>
  </si>
  <si>
    <t>WisdomTree Energy</t>
  </si>
  <si>
    <t>1686</t>
  </si>
  <si>
    <t>ＥＴＦＳ　産業用金属上場投資信託　投資証券</t>
  </si>
  <si>
    <t>WisdomTree Industrial Metals</t>
  </si>
  <si>
    <t>1687</t>
  </si>
  <si>
    <t>ＥＴＦＳ　農産物上場投資信託　投資証券</t>
  </si>
  <si>
    <t>WisdomTree Agriculture</t>
  </si>
  <si>
    <t>1688</t>
  </si>
  <si>
    <t>ＥＴＦＳ　穀物上場投資信託　投資証券</t>
  </si>
  <si>
    <t>WisdomTree Grains</t>
  </si>
  <si>
    <t>1689</t>
  </si>
  <si>
    <t>ＥＴＦＳ　天然ガス上場投資信託　投資証券</t>
  </si>
  <si>
    <t>WisdomTree Natural Gas</t>
  </si>
  <si>
    <t>1690</t>
  </si>
  <si>
    <t>ＥＴＦＳ　ＷＴＩ　原油上場投資信託　投資証券</t>
  </si>
  <si>
    <t>WisdomTree WTI Crude Oil</t>
  </si>
  <si>
    <t>1691</t>
  </si>
  <si>
    <t>ＥＴＦＳ　ガソリン上場投資信託　投資証券</t>
  </si>
  <si>
    <t>WisdomTree Gasoline</t>
  </si>
  <si>
    <t>1692</t>
  </si>
  <si>
    <t>ＥＴＦＳ　アルミニウム上場投資信託　投資証券</t>
  </si>
  <si>
    <t>WisdomTree Aluminium</t>
  </si>
  <si>
    <t>1693</t>
  </si>
  <si>
    <t>ＥＴＦＳ　銅上場投資信託　投資証券</t>
  </si>
  <si>
    <t>WisdomTree Copper</t>
  </si>
  <si>
    <t>1694</t>
  </si>
  <si>
    <t>ＥＴＦＳ　ニッケル上場投資信託　投資証券</t>
  </si>
  <si>
    <t>WisdomTree Nickel</t>
  </si>
  <si>
    <t>1695</t>
  </si>
  <si>
    <t>ＥＴＦＳ　小麦上場投資信託　投資証券</t>
  </si>
  <si>
    <t>WisdomTree Wheat</t>
  </si>
  <si>
    <t>1696</t>
  </si>
  <si>
    <t>ＥＴＦＳ　とうもろこし上場投資信託　投資証券</t>
  </si>
  <si>
    <t>WisdomTree Corn</t>
  </si>
  <si>
    <t>1697</t>
  </si>
  <si>
    <t>ＥＴＦＳ　大豆上場投資信託　投資証券</t>
  </si>
  <si>
    <t>WisdomTree Soybeans</t>
  </si>
  <si>
    <t>22</t>
  </si>
  <si>
    <t>1698</t>
  </si>
  <si>
    <t>上場インデックスファンド日本高配当（東証配当フォーカス１００）　受益証券</t>
  </si>
  <si>
    <t>Listed Index Fund Japan High Dividend (TSE Dividend Focus 100)</t>
  </si>
  <si>
    <t>1699</t>
  </si>
  <si>
    <t>ＮＥＸＴ　ＦＵＮＤＳ　ＮＯＭＵＲＡ　原油インデックス連動型上場投信　受益証券</t>
  </si>
  <si>
    <t>NEXT FUNDS NOMURA Crude Oil Long Index Linked Exchange Traded Fund</t>
  </si>
  <si>
    <t>2011</t>
  </si>
  <si>
    <t>ＳＭＤＡＭ　Ａｃｔｉｖｅ　ＥＴＦ　日本高配当株式　受益証券</t>
  </si>
  <si>
    <t>SMDAM Active ETF Japan High Dividend Equity</t>
  </si>
  <si>
    <t>2031</t>
  </si>
  <si>
    <t>ＮＥＸＴ　ＮＯＴＥＳ　香港ハンセン・ダブル・ブル　ＥＴＮ　受益証券</t>
  </si>
  <si>
    <t>NEXT NOTES HSI Leveraged ETN</t>
  </si>
  <si>
    <t>信用</t>
  </si>
  <si>
    <t>2032</t>
  </si>
  <si>
    <t>ＮＥＸＴ　ＮＯＴＥＳ　香港ハンセン・ベア　ＥＴＮ　受益証券</t>
  </si>
  <si>
    <t>NEXT NOTES HSI Short ETN</t>
  </si>
  <si>
    <t>2033</t>
  </si>
  <si>
    <t>ＮＥＸＴ　ＮＯＴＥＳ　韓国ＫＯＳＰＩ・ダブル・ブル　ＥＴＮ　受益証券</t>
  </si>
  <si>
    <t>NEXT NOTES KOSPI200 Leverage ETN</t>
  </si>
  <si>
    <t>2034</t>
  </si>
  <si>
    <t>ＮＥＸＴ　ＮＯＴＥＳ　韓国ＫＯＳＰＩ・ベア　ＥＴＮ　受益証券</t>
  </si>
  <si>
    <t>NEXT NOTES F-KOSPI200 Inverse ETN</t>
  </si>
  <si>
    <t>2036</t>
  </si>
  <si>
    <t>ＮＥＸＴ　ＮＯＴＥＳ　金先物　ダブル・ブル　ＥＴＮ　受益証券</t>
  </si>
  <si>
    <t>NEXT NOTES Gold Futures Double Bull ETN</t>
  </si>
  <si>
    <t>2037</t>
  </si>
  <si>
    <t>ＮＥＸＴ　ＮＯＴＥＳ　金先物　ベア　ＥＴＮ　受益証券</t>
  </si>
  <si>
    <t>NEXT NOTES Gold Futures Bear ETN</t>
  </si>
  <si>
    <t>2038</t>
  </si>
  <si>
    <t>ＮＥＸＴ　ＮＯＴＥＳ　ドバイ原油先物　ダブル・ブル　ＥＴＮ　受益証券</t>
  </si>
  <si>
    <t>NEXT NOTES Dubai Crude Oil Futures Double Bull ETN</t>
  </si>
  <si>
    <t>2039</t>
  </si>
  <si>
    <t>ＮＥＸＴ　ＮＯＴＥＳ　ドバイ原油先物　ベア　ＥＴＮ　受益証券</t>
  </si>
  <si>
    <t>NEXT NOTES Dubai Crude Oil Futures Bear ETN</t>
  </si>
  <si>
    <t>2040</t>
  </si>
  <si>
    <t>ＮＥＸＴ　ＮＯＴＥＳ　ＮＹダウ・ダブル・ブル・ドルヘッジ　ＥＴＮ　受益証券</t>
  </si>
  <si>
    <t>NEXT NOTES DJIA PR JPY-Monthly Hedged Leveraged (x2) ETN</t>
  </si>
  <si>
    <t>2041</t>
  </si>
  <si>
    <t>ＮＥＸＴ　ＮＯＴＥＳ　ＮＹダウ・ベア・ドルヘッジ　ＥＴＮ　受益証券</t>
  </si>
  <si>
    <t>NEXT NOTES DJIA TR JPY-Monthly Hedged Inverse (x1) ETN</t>
  </si>
  <si>
    <t>2042</t>
  </si>
  <si>
    <t>ＮＥＸＴ　ＮＯＴＥＳ　東証グロース市場２５０　ＥＴＮ　受益証券</t>
  </si>
  <si>
    <t>NEXT NOTES Tokyo Stock Exchange Growth Market 250 Index ETN</t>
  </si>
  <si>
    <t>2043</t>
  </si>
  <si>
    <t>ＮＥＸＴ　ＮＯＴＥＳ　ＳＴＯＸＸ　アセアン好配当５０（円、ネットリターン）ＥＴＮ　受益証券</t>
  </si>
  <si>
    <t>NEXT NOTES STOXX ASEAN-Five Select Dividend 50(NR-JPY) ETN</t>
  </si>
  <si>
    <t>2044</t>
  </si>
  <si>
    <t>ＮＥＸＴ　ＮＯＴＥＳ　Ｓ＆Ｐ５００　配当貴族（ネットリターン）　ＥＴＮ　受益証券</t>
  </si>
  <si>
    <t>NEXT NOTES S&amp;P 500 Dividend Aristocrats Net Total Return Index ETN</t>
  </si>
  <si>
    <t>2045</t>
  </si>
  <si>
    <t>ＮＥＸＴ　ＮＯＴＥＳ　Ｓ＆Ｐ　シンガポール　リート（ネットリターン）　ＥＴＮ　受益証券</t>
  </si>
  <si>
    <t>NEXT NOTES S&amp;P Singapore REIT Net Total Return Index ETN</t>
  </si>
  <si>
    <t>2046</t>
  </si>
  <si>
    <t>ＮＥＸＴ　ＮＯＴＥＳ　インドＮｉｆｔｙ・ダブル・ブル　ＥＴＮ　受益証券</t>
  </si>
  <si>
    <t>NEXT NOTES Nifty PR 2x Leverage Index ETN</t>
  </si>
  <si>
    <t>2047</t>
  </si>
  <si>
    <t>ＮＥＸＴ　ＮＯＴＥＳ　インドＮｉｆｔｙ・ベア　ＥＴＮ　受益証券</t>
  </si>
  <si>
    <t>NEXT NOTES Nifty Total Returns(TR) Daily Inverse Index ETN</t>
  </si>
  <si>
    <t>2048</t>
  </si>
  <si>
    <t>ＮＥＸＴ　ＮＯＴＥＳ　野村日本株高配当７０（ドルヘッジ、ネットリターン）ＥＴＮ　受益証券</t>
  </si>
  <si>
    <t>NEXT NOTES Nomura Japan Equity High Dividend 70,Net Total Return US Dollar Hedged Index ETN</t>
  </si>
  <si>
    <t>2050</t>
  </si>
  <si>
    <t>ＮＥＸＴ　ＮＯＴＥＳ　ニッチトップ　中小型日本株（ネットリターン）ＥＴＮ　受益証券</t>
  </si>
  <si>
    <t>NEXT NOTES Niche Top Mid Small Cap Japan Equity, Net Total Return ETN</t>
  </si>
  <si>
    <t>2065</t>
  </si>
  <si>
    <t>ＮＥＸＴ　ＮＯＴＥＳ　日本株配当貴族（ドルヘッジ、ネットリターン）ＥＴＮ　受益証券</t>
  </si>
  <si>
    <t>NEXT NOTES S&amp;P/JPX Dividend Aristocrats Index USD Hedged NTR ETN</t>
  </si>
  <si>
    <t>2066</t>
  </si>
  <si>
    <t>ＮＥＸＴ　ＮＯＴＥＳ　東証ＲＥＩＴ（ドルヘッジ、ネットリターン）ＥＴＮ　受益証券</t>
  </si>
  <si>
    <t>NEXT NOTES Tokyo Stock Exchange REIT Net Total Return US Dollar Hedged Index ETN</t>
  </si>
  <si>
    <t>2067</t>
  </si>
  <si>
    <t>ＮＥＸＴ　ＮＯＴＥＳ　野村ＡＩビジネス７０（ネットリターン）ＥＴＮ　受益証券</t>
  </si>
  <si>
    <t>NEXT NOTES AI Companies 70,Net Total Return ETN</t>
  </si>
  <si>
    <t>2068</t>
  </si>
  <si>
    <t>ＮＥＸＴ　ＮＯＴＥＳ　高ベータ３０（ネットリターン）ＥＴＮ　受益証券</t>
  </si>
  <si>
    <t>NEXT NOTES Japan Equity High Beta Select 30,Net Total Return ETN</t>
  </si>
  <si>
    <t>2069</t>
  </si>
  <si>
    <t>ＮＥＸＴ　ＮＯＴＥＳ　低ベータ５０（ネットリターン）ＥＴＮ　受益証券</t>
  </si>
  <si>
    <t>NEXT NOTES Japan Equity Low Beta Select 50,Net Total Return ETN</t>
  </si>
  <si>
    <t>2070</t>
  </si>
  <si>
    <t>スマートＥＳＧ３０女性活躍（ネットリターン）ＥＴＮ　受益証券</t>
  </si>
  <si>
    <t>Smart ESG 30 Empowering Women Net Return ETN</t>
  </si>
  <si>
    <t>2071</t>
  </si>
  <si>
    <t>スマートＥＳＧ３０総合（ネットリターン）ＥＴＮ　受益証券</t>
  </si>
  <si>
    <t>Smart ESG 30 Net Return ETN</t>
  </si>
  <si>
    <t>2072</t>
  </si>
  <si>
    <t>トップシェアインデックス（ネットリターン）ＥＴＮ　受益証券</t>
  </si>
  <si>
    <t>Market Share Leaders Net Return ETN</t>
  </si>
  <si>
    <t>2073</t>
  </si>
  <si>
    <t>スマートＥＳＧ３０低カーボンリスク（ネットリターン）ＥＴＮ　受益証券</t>
  </si>
  <si>
    <t>Smart ESG 30 Low Carbon Risk Net Return ETN</t>
  </si>
  <si>
    <t>2080</t>
  </si>
  <si>
    <t>ＰＢＲ１倍割れ解消推進ＥＴＦ　受益証券</t>
  </si>
  <si>
    <t>PBR Improvement over 1x ETF</t>
  </si>
  <si>
    <t>2081</t>
  </si>
  <si>
    <t>政策保有解消推進ＥＴＦ　受益証券</t>
  </si>
  <si>
    <t>Strategic Shareholding Disposal Promotion ETF</t>
  </si>
  <si>
    <t>2082</t>
  </si>
  <si>
    <t>投資家経営者一心同体ＥＴＦ　受益証券</t>
  </si>
  <si>
    <t>Investor-Management Unite as One ETF</t>
  </si>
  <si>
    <t>2083</t>
  </si>
  <si>
    <t>ＮＥＸＴ　ＦＵＮＤＳ　日本成長株アクティブ上場投信　受益証券</t>
  </si>
  <si>
    <t>NEXT FUNDS Japan Growth Equity Active Exchange Traded Fund</t>
  </si>
  <si>
    <t>2084</t>
  </si>
  <si>
    <t>ＮＥＸＴ　ＦＵＮＤＳ　日本高配当株アクティブ上場投信　受益証券</t>
  </si>
  <si>
    <t>NEXT FUNDS Japan High Dividend Equity Active Exchange Traded Fund</t>
  </si>
  <si>
    <t>2085</t>
  </si>
  <si>
    <t>ＭＡＸＩＳ高配当日本株アクティブ上場投信　受益証券</t>
  </si>
  <si>
    <t>MAXIS High Dividend Japan Equity Actively Managed ETF</t>
  </si>
  <si>
    <t>2086</t>
  </si>
  <si>
    <t>ＮＺＡＭ　上場投信　Ｓ＆Ｐ５００（為替ヘッジあり）　受益証券</t>
  </si>
  <si>
    <t>NZAM ETF S&amp;P500 (JPY Hedged)</t>
  </si>
  <si>
    <t>2087</t>
  </si>
  <si>
    <t>ＮＺＡＭ　上場投信　ＮＡＳＤＡＱ１００（為替ヘッジあり）　受益証券</t>
  </si>
  <si>
    <t>NZAM ETF NASDAQ100 (JPY Hedged)</t>
  </si>
  <si>
    <t>2088</t>
  </si>
  <si>
    <t>ＮＺＡＭ　上場投信　ＮＹダウ３０（為替ヘッジあり）　受益証券</t>
  </si>
  <si>
    <t>NZAM ETF NY Dow30 (JPY Hedged)</t>
  </si>
  <si>
    <t>2089</t>
  </si>
  <si>
    <t>ＮＺＡＭ　上場投信　ＤＡＸ（為替ヘッジあり）　受益証券</t>
  </si>
  <si>
    <t>NZAM ETF DAX (JPY Hedged)</t>
  </si>
  <si>
    <t>2090</t>
  </si>
  <si>
    <t>ＮＺＡＭ　上場投信　米国国債７－１０年（為替ヘッジあり）　受益証券</t>
  </si>
  <si>
    <t>NZAM ETF US Treasury 7-10Y (JPY Hedged)</t>
  </si>
  <si>
    <t>2091</t>
  </si>
  <si>
    <t>ＮＺＡＭ　上場投信　ドイツ国債７－１０年（為替ヘッジあり）　受益証券</t>
  </si>
  <si>
    <t>NZAM ETF German Government Bond 7-10Y (JPY Hedged)</t>
  </si>
  <si>
    <t>2092</t>
  </si>
  <si>
    <t>ＮＺＡＭ　上場投信　フランス国債７－１０年（為替ヘッジあり）　受益証券</t>
  </si>
  <si>
    <t>NZAM ETF France Government Bond 7-10Y (JPY Hedged)</t>
  </si>
  <si>
    <t>2093</t>
  </si>
  <si>
    <t>上場Ｔｒａｃｅｒｓ　米国債０－２年ラダー（為替ヘッジなし）　受益証券</t>
  </si>
  <si>
    <t>Listed Tracers US Government Bond 0-2years Ladder (No Currency Hedge)</t>
  </si>
  <si>
    <t>2094</t>
  </si>
  <si>
    <t>東証ＲＥＩＴインバースＥＴＦ　受益証券</t>
  </si>
  <si>
    <t>TSE REIT Inverse ETF</t>
  </si>
  <si>
    <t>2095</t>
  </si>
  <si>
    <t>グローバルＸ　Ｓ＆Ｐ５００配当貴族　ＥＴＦ（為替ヘッジあり）　受益証券</t>
  </si>
  <si>
    <t>Global X S&amp;P 500 Dividend Aristocrats ETF (JPY Hedged)</t>
  </si>
  <si>
    <t>2096</t>
  </si>
  <si>
    <t>グローバルＸ　オフィス・Ｊ－ＲＥＩＴ　ＥＴＦ　受益証券</t>
  </si>
  <si>
    <t>Global X Office J-REIT ETF</t>
  </si>
  <si>
    <t>2097</t>
  </si>
  <si>
    <t>グローバルＸ　レジデンシャル・Ｊ－ＲＥＩＴ　ＥＴＦ　受益証券</t>
  </si>
  <si>
    <t>Global X Residential J-REIT ETF</t>
  </si>
  <si>
    <t>2098</t>
  </si>
  <si>
    <t>グローバルＸ　ホテル＆リテール・Ｊ－ＲＥＩＴ　ＥＴＦ　受益証券</t>
  </si>
  <si>
    <t>Global X Hotel &amp; Retail J-REIT ETF</t>
  </si>
  <si>
    <t>2235</t>
  </si>
  <si>
    <t>上場インデックスファンド米国株式（ダウ平均）為替ヘッジなし　受益証券</t>
  </si>
  <si>
    <t>Listed Index Fund US Equity (Dow Average) No Currency Hedge</t>
  </si>
  <si>
    <t>2236</t>
  </si>
  <si>
    <t>グローバルＸ　Ｓ＆Ｐ５００配当貴族ＥＴＦ　受益証券</t>
  </si>
  <si>
    <t>Global X S&amp;P 500 Dividend Aristocrats ETF</t>
  </si>
  <si>
    <t>2237</t>
  </si>
  <si>
    <t>ｉＦｒｅｅＥＴＦ　Ｓ＆Ｐ５００レバレッジ　受益証券</t>
  </si>
  <si>
    <t>iFreeETF S&amp;P500 Leveraged (2x)</t>
  </si>
  <si>
    <t>2238</t>
  </si>
  <si>
    <t>ｉＦｒｅｅＥＴＦ　Ｓ＆Ｐ５００インバース　受益証券</t>
  </si>
  <si>
    <t>iFreeETF S&amp;P500 Inverse</t>
  </si>
  <si>
    <t>2239</t>
  </si>
  <si>
    <t>上場インデックスファンドＳ＆Ｐ５００先物レバレッジ２倍　受益証券</t>
  </si>
  <si>
    <t>Listed Index Fund S&amp;P500 Futures Leveraged Two Times</t>
  </si>
  <si>
    <t>2240</t>
  </si>
  <si>
    <t>上場インデックスファンドＳ＆Ｐ５００先物インバース　受益証券</t>
  </si>
  <si>
    <t>Listed Index Fund S&amp;P500 Futures Inverse</t>
  </si>
  <si>
    <t>2241</t>
  </si>
  <si>
    <t>ＭＡＸＩＳ　ＮＹダウ上場投信　受益証券</t>
  </si>
  <si>
    <t>MAXIS NY Dow Industrial Average ETF</t>
  </si>
  <si>
    <t>2242</t>
  </si>
  <si>
    <t>ＭＡＸＩＳ　ＮＹダウ上場投信（為替ヘッジあり）　受益証券</t>
  </si>
  <si>
    <t>MAXIS NY Dow Industrial Average ETF (JPY Hedged)</t>
  </si>
  <si>
    <t>2243</t>
  </si>
  <si>
    <t>グローバルＸ　半導体　ＥＴＦ　受益証券</t>
  </si>
  <si>
    <t>Global X Semiconductor ETF</t>
  </si>
  <si>
    <t>2244</t>
  </si>
  <si>
    <t>グローバルＸ　ＵＳ　テック・トップ２０　ＥＴＦ　受益証券</t>
  </si>
  <si>
    <t>Global X US Tech Top 20 ETF</t>
  </si>
  <si>
    <t>2245</t>
  </si>
  <si>
    <t>ＮＥＸＴ　ＦＵＮＤＳ　ブルームバーグ・ドイツ国債（７－１０年）インデックス（為替ヘッジあり）連動型上場投信　受益証券</t>
  </si>
  <si>
    <t>NEXT FUNDS Bloomberg Germany Treasury Bond (7-10 year) Index (Yen-Hedged) Exchange Traded Fund</t>
  </si>
  <si>
    <t>2246</t>
  </si>
  <si>
    <t>ＮＥＸＴ　ＦＵＮＤＳ　ブルームバーグ・フランス国債（７－１０年）インデックス（為替ヘッジあり）連動型上場投信　受益証券</t>
  </si>
  <si>
    <t>NEXT FUNDS Bloomberg France Treasury Bond (7-10 year) Index (Yen-Hedged) Exchange Traded Fund</t>
  </si>
  <si>
    <t>2247</t>
  </si>
  <si>
    <t>ｉＦｒｅｅＥＴＦ　Ｓ＆Ｐ５００（為替ヘッジなし）　受益証券</t>
  </si>
  <si>
    <t>iFreeETF S&amp;P500 (NON HEDGED)</t>
  </si>
  <si>
    <t>2248</t>
  </si>
  <si>
    <t>ｉＦｒｅｅＥＴＦ　Ｓ＆Ｐ５００（為替ヘッジあり）　受益証券</t>
  </si>
  <si>
    <t>iFreeETF S&amp;P500 (JPY HEDGED)</t>
  </si>
  <si>
    <t>2249</t>
  </si>
  <si>
    <t>ｉＦｒｅｅＥＴＦ　Ｓ＆Ｐ５００ダブルインバース　受益証券</t>
  </si>
  <si>
    <t>iFreeETF S&amp;P500 Double Inverse (-2x)</t>
  </si>
  <si>
    <t>2250</t>
  </si>
  <si>
    <t>ｉシェアーズ　ＭＳＣＩ　ジャパン気候変動アクション　ＥＴＦ　受益証券</t>
  </si>
  <si>
    <t>iShares MSCI Japan Climate Action ETF</t>
  </si>
  <si>
    <t>2251</t>
  </si>
  <si>
    <t>ＮＥＸＴ　ＦＵＮＤＳ　ＪＰＸ国債先物ダブルインバース指数連動型上場投信　受益証券</t>
  </si>
  <si>
    <t>NEXT FUNDS JPX JGB Futures Double Inverse Index Exchange Traded Fund</t>
  </si>
  <si>
    <t>2252</t>
  </si>
  <si>
    <t>グローバルＸ　Ｍｏｒｎｉｎｇｓｔａｒ　米国中小型　Ｍｏａｔ　ＥＴＦ　受益証券</t>
  </si>
  <si>
    <t>Global X Morningstar US Small Mid Moat ETF</t>
  </si>
  <si>
    <t>2253</t>
  </si>
  <si>
    <t>グローバルＸ　スーパーディビィデンド－ＵＳ　ＥＴＦ　受益証券</t>
  </si>
  <si>
    <t>Global X SuperDividend U.S. ETF</t>
  </si>
  <si>
    <t>2254</t>
  </si>
  <si>
    <t>グローバルＸ　チャイナＥＶ＆バッテリー　ＥＴＦ　受益証券</t>
  </si>
  <si>
    <t>Global X China Electric Vehicle and Battery ETF</t>
  </si>
  <si>
    <t>2255</t>
  </si>
  <si>
    <t>ｉシェアーズ　米国債２０年超　ＥＴＦ　受益証券</t>
  </si>
  <si>
    <t>iShares 20+ Year US Treasury Bond ETF</t>
  </si>
  <si>
    <t>2256</t>
  </si>
  <si>
    <t>ｉシェアーズ　米国総合債券　ＥＴＦ　受益証券</t>
  </si>
  <si>
    <t>iShares US Aggregate Bond ETF</t>
  </si>
  <si>
    <t>2257</t>
  </si>
  <si>
    <t>ｉシェアーズ　米ドル建て投資適格社債　ＥＴＦ　受益証券</t>
  </si>
  <si>
    <t>iShares USD Investment Grade Corporate Bond ETF</t>
  </si>
  <si>
    <t>2258</t>
  </si>
  <si>
    <t>ｉシェアーズ　米ドル建てハイイールド社債　ＥＴＦ　受益証券</t>
  </si>
  <si>
    <t>iShares USD High Yield Corporate Bond ETF</t>
  </si>
  <si>
    <t>2259</t>
  </si>
  <si>
    <t>ｉシェアーズ　フランス国債７－１０年　ＥＴＦ（為替ヘッジあり）　受益証券</t>
  </si>
  <si>
    <t>iShares 7-10 Year France Government Bond JPY Hedged ETF</t>
  </si>
  <si>
    <t>2510</t>
  </si>
  <si>
    <t>ＮＥＸＴ　ＦＵＮＤＳ　国内債券・ＮＯＭＵＲＡ－ＢＰＩ総合連動型上場投信　受益証券</t>
  </si>
  <si>
    <t>NEXT FUNDS Japan Bond NOMURA-BPI Exchange Traded Fund</t>
  </si>
  <si>
    <t>2511</t>
  </si>
  <si>
    <t>ＮＥＸＴ　ＦＵＮＤＳ　外国債券・ＦＴＳＥ世界国債インデックス（除く日本・為替ヘッジなし）連動型上場投信　受益証券</t>
  </si>
  <si>
    <t>NEXT FUNDS International Bond FTSE World Government Bond Index (ex Japan Unhedged) Exchange Traded Fund</t>
  </si>
  <si>
    <t>2512</t>
  </si>
  <si>
    <t>ＮＥＸＴ　ＦＵＮＤＳ　外国債券・ＦＴＳＥ世界国債インデックス（除く日本・為替ヘッジあり）連動型上場投信　受益証券</t>
  </si>
  <si>
    <t>NEXT FUNDS International Bond FTSE World Government Bond Index (ex Japan Yen-Hedged) Exchange Traded Fund</t>
  </si>
  <si>
    <t>2513</t>
  </si>
  <si>
    <t>ＮＥＸＴ　ＦＵＮＤＳ　外国株式・ＭＳＣＩ－ＫＯＫＵＳＡＩ指数（為替ヘッジなし）連動型上場投信　受益証券</t>
  </si>
  <si>
    <t>NEXT FUNDS International Equity MSCI-KOKUSAI (Unhedged) Exchange Traded Fund</t>
  </si>
  <si>
    <t>2514</t>
  </si>
  <si>
    <t>ＮＥＸＴ　ＦＵＮＤＳ　外国株式・ＭＳＣＩ－ＫＯＫＵＳＡＩ指数（為替ヘッジあり）連動型上場投信　受益証券</t>
  </si>
  <si>
    <t>NEXT FUNDS International Equity MSCI-KOKUSAI (Yen-Hedged) Exchange Traded Fund</t>
  </si>
  <si>
    <t>2515</t>
  </si>
  <si>
    <t>ＮＥＸＴ　ＦＵＮＤＳ　外国ＲＥＩＴ・Ｓ＆Ｐ先進国ＲＥＩＴ指数（除く日本・為替ヘッジなし）連動型上場投信　受益証券</t>
  </si>
  <si>
    <t>NEXT FUNDS International REIT S&amp;P Developed REIT Index (ex Japan Unhedged) Exchange Traded Fund</t>
  </si>
  <si>
    <t>2516</t>
  </si>
  <si>
    <t>東証グロース２５０ＥＴＦ　受益証券</t>
  </si>
  <si>
    <t>TSE Growth 250 ETF</t>
  </si>
  <si>
    <t>2517</t>
  </si>
  <si>
    <t>ＭＡＸＩＳ　Ｊリート・コア上場投信　受益証券</t>
  </si>
  <si>
    <t>MAXIS J-REIT Core ETF</t>
  </si>
  <si>
    <t>2518</t>
  </si>
  <si>
    <t>ＮＥＸＴ　ＦＵＮＤＳ　ＭＳＣＩ日本株女性活躍指数（セレクト）連動型上場投信　受益証券</t>
  </si>
  <si>
    <t>NEXT FUNDS MSCI Japan Empowering Women Select Index Exchange Traded Fund</t>
  </si>
  <si>
    <t>2519</t>
  </si>
  <si>
    <t>ＮＥＸＴ　ＦＵＮＤＳ　新興国債券・Ｊ．Ｐ．モルガン・エマージング・マーケット・ボンド・インデックス・プラス（為替ヘッジなし）連動型上場投信　受益証券</t>
  </si>
  <si>
    <t>NEXT FUNDS Emerging Market Bond J.P. Morgan EMBI Plus (Unhedged) Exchange Traded Fund</t>
  </si>
  <si>
    <t>2520</t>
  </si>
  <si>
    <t>ＮＥＸＴ　ＦＵＮＤＳ　新興国株式・ＭＳＣＩエマージング・マーケット・インデックス（為替ヘッジなし）連動型上場投信　受益証券</t>
  </si>
  <si>
    <t>NEXT FUNDS Emerging Market Equity MSCI-EM (Unhedged) Exchange Traded Fund</t>
  </si>
  <si>
    <t>2521</t>
  </si>
  <si>
    <t>上場インデックスファンド米国株式（Ｓ＆Ｐ５００）為替ヘッジあり　受益証券</t>
  </si>
  <si>
    <t>Listed Index Fund US Equity (S&amp;P500) Currency Hedge</t>
  </si>
  <si>
    <t>2522</t>
  </si>
  <si>
    <t>ｉシェアーズ　オートメーション　＆　ロボット　ＥＴＦ　受益証券</t>
  </si>
  <si>
    <t>iShares Automation &amp; Robot ETF</t>
  </si>
  <si>
    <t>2523</t>
  </si>
  <si>
    <t>ＭＡＸＩＳトピックス（除く金融）上場投信　受益証券</t>
  </si>
  <si>
    <t>MAXIS TOPIX Ex-Financials ETF</t>
  </si>
  <si>
    <t>2524</t>
  </si>
  <si>
    <t>ＮＺＡＭ　上場投信　ＴＯＰＩＸ　受益証券</t>
  </si>
  <si>
    <t>NZAM ETF TOPIX</t>
  </si>
  <si>
    <t>2525</t>
  </si>
  <si>
    <t>ＮＺＡＭ　上場投信　日経２２５　受益証券</t>
  </si>
  <si>
    <t>NZAM ETF Nikkei 225</t>
  </si>
  <si>
    <t>2526</t>
  </si>
  <si>
    <t>ＮＺＡＭ　上場投信　ＪＰＸ日経４００　受益証券</t>
  </si>
  <si>
    <t>NZAM ETF JPX-Nikkei400</t>
  </si>
  <si>
    <t>2527</t>
  </si>
  <si>
    <t>ＮＺＡＭ　上場投信　東証ＲＥＩＴ　Ｃｏｒｅ指数　受益証券</t>
  </si>
  <si>
    <t>NZAM ETF J-REIT Core Index</t>
  </si>
  <si>
    <t>2528</t>
  </si>
  <si>
    <t>ｉＦｒｅｅＥＴＦ　東証ＲＥＩＴ　Ｃｏｒｅ指数　受益証券</t>
  </si>
  <si>
    <t>iFreeETF Tokyo Stock Exchange REIT Core Index</t>
  </si>
  <si>
    <t>2529</t>
  </si>
  <si>
    <t>ＮＥＸＴ　ＦＵＮＤＳ　野村株主還元７０連動型上場投信　受益証券</t>
  </si>
  <si>
    <t>NEXT FUNDS Nomura Shareholder Yield 70 Exchange Traded Fund</t>
  </si>
  <si>
    <t>2530</t>
  </si>
  <si>
    <t>ＭＡＸＩＳ　ＨｕａＡｎ中国株式（上海１８０Ａ株）上場投信　受益証券</t>
  </si>
  <si>
    <t>MAXIS HuaAn China Equity (SSE 180 index) ETF</t>
  </si>
  <si>
    <t>2552</t>
  </si>
  <si>
    <t>上場インデックスファンドＪリート（東証ＲＥＩＴ指数）隔月分配型（ミニ）　受益証券</t>
  </si>
  <si>
    <t>Listed Index Fund J-REIT (Tokyo Stock Exchange REIT Index) Bi-Monthly Dividend Payment Type (Mini)</t>
  </si>
  <si>
    <t>2553</t>
  </si>
  <si>
    <t>Ｏｎｅ　ＥＴＦ　南方　中国Ａ株　ＣＳＩ５００　受益証券</t>
  </si>
  <si>
    <t>One ETF Southern China A-Share CSI 500</t>
  </si>
  <si>
    <t>2554</t>
  </si>
  <si>
    <t>ＮＥＸＴ　ＦＵＮＤＳ　ブルームバーグ米国投資適格社債（１－１０年）インデックス（為替ヘッジあり）連動型上場投信　受益証券</t>
  </si>
  <si>
    <t>NEXT FUNDS Bloomberg US Intermediate Corporate Index (JPY Hedged) Exchange Traded Fund</t>
  </si>
  <si>
    <t>2555</t>
  </si>
  <si>
    <t>東証ＲＥＩＴ　ＥＴＦ　受益証券</t>
  </si>
  <si>
    <t>TSE REIT ETF</t>
  </si>
  <si>
    <t>2556</t>
  </si>
  <si>
    <t>Ｏｎｅ　ＥＴＦ　東証ＲＥＩＴ指数　受益証券</t>
  </si>
  <si>
    <t>One ETF Tokyo Stock Exchange REIT Index</t>
  </si>
  <si>
    <t>2557</t>
  </si>
  <si>
    <t>ＳＭＤＡＭ　トピックス上場投信　受益証券</t>
  </si>
  <si>
    <t>SMDAM TOPIX ETF</t>
  </si>
  <si>
    <t>2558</t>
  </si>
  <si>
    <t>ＭＡＸＩＳ米国株式（Ｓ＆Ｐ５００）上場投信　受益証券</t>
  </si>
  <si>
    <t>MAXIS S&amp;P500 US Equity ETF</t>
  </si>
  <si>
    <t>2559</t>
  </si>
  <si>
    <t>ＭＡＸＩＳ全世界株式（オール・カントリー）上場投信　受益証券</t>
  </si>
  <si>
    <t>MAXIS World Equity (MSCI ACWI) ETF</t>
  </si>
  <si>
    <t>2560</t>
  </si>
  <si>
    <t>ＭＡＸＩＳカーボン・エフィシェント日本株上場投信　受益証券</t>
  </si>
  <si>
    <t>MAXIS Carbon Efficient Japan Equity ETF</t>
  </si>
  <si>
    <t>2561</t>
  </si>
  <si>
    <t>ｉシェアーズ・コア　日本国債　ＥＴＦ　受益証券</t>
  </si>
  <si>
    <t>iShares Core Japan Government Bond ETF</t>
  </si>
  <si>
    <t>2562</t>
  </si>
  <si>
    <t>上場インデックスファンド米国株式（ダウ平均）為替ヘッジあり　受益証券</t>
  </si>
  <si>
    <t>Listed Index Fund US Equity (Dow Average) Currency Hedge</t>
  </si>
  <si>
    <t>2563</t>
  </si>
  <si>
    <t>ｉシェアーズ　Ｓ＆Ｐ　５００　米国株　ＥＴＦ（為替ヘッジあり）　受益証券</t>
  </si>
  <si>
    <t>iShares S&amp;P 500 JPY Hedged ETF</t>
  </si>
  <si>
    <t>2564</t>
  </si>
  <si>
    <t>グローバルＸ　ＭＳＣＩスーパーディビィデンド－日本株式　ＥＴＦ　受益証券</t>
  </si>
  <si>
    <t>Global X MSCI SuperDividend Japan ETF</t>
  </si>
  <si>
    <t>2565</t>
  </si>
  <si>
    <t>グローバルＸ　ロジスティクス・Ｊ－ＲＥＩＴ　ＥＴＦ　受益証券</t>
  </si>
  <si>
    <t>Global X Logistics J-REIT ETF</t>
  </si>
  <si>
    <t>2566</t>
  </si>
  <si>
    <t>上場インデックスファンド日経ＥＳＧリート　受益証券</t>
  </si>
  <si>
    <t>Listed Index Fund Nikkei ESG REIT</t>
  </si>
  <si>
    <t>2567</t>
  </si>
  <si>
    <t>ＮＺＡＭ　上場投信　Ｓ＆Ｐ／ＪＰＸカーボン・エフィシェント指数　受益証券</t>
  </si>
  <si>
    <t>NZAM ETF S&amp;P/JPX Carbon Efficient Index</t>
  </si>
  <si>
    <t>2568</t>
  </si>
  <si>
    <t>上場インデックスファンド米国株式（ＮＡＳＤＡＱ１００）為替ヘッジなし　受益証券</t>
  </si>
  <si>
    <t>Listed Index Fund US Equity (NASDAQ100) No Currency Hedge</t>
  </si>
  <si>
    <t>2569</t>
  </si>
  <si>
    <t>上場インデックスファンド米国株式（ＮＡＳＤＡＱ１００）為替ヘッジあり　受益証券</t>
  </si>
  <si>
    <t>Listed Index Fund US Equity (NASDAQ100) Currency Hedge</t>
  </si>
  <si>
    <t>2620</t>
  </si>
  <si>
    <t>ｉシェアーズ　米国債１－３年　ＥＴＦ　受益証券</t>
  </si>
  <si>
    <t>iShares 1-3 Year US Treasury Bond ETF</t>
  </si>
  <si>
    <t>2621</t>
  </si>
  <si>
    <t>ｉシェアーズ　米国債２０年超　ＥＴＦ（為替ヘッジあり）　受益証券</t>
  </si>
  <si>
    <t>iShares 20+ Year US Treasury Bond JPY Hedged ETF</t>
  </si>
  <si>
    <t>2622</t>
  </si>
  <si>
    <t>ｉシェアーズ　米ドル建て新興国債券　ＥＴＦ（為替ヘッジあり）　受益証券</t>
  </si>
  <si>
    <t>iShares USD Emerging Markets Bond JPY Hedged ETF</t>
  </si>
  <si>
    <t>2623</t>
  </si>
  <si>
    <t>ｉシェアーズ　ユーロ建て投資適格社債　ＥＴＦ（為替ヘッジあり）　受益証券</t>
  </si>
  <si>
    <t>iShares Euro Investment Grade Corporate Bond JPY Hedged ETF</t>
  </si>
  <si>
    <t>2624</t>
  </si>
  <si>
    <t>ｉＦｒｅｅＥＴＦ　日経２２５（年４回決算型）　受益証券</t>
  </si>
  <si>
    <t>iFreeETF Nikkei225 (Quarterly Dividend Type)</t>
  </si>
  <si>
    <t>2625</t>
  </si>
  <si>
    <t>ｉＦｒｅｅＥＴＦ　ＴＯＰＩＸ（年４回決算型）　受益証券</t>
  </si>
  <si>
    <t>iFreeETF TOPIX (Quarterly Dividend Type)</t>
  </si>
  <si>
    <t>2626</t>
  </si>
  <si>
    <t>グローバルＸ　デジタル・イノベーション－日本株式　ＥＴＦ　受益証券</t>
  </si>
  <si>
    <t>Global X Digital Innovation Japan ETF</t>
  </si>
  <si>
    <t>2627</t>
  </si>
  <si>
    <t>グローバルＸ　ｅコマース－日本株式　ＥＴＦ　受益証券</t>
  </si>
  <si>
    <t>Global X E-Commerce Japan ETF</t>
  </si>
  <si>
    <t>2628</t>
  </si>
  <si>
    <t>ｉＦｒｅｅＥＴＦ　中国科創板５０（ＳＴＡＲ５０）　受益証券</t>
  </si>
  <si>
    <t>iFreeETF China STAR50</t>
  </si>
  <si>
    <t>2629</t>
  </si>
  <si>
    <t>ｉＦｒｅｅＥＴＦ　中国グレーターベイエリア・イノベーション１００（ＧＢＡ１００）　受益証券</t>
  </si>
  <si>
    <t>iFreeETF China GBA100</t>
  </si>
  <si>
    <t>2630</t>
  </si>
  <si>
    <t>ＭＡＸＩＳ米国株式（Ｓ＆Ｐ５００）上場投信（為替ヘッジあり）　受益証券</t>
  </si>
  <si>
    <t>MAXIS S&amp;P500 US Equity ETF (JPY Hedged)</t>
  </si>
  <si>
    <t>2631</t>
  </si>
  <si>
    <t>ＭＡＸＩＳナスダック１００上場投信　受益証券</t>
  </si>
  <si>
    <t>MAXIS NASDAQ100 ETF</t>
  </si>
  <si>
    <t>2632</t>
  </si>
  <si>
    <t>ＭＡＸＩＳナスダック１００上場投信（為替ヘッジあり）　受益証券</t>
  </si>
  <si>
    <t>MAXIS NASDAQ100 ETF (JPY Hedged)</t>
  </si>
  <si>
    <t>2633</t>
  </si>
  <si>
    <t>ＮＥＸＴ　ＦＵＮＤＳ　Ｓ＆Ｐ　５００　指数（為替ヘッジなし）連動型上場投信　受益証券</t>
  </si>
  <si>
    <t>NEXT FUNDS S&amp;P 500 (Unhedged) Exchange Traded Fund</t>
  </si>
  <si>
    <t xml:space="preserve">新株落ち  </t>
  </si>
  <si>
    <t xml:space="preserve">ex-subscription right  </t>
  </si>
  <si>
    <t>2634</t>
  </si>
  <si>
    <t>ＮＥＸＴ　ＦＵＮＤＳ　Ｓ＆Ｐ　５００　指数（為替ヘッジあり）連動型上場投信　受益証券</t>
  </si>
  <si>
    <t>NEXT FUNDS S&amp;P 500 (Yen-Hedged) Exchange Traded Fund</t>
  </si>
  <si>
    <t>2635</t>
  </si>
  <si>
    <t>ＮＥＸＴ　ＦＵＮＤＳ　Ｓ＆Ｐ　５００　ＥＳＧ指数連動型上場投信　受益証券</t>
  </si>
  <si>
    <t>NEXT FUNDS S&amp;P 500 ESG Index Exchange Traded Fund</t>
  </si>
  <si>
    <t>2636</t>
  </si>
  <si>
    <t>グローバルＸ　ＭＳＣＩ　ガバナンス・クオリティ－日本株式　ＥＴＦ　受益証券</t>
  </si>
  <si>
    <t>Global X MSCI Governance-Quality Japan ETF</t>
  </si>
  <si>
    <t>2637</t>
  </si>
  <si>
    <t>グローバルＸ　クリーンテック－日本株式　ＥＴＦ　受益証券</t>
  </si>
  <si>
    <t>Global X CleanTech Japan ETF</t>
  </si>
  <si>
    <t>2638</t>
  </si>
  <si>
    <t>グローバルＸ　ロボティクス＆ＡＩ－日本株式　ＥＴＦ　受益証券</t>
  </si>
  <si>
    <t>Global X Japan Robotics &amp; AI ETF</t>
  </si>
  <si>
    <t>2639</t>
  </si>
  <si>
    <t>グローバルＸ　バイオ＆メドテック－日本株式　ＥＴＦ　受益証券</t>
  </si>
  <si>
    <t>Global X Japan Bio &amp; Med Tech ETF</t>
  </si>
  <si>
    <t>2640</t>
  </si>
  <si>
    <t>グローバルＸ　ゲーム＆アニメ－日本株式　ＥＴＦ　受益証券</t>
  </si>
  <si>
    <t>Global X Japan Games &amp; Animation ETF</t>
  </si>
  <si>
    <t>2641</t>
  </si>
  <si>
    <t>グローバルＸ　グローバルリーダーズ－日本株式　ＥＴＦ　受益証券</t>
  </si>
  <si>
    <t>Global X Japan Global Leaders ETF</t>
  </si>
  <si>
    <t>2642</t>
  </si>
  <si>
    <t>ＳＭＴ　ＥＴＦカーボン・エフィシェント日本株　受益証券</t>
  </si>
  <si>
    <t>SMT ETF Carbon Efficient Index Japan Equity</t>
  </si>
  <si>
    <t>2643</t>
  </si>
  <si>
    <t>ＮＥＸＴ　ＦＵＮＤＳ　ＭＳＣＩジャパンカントリーＥＳＧリーダーズ指数連動型上場投信　受益証券</t>
  </si>
  <si>
    <t>NEXT FUNDS MSCI Japan Country ESG Leaders Index Exchange Traded Fund</t>
  </si>
  <si>
    <t>2644</t>
  </si>
  <si>
    <t>グローバルＸ　半導体関連－日本株式　ＥＴＦ　受益証券</t>
  </si>
  <si>
    <t>Global X Japan Semiconductor ETF</t>
  </si>
  <si>
    <t>2645</t>
  </si>
  <si>
    <t>グローバルＸ　レジャー＆エンターテインメント－日本株式　ＥＴＦ　受益証券</t>
  </si>
  <si>
    <t>Global X Japan Leisure &amp; Entertainment ETF</t>
  </si>
  <si>
    <t>2646</t>
  </si>
  <si>
    <t>グローバルＸ　メタルビジネス－日本株式　ＥＴＦ　受益証券</t>
  </si>
  <si>
    <t>Global X Japan Metal Business ETF</t>
  </si>
  <si>
    <t>2647</t>
  </si>
  <si>
    <t>ＮＥＸＴ　ＦＵＮＤＳ　ブルームバーグ米国国債（７－１０年）インデックス（為替ヘッジなし）連動型上場投信　受益証券</t>
  </si>
  <si>
    <t>NEXT FUNDS Bloomberg US Treasury Bond (7-10 year) Index (Unhedged) Exchange Traded Fund</t>
  </si>
  <si>
    <t>2648</t>
  </si>
  <si>
    <t>ＮＥＸＴ　ＦＵＮＤＳ　ブルームバーグ米国国債（７－１０年）インデックス（為替ヘッジあり）連動型上場投信　受益証券</t>
  </si>
  <si>
    <t>NEXT FUNDS Bloomberg US Treasury Bond (7-10 year) Index (Yen-Hedged) Exchange Traded Fund</t>
  </si>
  <si>
    <t>2649</t>
  </si>
  <si>
    <t>ｉシェアーズ　米国政府系機関ジニーメイＭＢＳ　ＥＴＦ（為替ヘッジあり）　受益証券</t>
  </si>
  <si>
    <t>iShares Ginnie Mae MBS JPY Hedged ETF</t>
  </si>
  <si>
    <t>2836</t>
  </si>
  <si>
    <t>グローバルＸ　フィンテック－日本株式　ＥＴＦ　受益証券</t>
  </si>
  <si>
    <t>Global X Japan Fintech ETF</t>
  </si>
  <si>
    <t>2837</t>
  </si>
  <si>
    <t>グローバルＸ　中小型リーダーズ－日本株式　ＥＴＦ　受益証券</t>
  </si>
  <si>
    <t>Global X Japan Mid &amp; Small Cap Leaders ETF</t>
  </si>
  <si>
    <t>2838</t>
  </si>
  <si>
    <t>ＭＡＸＩＳ米国国債７－１０年上場投信（為替ヘッジなし）　受益証券</t>
  </si>
  <si>
    <t>MAXIS US Treasury Bond 7-10 Year ETF (Unhedged)</t>
  </si>
  <si>
    <t>2839</t>
  </si>
  <si>
    <t>ＭＡＸＩＳ米国国債７－１０年上場投信（為替ヘッジあり）　受益証券</t>
  </si>
  <si>
    <t>MAXIS US Treasury Bond 7-10 Year ETF (JPY Hedged)</t>
  </si>
  <si>
    <t>2840</t>
  </si>
  <si>
    <t>ｉＦｒｅｅＥＴＦ　ＮＡＳＤＡＱ１００（為替ヘッジなし）　受益証券</t>
  </si>
  <si>
    <t>iFreeETF NASDAQ100 (NON HEDGED)</t>
  </si>
  <si>
    <t>2841</t>
  </si>
  <si>
    <t>ｉＦｒｅｅＥＴＦ　ＮＡＳＤＡＱ１００（為替ヘッジあり）　受益証券</t>
  </si>
  <si>
    <t>iFreeETF NASDAQ100 (JPY HEDGED)</t>
  </si>
  <si>
    <t>2842</t>
  </si>
  <si>
    <t>ｉＦｒｅｅＥＴＦ　ＮＡＳＤＡＱ１００インバース　受益証券</t>
  </si>
  <si>
    <t>iFreeETF NASDAQ100 Inverse</t>
  </si>
  <si>
    <t>2843</t>
  </si>
  <si>
    <t>上場インデックスファンド豪州国債（為替ヘッジあり）　受益証券</t>
  </si>
  <si>
    <t>Listed Index Fund Australian Government Bond (Currency Hedge)</t>
  </si>
  <si>
    <t>2844</t>
  </si>
  <si>
    <t>上場インデックスファンド豪州国債（為替ヘッジなし）　受益証券</t>
  </si>
  <si>
    <t>Listed Index Fund Australian Government Bond (No Currency Hedge)</t>
  </si>
  <si>
    <t>2845</t>
  </si>
  <si>
    <t>ＮＥＸＴ　ＦＵＮＤＳ　ＮＡＳＤＡＱ－１００（為替ヘッジあり）連動型上場投信　受益証券</t>
  </si>
  <si>
    <t>NEXT FUNDS NASDAQ-100(R) (Yen-Hedged) Exchange Traded Fund</t>
  </si>
  <si>
    <t>2846</t>
  </si>
  <si>
    <t>ＮＥＸＴ　ＦＵＮＤＳ　ダウ・ジョーンズ工業株３０種平均株価（為替ヘッジあり）連動型上場投信　受益証券</t>
  </si>
  <si>
    <t>NEXT FUNDS DJIA (Yen-Hedged) Exchange Traded Fund</t>
  </si>
  <si>
    <t>2847</t>
  </si>
  <si>
    <t>グローバルＸ　新成長インフラ－日本株式　ＥＴＦ　受益証券</t>
  </si>
  <si>
    <t>Global X Japan New Growth Infrastructure ETF</t>
  </si>
  <si>
    <t>2848</t>
  </si>
  <si>
    <t>グローバルＸ　ＭＳＣＩ　気候変動対応－日本株式　ＥＴＦ　受益証券</t>
  </si>
  <si>
    <t>Global X MSCI Japan Climate Change ETF</t>
  </si>
  <si>
    <t>2849</t>
  </si>
  <si>
    <t>グローバルＸ　Ｍｏｒｎｉｎｇｓｔａｒ　高配当　ＥＳＧ－日本株式　ＥＴＦ　受益証券</t>
  </si>
  <si>
    <t>Global X Morningstar Japan High Dividend ESG ETF</t>
  </si>
  <si>
    <t>2850</t>
  </si>
  <si>
    <t>ＮＥＸＴ　ＦＵＮＤＳ　ＳｏｌａｃｔｉｖｅジャパンＥＳＧコア指数連動型上場投信　受益証券</t>
  </si>
  <si>
    <t>NEXT FUNDS Solactive Japan ESG Core Index Exchange Traded Fund</t>
  </si>
  <si>
    <t>2851</t>
  </si>
  <si>
    <t>ｉシェアーズ　ＭＳＣＩ　ジャパンＳＲＩ　ＥＴＦ　受益証券</t>
  </si>
  <si>
    <t>iShares MSCI Japan SRI ETF</t>
  </si>
  <si>
    <t>2852</t>
  </si>
  <si>
    <t>ｉシェアーズ　グリーンＪリート　ＥＴＦ　受益証券</t>
  </si>
  <si>
    <t>iShares Japan Green REIT ETF</t>
  </si>
  <si>
    <t>2853</t>
  </si>
  <si>
    <t>ｉシェアーズ　気候リスク調整世界国債　ＥＴＦ（除く日本・為替ヘッジあり）　受益証券</t>
  </si>
  <si>
    <t>iShares Climate Risk-Adjusted Global ex Japan Government Bond JPY Hedged ETF</t>
  </si>
  <si>
    <t>2854</t>
  </si>
  <si>
    <t>グローバルＸ　テック・トップ２０－日本株式　ＥＴＦ　受益証券</t>
  </si>
  <si>
    <t>Global X Japan Tech Top 20 ETF</t>
  </si>
  <si>
    <t>2855</t>
  </si>
  <si>
    <t>グローバルＸ　グリーン・Ｊ－ＲＥＩＴ　ＥＴＦ　受益証券</t>
  </si>
  <si>
    <t>Global X Green J-REIT ETF</t>
  </si>
  <si>
    <t>2856</t>
  </si>
  <si>
    <t>ｉシェアーズ　米国債３－７年　ＥＴＦ（為替ヘッジあり）　受益証券</t>
  </si>
  <si>
    <t>iShares 3-7 Year US Treasury Bond JPY Hedged ETF</t>
  </si>
  <si>
    <t>2857</t>
  </si>
  <si>
    <t>ｉシェアーズ　ドイツ国債　ＥＴＦ（為替ヘッジあり）　受益証券</t>
  </si>
  <si>
    <t>iShares Germany Government Bond JPY Hedged ETF</t>
  </si>
  <si>
    <t>2858</t>
  </si>
  <si>
    <t>グローバルＸ　日経２２５　カバード・コール　ＥＴＦ（プレミアム再投資型）　受益証券</t>
  </si>
  <si>
    <t>Global X Nikkei 225 Covered Call ETF (option premium reinvestment type)</t>
  </si>
  <si>
    <t>2859</t>
  </si>
  <si>
    <t>ＮＥＸＴ　ＦＵＮＤＳ　ユーロ・ストックス５０指数（為替ヘッジあり）連動型上場投信　受益証券</t>
  </si>
  <si>
    <t>NEXT FUNDS EURO STOXX 50 (Yen-Hedged) Exchange Traded Fund</t>
  </si>
  <si>
    <t>2860</t>
  </si>
  <si>
    <t>ＮＥＸＴ　ＦＵＮＤＳ　ドイツ株式・ＤＡＸ（為替ヘッジあり）連動型上場投信　受益証券</t>
  </si>
  <si>
    <t>NEXT FUNDS German Equity DAX (Yen-Hedged) Exchange Traded Fund</t>
  </si>
  <si>
    <t>2861</t>
  </si>
  <si>
    <t>上場インデックスファンドフランス国債（為替ヘッジなし）　受益証券</t>
  </si>
  <si>
    <t>Listed Index Fund France Government Bond (No Currency Hedge)</t>
  </si>
  <si>
    <t>2862</t>
  </si>
  <si>
    <t>上場インデックスファンドフランス国債（為替ヘッジあり）　受益証券</t>
  </si>
  <si>
    <t>Listed Index Fund France Government Bond (Currency Hedge)</t>
  </si>
  <si>
    <t>2863</t>
  </si>
  <si>
    <t>ＮＥＸＴ　ＦＵＮＤＳ　Ｓ＆Ｐ米国株式・債券バランス保守型指数（為替ヘッジあり）連動型上場投信　受益証券</t>
  </si>
  <si>
    <t>NEXT FUNDS S&amp;P US Equity and Bond Balance Conservative Index (Yen-Hedged) Exchange Traded Fund</t>
  </si>
  <si>
    <t>2864</t>
  </si>
  <si>
    <t>グローバルＸ　ロジスティクス・ＲＥＩＴ　ＥＴＦ　受益証券</t>
  </si>
  <si>
    <t>Global X Logistics REIT ETF</t>
  </si>
  <si>
    <t>2865</t>
  </si>
  <si>
    <t>グローバルＸ　ＮＡＳＤＡＱ１００・カバード・コール　ＥＴＦ　受益証券</t>
  </si>
  <si>
    <t>Global X Nasdaq 100 Covered Call ETF</t>
  </si>
  <si>
    <t>2866</t>
  </si>
  <si>
    <t>グローバルＸ　米国優先証券　ＥＴＦ　受益証券</t>
  </si>
  <si>
    <t>Global X U.S. Preferred Security ETF</t>
  </si>
  <si>
    <t>2867</t>
  </si>
  <si>
    <t>グローバルＸ　自動運転＆ＥＶ　ＥＴＦ　受益証券</t>
  </si>
  <si>
    <t>Global X Autonomous &amp; EV ETF</t>
  </si>
  <si>
    <t>2868</t>
  </si>
  <si>
    <t>グローバルＸ　Ｓ＆Ｐ５００・カバード・コール　ＥＴＦ　受益証券</t>
  </si>
  <si>
    <t>Global X S&amp;P 500 Covered Call ETF</t>
  </si>
  <si>
    <t>2869</t>
  </si>
  <si>
    <t>ｉＦｒｅｅＥＴＦ　ＮＡＳＤＡＱ１００レバレッジ　受益証券</t>
  </si>
  <si>
    <t>iFreeETF NASDAQ100 Leveraged (2x)</t>
  </si>
  <si>
    <t>2870</t>
  </si>
  <si>
    <t>ｉＦｒｅｅＥＴＦ　ＮＡＳＤＡＱ１００ダブルインバース　受益証券</t>
  </si>
  <si>
    <t>iFreeETF NASDAQ100 Double Inverse (-2x)</t>
  </si>
  <si>
    <t>2971</t>
  </si>
  <si>
    <t>エスコンジャパンリート投資法人　投資証券</t>
  </si>
  <si>
    <t>ESCON JAPAN REIT Investment Corporation</t>
  </si>
  <si>
    <t>2972</t>
  </si>
  <si>
    <t>サンケイリアルエステート投資法人　投資証券</t>
  </si>
  <si>
    <t>SANKEI REAL ESTATE Inc.</t>
  </si>
  <si>
    <t>2979</t>
  </si>
  <si>
    <t>ＳＯＳｉＬＡ物流リート投資法人　投資証券</t>
  </si>
  <si>
    <t>SOSiLA Logistics REIT,Inc.</t>
  </si>
  <si>
    <t>2989</t>
  </si>
  <si>
    <t>東海道リート投資法人　投資証券</t>
  </si>
  <si>
    <t>Tokaido REIT,Inc.</t>
  </si>
  <si>
    <t>3226</t>
  </si>
  <si>
    <t>日本アコモデーションファンド投資法人　投資証券</t>
  </si>
  <si>
    <t>Nippon Accommodations Fund Inc.</t>
  </si>
  <si>
    <t>3234</t>
  </si>
  <si>
    <t>森ヒルズリート投資法人　投資証券</t>
  </si>
  <si>
    <t>MORI HILLS REIT INVESTMENT CORPORATION</t>
  </si>
  <si>
    <t>3249</t>
  </si>
  <si>
    <t>産業ファンド投資法人　投資証券</t>
  </si>
  <si>
    <t>Industrial &amp; Infrastructure Fund Investment Corporation</t>
  </si>
  <si>
    <t>3269</t>
  </si>
  <si>
    <t>アドバンス・レジデンス投資法人　投資証券</t>
  </si>
  <si>
    <t>Advance Residence Investment Corporation</t>
  </si>
  <si>
    <t>3279</t>
  </si>
  <si>
    <t>アクティビア・プロパティーズ投資法人　投資証券</t>
  </si>
  <si>
    <t>Activia Properties Inc.</t>
  </si>
  <si>
    <t>3281</t>
  </si>
  <si>
    <t>ＧＬＰ投資法人　投資証券</t>
  </si>
  <si>
    <t>GLP J-REIT</t>
  </si>
  <si>
    <t>3282</t>
  </si>
  <si>
    <t>コンフォリア・レジデンシャル投資法人　投資証券</t>
  </si>
  <si>
    <t>Comforia Residential REIT,Inc</t>
  </si>
  <si>
    <t>3283</t>
  </si>
  <si>
    <t>日本プロロジスリート投資法人　投資証券</t>
  </si>
  <si>
    <t>Nippon Prologis REIT,Inc.</t>
  </si>
  <si>
    <t>3287</t>
  </si>
  <si>
    <t>星野リゾート・リート投資法人　投資証券</t>
  </si>
  <si>
    <t>Hoshino Resorts REIT,Inc.</t>
  </si>
  <si>
    <t>3290</t>
  </si>
  <si>
    <t>Ｏｎｅリート投資法人　投資証券</t>
  </si>
  <si>
    <t>One REIT,Inc.</t>
  </si>
  <si>
    <t>3292</t>
  </si>
  <si>
    <t>イオンリート投資法人　投資証券</t>
  </si>
  <si>
    <t>AEON REIT Investment Corporation</t>
  </si>
  <si>
    <t>3295</t>
  </si>
  <si>
    <t>ヒューリックリート投資法人　投資証券</t>
  </si>
  <si>
    <t>Hulic Reit,Inc.</t>
  </si>
  <si>
    <t>3296</t>
  </si>
  <si>
    <t>日本リート投資法人　投資証券</t>
  </si>
  <si>
    <t>NIPPON REIT Investment Corporation</t>
  </si>
  <si>
    <t>3309</t>
  </si>
  <si>
    <t>積水ハウス・リート投資法人　投資証券</t>
  </si>
  <si>
    <t>Sekisui House Reit,Inc.</t>
  </si>
  <si>
    <t>3451</t>
  </si>
  <si>
    <t>トーセイ・リート投資法人　投資証券</t>
  </si>
  <si>
    <t>Tosei Reit Investment Corporation</t>
  </si>
  <si>
    <t>3455</t>
  </si>
  <si>
    <t>ヘルスケア＆メディカル投資法人　投資証券</t>
  </si>
  <si>
    <t>Healthcare &amp; Medical Investment Corporation</t>
  </si>
  <si>
    <t>3459</t>
  </si>
  <si>
    <t>サムティ・レジデンシャル投資法人　投資証券</t>
  </si>
  <si>
    <t>Samty Residential Investment Corporation</t>
  </si>
  <si>
    <t>3462</t>
  </si>
  <si>
    <t>野村不動産マスターファンド投資法人　投資証券</t>
  </si>
  <si>
    <t>Nomura Real Estate Master Fund,Inc.</t>
  </si>
  <si>
    <t>3463</t>
  </si>
  <si>
    <t>いちごホテルリート投資法人　投資証券</t>
  </si>
  <si>
    <t>Ichigo Hotel REIT Investment Corporation</t>
  </si>
  <si>
    <t>3466</t>
  </si>
  <si>
    <t>ラサールロジポート投資法人　投資証券</t>
  </si>
  <si>
    <t>LaSalle LOGIPORT REIT</t>
  </si>
  <si>
    <t>3468</t>
  </si>
  <si>
    <t>スターアジア不動産投資法人　投資証券</t>
  </si>
  <si>
    <t>Star Asia Investment Corporation</t>
  </si>
  <si>
    <t>3470</t>
  </si>
  <si>
    <t>マリモ地方創生リート投資法人　投資証券</t>
  </si>
  <si>
    <t>Marimo Regional Revitalization REIT,Inc.</t>
  </si>
  <si>
    <t>3471</t>
  </si>
  <si>
    <t>三井不動産ロジスティクスパーク投資法人　投資証券</t>
  </si>
  <si>
    <t>Mitsui Fudosan Logistics Park Inc.</t>
  </si>
  <si>
    <t>3472</t>
  </si>
  <si>
    <t>大江戸温泉リート投資法人　投資証券</t>
  </si>
  <si>
    <t>Ooedo Onsen Reit Investment Corporation</t>
  </si>
  <si>
    <t>3476</t>
  </si>
  <si>
    <t>投資法人みらい　投資証券</t>
  </si>
  <si>
    <t>MIRAI Corporation</t>
  </si>
  <si>
    <t>3481</t>
  </si>
  <si>
    <t>三菱地所物流リート投資法人　投資証券</t>
  </si>
  <si>
    <t>Mitsubishi Estate Logistics REIT Investment Corporation</t>
  </si>
  <si>
    <t>3487</t>
  </si>
  <si>
    <t>ＣＲＥロジスティクスファンド投資法人　投資証券</t>
  </si>
  <si>
    <t>CRE Logistics REIT,Inc.</t>
  </si>
  <si>
    <t>3488</t>
  </si>
  <si>
    <t>ザイマックス・リート投資法人　投資証券</t>
  </si>
  <si>
    <t>XYMAX REIT Investment Corporation</t>
  </si>
  <si>
    <t>3492</t>
  </si>
  <si>
    <t>タカラレーベン不動産投資法人　投資証券</t>
  </si>
  <si>
    <t>Takara Leben Real Estate Investment Corporation</t>
  </si>
  <si>
    <t>3493</t>
  </si>
  <si>
    <t>アドバンス・ロジスティクス投資法人　投資証券</t>
  </si>
  <si>
    <t>Advance Logistics Investment Corporation</t>
  </si>
  <si>
    <t>8951</t>
  </si>
  <si>
    <t>日本ビルファンド投資法人　投資証券</t>
  </si>
  <si>
    <t>Nippon Building Fund Inc.</t>
  </si>
  <si>
    <t>8952</t>
  </si>
  <si>
    <t>ジャパンリアルエステイト投資法人　投資証券</t>
  </si>
  <si>
    <t>Japan Real Estate Investment Corporation</t>
  </si>
  <si>
    <t>8953</t>
  </si>
  <si>
    <t>日本都市ファンド投資法人　投資証券</t>
  </si>
  <si>
    <t>Japan Metropolitan Fund Investment Corporation</t>
  </si>
  <si>
    <t>8954</t>
  </si>
  <si>
    <t>オリックス不動産投資法人　投資証券</t>
  </si>
  <si>
    <t>ORIX JREIT Inc.</t>
  </si>
  <si>
    <t>8955</t>
  </si>
  <si>
    <t>日本プライムリアルティ投資法人　投資証券</t>
  </si>
  <si>
    <t>Japan Prime Realty Investment Corporation</t>
  </si>
  <si>
    <t>8956</t>
  </si>
  <si>
    <t>ＮＴＴ都市開発リート投資法人　投資証券</t>
  </si>
  <si>
    <t>NTT UD REIT Investment Corporation</t>
  </si>
  <si>
    <t>8957</t>
  </si>
  <si>
    <t>東急リアル・エステート投資法人　投資証券</t>
  </si>
  <si>
    <t>TOKYU REIT, Inc.</t>
  </si>
  <si>
    <t>8958</t>
  </si>
  <si>
    <t>グローバル・ワン不動産投資法人　投資証券</t>
  </si>
  <si>
    <t>Global One Real Estate Investment Corporation</t>
  </si>
  <si>
    <t>8960</t>
  </si>
  <si>
    <t>ユナイテッド・アーバン投資法人　投資証券</t>
  </si>
  <si>
    <t>United Urban Investment Corporation</t>
  </si>
  <si>
    <t>8961</t>
  </si>
  <si>
    <t>森トラストリート投資法人　投資証券</t>
  </si>
  <si>
    <t>MORI TRUST REIT,Inc.</t>
  </si>
  <si>
    <t>8963</t>
  </si>
  <si>
    <t>インヴィンシブル投資法人　投資証券</t>
  </si>
  <si>
    <t>Invincible Investment Corporation</t>
  </si>
  <si>
    <t>8964</t>
  </si>
  <si>
    <t>フロンティア不動産投資法人　投資証券</t>
  </si>
  <si>
    <t>Frontier Real Estate Investment Corporation</t>
  </si>
  <si>
    <t>8966</t>
  </si>
  <si>
    <t>平和不動産リート投資法人　投資証券</t>
  </si>
  <si>
    <t>HEIWA REAL ESTATE REIT,Inc.</t>
  </si>
  <si>
    <t>8967</t>
  </si>
  <si>
    <t>日本ロジスティクスファンド投資法人　投資証券</t>
  </si>
  <si>
    <t>Japan Logistics Fund,Inc.</t>
  </si>
  <si>
    <t>8968</t>
  </si>
  <si>
    <t>福岡リート投資法人　投資証券</t>
  </si>
  <si>
    <t>Fukuoka REIT Corporation</t>
  </si>
  <si>
    <t>8972</t>
  </si>
  <si>
    <t>ＫＤＸ不動産投資法人　投資証券</t>
  </si>
  <si>
    <t>KDX Realty Investment Corporation</t>
  </si>
  <si>
    <t>8975</t>
  </si>
  <si>
    <t>いちごオフィスリート投資法人　投資証券</t>
  </si>
  <si>
    <t>Ichigo Office REIT Investment Corporation</t>
  </si>
  <si>
    <t>8976</t>
  </si>
  <si>
    <t>大和証券オフィス投資法人　投資証券</t>
  </si>
  <si>
    <t>Daiwa Office Investment Corporation</t>
  </si>
  <si>
    <t>8977</t>
  </si>
  <si>
    <t>阪急阪神リート投資法人　投資証券</t>
  </si>
  <si>
    <t>Hankyu Hanshin REIT,Inc.</t>
  </si>
  <si>
    <t>8979</t>
  </si>
  <si>
    <t>スターツプロシード投資法人　投資証券</t>
  </si>
  <si>
    <t>Starts Proceed Investment Corporation</t>
  </si>
  <si>
    <t>8984</t>
  </si>
  <si>
    <t>大和ハウスリート投資法人　投資証券</t>
  </si>
  <si>
    <t>Daiwa House REIT Investment Corporation</t>
  </si>
  <si>
    <t>8985</t>
  </si>
  <si>
    <t>ジャパン・ホテル・リート投資法人　投資証券</t>
  </si>
  <si>
    <t>Japan Hotel REIT Investment Corporation</t>
  </si>
  <si>
    <t>8986</t>
  </si>
  <si>
    <t>大和証券リビング投資法人　投資証券</t>
  </si>
  <si>
    <t>Daiwa Securities Living Investment Corporation</t>
  </si>
  <si>
    <t>8987</t>
  </si>
  <si>
    <t>ジャパンエクセレント投資法人　投資証券</t>
  </si>
  <si>
    <t>Japan Excellent,Inc.</t>
  </si>
  <si>
    <t>9282</t>
  </si>
  <si>
    <t>いちごグリーンインフラ投資法人　投資証券</t>
  </si>
  <si>
    <t>Ichigo Green Infrastructure Investment Corporation</t>
  </si>
  <si>
    <t>9284</t>
  </si>
  <si>
    <t>カナディアン・ソーラー・インフラ投資法人　投資証券</t>
  </si>
  <si>
    <t>Canadian Solar Infrastructure Fund,Inc.</t>
  </si>
  <si>
    <t>9285</t>
  </si>
  <si>
    <t>東京インフラ・エネルギー投資法人　投資証券</t>
  </si>
  <si>
    <t>Tokyo Infrastructure Energy Investment Corporation</t>
  </si>
  <si>
    <t>9286</t>
  </si>
  <si>
    <t>エネクス・インフラ投資法人　投資証券</t>
  </si>
  <si>
    <t>Enex Infrastructure Investment Corporation</t>
  </si>
  <si>
    <t>9287</t>
  </si>
  <si>
    <t>ジャパン・インフラファンド投資法人　投資証券</t>
  </si>
  <si>
    <t>Japan Infrastructure Fund Investment Corporation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</si>
</sst>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  <numFmt numFmtId="189" formatCode="#0"/>
  </numFmts>
  <fonts count="94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11"/>
      <name val="ＭＳ Ｐゴシック"/>
      <family val="2"/>
      <charset val="128"/>
      <scheme val="minor"/>
    </font>
    <font>
      <sz val="40"/>
      <name val="ＭＳ ゴシック"/>
      <family val="3"/>
      <charset val="128"/>
    </font>
    <font>
      <sz val="20"/>
      <name val="ＭＳ ゴシック"/>
      <family val="3"/>
      <charset val="128"/>
    </font>
    <font>
      <sz val="10"/>
      <name val="ＭＳ ゴシック"/>
      <family val="3"/>
      <charset val="128"/>
    </font>
    <font>
      <sz val="11"/>
      <name val="ＭＳ Ｐゴシック"/>
      <family val="3"/>
      <charset val="128"/>
    </font>
    <font>
      <sz val="10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8"/>
      <name val="ＭＳ 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3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1938">
    <xf borderId="0" fillId="0" fontId="0" numFmtId="0">
      <alignment vertical="center"/>
    </xf>
    <xf borderId="0" fillId="0" fontId="1" numFmtId="0">
      <alignment vertical="center"/>
    </xf>
    <xf borderId="0" fillId="0" fontId="8" numFmtId="0"/>
    <xf applyAlignment="0" applyBorder="0" applyFill="0" applyFont="0" applyProtection="0" borderId="0" fillId="0" fontId="2" numFmtId="9"/>
    <xf borderId="0" fillId="0" fontId="12" numFmtId="0"/>
    <xf borderId="0" fillId="0" fontId="8" numFmtId="0"/>
    <xf applyAlignment="0" applyBorder="0" applyNumberFormat="0" applyProtection="0" borderId="0" fillId="2" fontId="13" numFmtId="0"/>
    <xf applyAlignment="0" applyBorder="0" applyNumberFormat="0" applyProtection="0" borderId="0" fillId="3" fontId="13" numFmtId="0"/>
    <xf applyAlignment="0" applyBorder="0" applyNumberFormat="0" applyProtection="0" borderId="0" fillId="4" fontId="13" numFmtId="0"/>
    <xf applyAlignment="0" applyBorder="0" applyNumberFormat="0" applyProtection="0" borderId="0" fillId="5" fontId="13" numFmtId="0"/>
    <xf applyAlignment="0" applyBorder="0" applyNumberFormat="0" applyProtection="0" borderId="0" fillId="6" fontId="13" numFmtId="0"/>
    <xf applyAlignment="0" applyBorder="0" applyNumberFormat="0" applyProtection="0" borderId="0" fillId="7" fontId="13" numFmtId="0"/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8" fontId="13" numFmtId="0"/>
    <xf applyAlignment="0" applyBorder="0" applyNumberFormat="0" applyProtection="0" borderId="0" fillId="9" fontId="13" numFmtId="0"/>
    <xf applyAlignment="0" applyBorder="0" applyNumberFormat="0" applyProtection="0" borderId="0" fillId="10" fontId="13" numFmtId="0"/>
    <xf applyAlignment="0" applyBorder="0" applyNumberFormat="0" applyProtection="0" borderId="0" fillId="5" fontId="13" numFmtId="0"/>
    <xf applyAlignment="0" applyBorder="0" applyNumberFormat="0" applyProtection="0" borderId="0" fillId="8" fontId="13" numFmtId="0"/>
    <xf applyAlignment="0" applyBorder="0" applyNumberFormat="0" applyProtection="0" borderId="0" fillId="11" fontId="13" numFmtId="0"/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2" fontId="15" numFmtId="0"/>
    <xf applyAlignment="0" applyBorder="0" applyNumberFormat="0" applyProtection="0" borderId="0" fillId="9" fontId="15" numFmtId="0"/>
    <xf applyAlignment="0" applyBorder="0" applyNumberFormat="0" applyProtection="0" borderId="0" fillId="10" fontId="15" numFmtId="0"/>
    <xf applyAlignment="0" applyBorder="0" applyNumberFormat="0" applyProtection="0" borderId="0" fillId="13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6" fontId="15" numFmtId="0"/>
    <xf applyAlignment="0" applyBorder="0" applyNumberFormat="0" applyProtection="0" borderId="0" fillId="17" fontId="15" numFmtId="0"/>
    <xf applyAlignment="0" applyBorder="0" applyNumberFormat="0" applyProtection="0" borderId="0" fillId="18" fontId="15" numFmtId="0"/>
    <xf applyAlignment="0" applyBorder="0" applyNumberFormat="0" applyProtection="0" borderId="0" fillId="13" fontId="15" numFmtId="0"/>
    <xf applyAlignment="0" applyBorder="0" applyNumberFormat="0" applyProtection="0" borderId="0" fillId="14" fontId="15" numFmtId="0"/>
    <xf applyAlignment="0" applyBorder="0" applyNumberFormat="0" applyProtection="0" borderId="0" fillId="19" fontId="15" numFmtId="0"/>
    <xf borderId="0" fillId="0" fontId="17" numFmtId="0">
      <alignment horizontal="center" wrapText="1"/>
      <protection locked="0"/>
    </xf>
    <xf borderId="0" fillId="0" fontId="18" numFmtId="0"/>
    <xf applyAlignment="0" applyBorder="0" applyNumberFormat="0" applyProtection="0" borderId="0" fillId="3" fontId="19" numFmtId="0"/>
    <xf applyAlignment="0" applyBorder="0" applyFill="0" applyNumberFormat="0" applyProtection="0" borderId="0" fillId="0" fontId="20" numFmtId="0"/>
    <xf applyAlignment="0" applyBorder="0" applyFill="0" borderId="0" fillId="0" fontId="13" numFmtId="176"/>
    <xf applyAlignment="0" applyBorder="0" applyFill="0" borderId="0" fillId="0" fontId="7" numFmtId="177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8" fillId="21" fontId="22" numFmtId="0"/>
    <xf borderId="0" fillId="0" fontId="23" numFmtId="0">
      <alignment vertical="top" wrapText="1"/>
    </xf>
    <xf applyAlignment="0" applyBorder="0" applyFill="0" applyFont="0" applyProtection="0" borderId="0" fillId="0" fontId="24" numFmtId="41"/>
    <xf applyAlignment="0" applyBorder="0" applyFill="0" applyFont="0" applyProtection="0" borderId="0" fillId="0" fontId="24" numFmtId="43"/>
    <xf applyAlignment="0" applyBorder="0" applyFill="0" applyFont="0" applyProtection="0" borderId="0" fillId="0" fontId="24" numFmtId="178"/>
    <xf applyAlignment="0" applyBorder="0" applyFill="0" applyFont="0" applyProtection="0" borderId="0" fillId="0" fontId="24" numFmtId="179"/>
    <xf borderId="0" fillId="0" fontId="25" numFmtId="0">
      <alignment horizontal="left"/>
    </xf>
    <xf applyAlignment="0" applyBorder="0" applyFill="0" applyNumberFormat="0" applyProtection="0" borderId="0" fillId="0" fontId="26" numFmtId="0"/>
    <xf applyAlignment="0" applyBorder="0" applyNumberFormat="0" applyProtection="0" borderId="0" fillId="4" fontId="27" numFmtId="0"/>
    <xf applyAlignment="0" applyBorder="0" applyNumberFormat="0" applyProtection="0" borderId="0" fillId="22" fontId="28" numFmtId="38"/>
    <xf borderId="0" fillId="23" fontId="29" numFmtId="0"/>
    <xf applyAlignment="0" applyNumberFormat="0" applyProtection="0" borderId="29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applyAlignment="0" applyFill="0" applyNumberFormat="0" applyProtection="0" borderId="30" fillId="0" fontId="31" numFmtId="0"/>
    <xf applyAlignment="0" applyFill="0" applyNumberFormat="0" applyProtection="0" borderId="31" fillId="0" fontId="32" numFmtId="0"/>
    <xf applyAlignment="0" applyFill="0" applyNumberFormat="0" applyProtection="0" borderId="32" fillId="0" fontId="33" numFmtId="0"/>
    <xf applyAlignment="0" applyBorder="0" applyFill="0" applyNumberFormat="0" applyProtection="0" borderId="0" fillId="0" fontId="33" numFmtId="0"/>
    <xf applyBorder="0" borderId="0" fillId="0" fontId="7" numFmtId="0"/>
    <xf applyAlignment="0" applyNumberFormat="0" applyProtection="0" borderId="27" fillId="7" fontId="34" numFmtId="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borderId="0" fillId="0" fontId="7" numFmtId="0"/>
    <xf applyAlignment="0" applyFill="0" applyNumberFormat="0" applyProtection="0" borderId="33" fillId="0" fontId="35" numFmtId="0"/>
    <xf applyAlignment="0" applyBorder="0" applyFill="0" applyFont="0" applyProtection="0" borderId="0" fillId="0" fontId="36" numFmtId="38"/>
    <xf applyAlignment="0" applyBorder="0" applyFill="0" applyFont="0" applyProtection="0" borderId="0" fillId="0" fontId="36" numFmtId="40"/>
    <xf applyAlignment="0" applyBorder="0" applyFill="0" applyFont="0" applyProtection="0" borderId="0" fillId="0" fontId="36" numFmtId="180"/>
    <xf applyAlignment="0" applyBorder="0" applyFill="0" applyFont="0" applyProtection="0" borderId="0" fillId="0" fontId="36" numFmtId="181"/>
    <xf applyAlignment="0" applyBorder="0" applyNumberFormat="0" applyProtection="0" borderId="0" fillId="25" fontId="37" numFmtId="0"/>
    <xf borderId="0" fillId="0" fontId="38" numFmtId="37"/>
    <xf borderId="0" fillId="0" fontId="39" numFmtId="182"/>
    <xf borderId="0" fillId="0" fontId="7" numFmtId="183"/>
    <xf borderId="0" fillId="0" fontId="7" numFmtId="183"/>
    <xf borderId="0" fillId="0" fontId="39" numFmtId="182"/>
    <xf borderId="0" fillId="0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borderId="0" fillId="0" fontId="17" numFmtId="14">
      <alignment horizontal="center" wrapText="1"/>
      <protection locked="0"/>
    </xf>
    <xf applyAlignment="0" applyBorder="0" applyFill="0" applyFont="0" applyProtection="0" borderId="0" fillId="0" fontId="24" numFmtId="10"/>
    <xf borderId="0" fillId="0" fontId="25" numFmtId="4">
      <alignment horizontal="right"/>
    </xf>
    <xf applyAlignment="0" applyBorder="0" applyFill="0" applyFont="0" applyNumberFormat="0" applyProtection="0" borderId="0" fillId="0" fontId="41" numFmtId="0">
      <alignment horizontal="left"/>
    </xf>
    <xf borderId="36" fillId="0" fontId="42" numFmtId="0">
      <alignment horizontal="center"/>
    </xf>
    <xf applyAlignment="0" applyBorder="0" applyFill="0" applyFont="0" applyNumberFormat="0" borderId="0" fillId="0" fontId="43" numFmtId="0"/>
    <xf borderId="0" fillId="0" fontId="44" numFmtId="4">
      <alignment horizontal="right"/>
    </xf>
    <xf borderId="0" fillId="0" fontId="45" numFmtId="0">
      <alignment horizontal="left"/>
    </xf>
    <xf borderId="0" fillId="0" fontId="46" numFmtId="0"/>
    <xf borderId="0" fillId="0" fontId="47" numFmtId="0">
      <alignment horizontal="center"/>
    </xf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Border="0" applyFill="0" applyNumberFormat="0" applyProtection="0" borderId="0" fillId="0" fontId="49" numFmtId="0"/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borderId="0" fillId="0" fontId="50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NumberFormat="0" applyProtection="0" borderId="28" fillId="21" fontId="52" numFmtId="0">
      <alignment vertical="center"/>
    </xf>
    <xf applyAlignment="0" applyNumberFormat="0" applyProtection="0" borderId="28" fillId="21" fontId="52" numFmtId="0">
      <alignment vertical="center"/>
    </xf>
    <xf applyAlignment="0" applyNumberFormat="0" applyProtection="0" borderId="28" fillId="21" fontId="52" numFmtId="0">
      <alignment vertical="center"/>
    </xf>
    <xf applyAlignment="0" applyNumberFormat="0" applyProtection="0" borderId="28" fillId="21" fontId="52" numFmtId="0">
      <alignment vertical="center"/>
    </xf>
    <xf applyAlignment="0" applyNumberFormat="0" applyProtection="0" borderId="28" fillId="21" fontId="52" numFmtId="0">
      <alignment vertical="center"/>
    </xf>
    <xf applyAlignment="0" applyNumberFormat="0" applyProtection="0" borderId="28" fillId="21" fontId="52" numFmtId="0">
      <alignment vertical="center"/>
    </xf>
    <xf applyAlignment="0" applyNumberFormat="0" applyProtection="0" borderId="28" fillId="21" fontId="52" numFmtId="0">
      <alignment vertical="center"/>
    </xf>
    <xf applyAlignment="0" applyNumberFormat="0" applyProtection="0" borderId="28" fillId="21" fontId="52" numFmtId="0">
      <alignment vertical="center"/>
    </xf>
    <xf borderId="0" fillId="0" fontId="53" numFmtId="0"/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Fill="0" applyFont="0" applyProtection="0" borderId="0" fillId="0" fontId="8" numFmtId="9"/>
    <xf applyAlignment="0" applyBorder="0" applyFill="0" applyFont="0" applyProtection="0" borderId="0" fillId="0" fontId="8" numFmtId="9">
      <alignment vertical="center"/>
    </xf>
    <xf applyAlignment="0" applyBorder="0" applyFill="0" applyFont="0" applyProtection="0" borderId="0" fillId="0" fontId="8" numFmtId="9"/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7" numFmtId="0">
      <alignment vertical="top"/>
      <protection locked="0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ill="0" applyNumberFormat="0" applyProtection="0" borderId="33" fillId="0" fontId="58" numFmtId="0">
      <alignment vertical="center"/>
    </xf>
    <xf applyAlignment="0" applyFill="0" applyNumberFormat="0" applyProtection="0" borderId="33" fillId="0" fontId="58" numFmtId="0">
      <alignment vertical="center"/>
    </xf>
    <xf applyAlignment="0" applyFill="0" applyNumberFormat="0" applyProtection="0" borderId="33" fillId="0" fontId="58" numFmtId="0">
      <alignment vertical="center"/>
    </xf>
    <xf applyAlignment="0" applyFill="0" applyNumberFormat="0" applyProtection="0" borderId="33" fillId="0" fontId="58" numFmtId="0">
      <alignment vertical="center"/>
    </xf>
    <xf applyAlignment="0" applyFill="0" applyNumberFormat="0" applyProtection="0" borderId="33" fillId="0" fontId="58" numFmtId="0">
      <alignment vertical="center"/>
    </xf>
    <xf applyAlignment="0" applyFill="0" applyNumberFormat="0" applyProtection="0" borderId="33" fillId="0" fontId="58" numFmtId="0">
      <alignment vertical="center"/>
    </xf>
    <xf applyAlignment="0" applyFill="0" applyNumberFormat="0" applyProtection="0" borderId="33" fillId="0" fontId="58" numFmtId="0">
      <alignment vertical="center"/>
    </xf>
    <xf applyAlignment="0" applyFill="0" applyNumberFormat="0" applyProtection="0" borderId="33" fillId="0" fontId="58" numFmtId="0">
      <alignment vertical="center"/>
    </xf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Font="0" applyProtection="0" borderId="0" fillId="0" fontId="24" numFmtId="43"/>
    <xf applyAlignment="0" applyBorder="0" applyFill="0" applyFont="0" applyProtection="0" borderId="0" fillId="0" fontId="63" numFmtId="38"/>
    <xf applyAlignment="0" applyBorder="0" applyFill="0" applyFont="0" applyProtection="0" borderId="0" fillId="0" fontId="8" numFmtId="38"/>
    <xf applyAlignment="0" applyBorder="0" applyFill="0" applyFont="0" applyProtection="0" borderId="0" fillId="0" fontId="64" numFmtId="38">
      <alignment vertical="center"/>
    </xf>
    <xf applyAlignment="0" applyBorder="0" applyFill="0" applyFont="0" applyProtection="0" borderId="0" fillId="0" fontId="65" numFmtId="38"/>
    <xf applyAlignment="0" applyBorder="0" applyFill="0" applyFont="0" applyProtection="0" borderId="0" fillId="0" fontId="8" numFmtId="38">
      <alignment vertical="center"/>
    </xf>
    <xf applyAlignment="0" applyBorder="0" applyFill="0" applyFont="0" applyProtection="0" borderId="0" fillId="0" fontId="8" numFmtId="38"/>
    <xf applyAlignment="0" applyBorder="0" applyFill="0" applyFont="0" applyProtection="0" borderId="0" fillId="0" fontId="65" numFmtId="38"/>
    <xf applyAlignment="0" applyBorder="0" applyFill="0" applyFont="0" applyProtection="0" borderId="0" fillId="0" fontId="8" numFmtId="38"/>
    <xf applyAlignment="0" applyBorder="0" applyFill="0" applyFont="0" applyProtection="0" borderId="0" fillId="0" fontId="8" numFmtId="38">
      <alignment vertical="center"/>
    </xf>
    <xf applyAlignment="0" applyBorder="0" applyFill="0" applyFont="0" applyProtection="0" borderId="0" fillId="0" fontId="8" numFmtId="38"/>
    <xf applyAlignment="0" applyBorder="0" applyFill="0" applyFont="0" applyProtection="0" borderId="0" fillId="0" fontId="8" numFmtId="38">
      <alignment vertical="center"/>
    </xf>
    <xf applyAlignment="0" applyBorder="0" applyFill="0" applyFont="0" applyProtection="0" borderId="0" fillId="0" fontId="8" numFmtId="38">
      <alignment vertical="center"/>
    </xf>
    <xf applyAlignment="0" applyBorder="0" applyFill="0" applyFont="0" applyProtection="0" borderId="0" fillId="0" fontId="24" numFmtId="184"/>
    <xf applyAlignment="0" applyBorder="0" applyFill="0" applyFont="0" applyProtection="0" borderId="0" fillId="0" fontId="8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8" numFmtId="38"/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8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8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8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8" numFmtId="38"/>
    <xf applyAlignment="0" applyFill="0" applyNumberFormat="0" applyProtection="0" borderId="30" fillId="0" fontId="67" numFmtId="0">
      <alignment vertical="center"/>
    </xf>
    <xf applyAlignment="0" applyFill="0" applyNumberFormat="0" applyProtection="0" borderId="30" fillId="0" fontId="67" numFmtId="0">
      <alignment vertical="center"/>
    </xf>
    <xf applyAlignment="0" applyFill="0" applyNumberFormat="0" applyProtection="0" borderId="30" fillId="0" fontId="67" numFmtId="0">
      <alignment vertical="center"/>
    </xf>
    <xf applyAlignment="0" applyFill="0" applyNumberFormat="0" applyProtection="0" borderId="30" fillId="0" fontId="67" numFmtId="0">
      <alignment vertical="center"/>
    </xf>
    <xf applyAlignment="0" applyFill="0" applyNumberFormat="0" applyProtection="0" borderId="30" fillId="0" fontId="67" numFmtId="0">
      <alignment vertical="center"/>
    </xf>
    <xf applyAlignment="0" applyFill="0" applyNumberFormat="0" applyProtection="0" borderId="30" fillId="0" fontId="67" numFmtId="0">
      <alignment vertical="center"/>
    </xf>
    <xf applyAlignment="0" applyFill="0" applyNumberFormat="0" applyProtection="0" borderId="30" fillId="0" fontId="67" numFmtId="0">
      <alignment vertical="center"/>
    </xf>
    <xf applyAlignment="0" applyFill="0" applyNumberFormat="0" applyProtection="0" borderId="30" fillId="0" fontId="67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2" fillId="0" fontId="69" numFmtId="0">
      <alignment vertical="center"/>
    </xf>
    <xf applyAlignment="0" applyFill="0" applyNumberFormat="0" applyProtection="0" borderId="32" fillId="0" fontId="69" numFmtId="0">
      <alignment vertical="center"/>
    </xf>
    <xf applyAlignment="0" applyFill="0" applyNumberFormat="0" applyProtection="0" borderId="32" fillId="0" fontId="69" numFmtId="0">
      <alignment vertical="center"/>
    </xf>
    <xf applyAlignment="0" applyFill="0" applyNumberFormat="0" applyProtection="0" borderId="32" fillId="0" fontId="69" numFmtId="0">
      <alignment vertical="center"/>
    </xf>
    <xf applyAlignment="0" applyFill="0" applyNumberFormat="0" applyProtection="0" borderId="32" fillId="0" fontId="69" numFmtId="0">
      <alignment vertical="center"/>
    </xf>
    <xf applyAlignment="0" applyFill="0" applyNumberFormat="0" applyProtection="0" borderId="32" fillId="0" fontId="69" numFmtId="0">
      <alignment vertical="center"/>
    </xf>
    <xf applyAlignment="0" applyFill="0" applyNumberFormat="0" applyProtection="0" borderId="32" fillId="0" fontId="69" numFmtId="0">
      <alignment vertical="center"/>
    </xf>
    <xf applyAlignment="0" applyFill="0" applyNumberFormat="0" applyProtection="0" borderId="32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Border="0" applyFill="0" applyNumberFormat="0" applyProtection="0" borderId="17" fillId="27" fontId="71" numFmtId="49"/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borderId="0" fillId="0" fontId="59" numFmtId="185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24" numFmtId="186"/>
    <xf applyAlignment="0" applyBorder="0" applyFill="0" applyFont="0" applyProtection="0" borderId="0" fillId="0" fontId="24" numFmtId="187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8" numFmtId="6"/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8" numFmtId="6"/>
    <xf applyAlignment="0" applyBorder="0" applyFill="0" applyFont="0" applyProtection="0" borderId="0" fillId="0" fontId="7" numFmtId="6">
      <alignment vertical="center"/>
    </xf>
    <xf applyAlignment="0" applyBorder="0" applyFill="0" applyFont="0" applyProtection="0" borderId="0" fillId="0" fontId="8" numFmtId="6"/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78" numFmtId="0">
      <alignment vertical="center"/>
    </xf>
    <xf borderId="0" fillId="0" fontId="7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64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/>
    <xf borderId="0" fillId="0" fontId="2" numFmtId="0"/>
    <xf borderId="0" fillId="0" fontId="64" numFmtId="0">
      <alignment vertical="center"/>
    </xf>
    <xf borderId="0" fillId="0" fontId="2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66" numFmtId="0">
      <alignment vertical="center"/>
    </xf>
    <xf borderId="0" fillId="0" fontId="8" numFmtId="0"/>
    <xf borderId="0" fillId="0" fontId="79" numFmtId="0">
      <alignment vertical="center"/>
    </xf>
    <xf borderId="0" fillId="0" fontId="66" numFmtId="0">
      <alignment vertical="center"/>
    </xf>
    <xf borderId="0" fillId="0" fontId="8" numFmtId="0"/>
    <xf borderId="0" fillId="0" fontId="8" numFmtId="0"/>
    <xf borderId="0" fillId="0" fontId="8" numFmtId="0"/>
    <xf borderId="0" fillId="0" fontId="8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/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/>
    <xf borderId="0" fillId="0" fontId="66" numFmtId="0"/>
    <xf borderId="0" fillId="0" fontId="66" numFmtId="0">
      <alignment vertical="center"/>
    </xf>
    <xf borderId="0" fillId="0" fontId="81" numFmtId="0">
      <alignment vertical="center"/>
    </xf>
    <xf borderId="0" fillId="0" fontId="66" numFmtId="0"/>
    <xf borderId="0" fillId="0" fontId="81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8" numFmtId="0"/>
    <xf borderId="0" fillId="0" fontId="82" numFmtId="0">
      <alignment vertical="center"/>
    </xf>
    <xf borderId="0" fillId="0" fontId="8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2" numFmtId="0"/>
    <xf borderId="0" fillId="0" fontId="66" numFmtId="0">
      <alignment vertical="center"/>
    </xf>
    <xf borderId="0" fillId="0" fontId="66" numFmtId="0">
      <alignment vertical="center"/>
    </xf>
    <xf borderId="0" fillId="0" fontId="2" numFmtId="0"/>
    <xf borderId="0" fillId="0" fontId="64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/>
    <xf borderId="0" fillId="0" fontId="66" numFmtId="0">
      <alignment vertical="center"/>
    </xf>
    <xf borderId="0" fillId="0" fontId="8" numFmtId="0"/>
    <xf borderId="0" fillId="0" fontId="7" numFmtId="0">
      <alignment vertical="center"/>
    </xf>
    <xf borderId="0" fillId="0" fontId="83" numFmtId="0"/>
    <xf borderId="0" fillId="0" fontId="66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/>
    <xf borderId="0" fillId="0" fontId="8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7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2" numFmtId="0"/>
    <xf borderId="0" fillId="0" fontId="79" numFmtId="0">
      <alignment vertical="center"/>
    </xf>
    <xf borderId="0" fillId="0" fontId="2" numFmtId="0"/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" numFmtId="0"/>
    <xf borderId="0" fillId="0" fontId="8" numFmtId="0"/>
    <xf borderId="0" fillId="0" fontId="14" numFmtId="0">
      <alignment vertical="center"/>
    </xf>
    <xf borderId="0" fillId="0" fontId="8" numFmtId="0"/>
    <xf borderId="0" fillId="0" fontId="66" numFmtId="0">
      <alignment vertical="center"/>
    </xf>
    <xf borderId="0" fillId="0" fontId="8" numFmtId="0"/>
    <xf borderId="0" fillId="0" fontId="66" numFmtId="0"/>
    <xf borderId="0" fillId="0" fontId="66" numFmtId="0"/>
    <xf borderId="0" fillId="0" fontId="8" numFmtId="0"/>
    <xf borderId="0" fillId="0" fontId="8" numFmtId="0">
      <alignment vertical="center"/>
    </xf>
    <xf borderId="0" fillId="0" fontId="64" numFmtId="0">
      <alignment vertical="center"/>
    </xf>
    <xf borderId="0" fillId="0" fontId="83" numFmtId="0"/>
    <xf borderId="0" fillId="0" fontId="64" numFmtId="0">
      <alignment vertical="center"/>
    </xf>
    <xf borderId="0" fillId="0" fontId="8" numFmtId="0"/>
    <xf borderId="0" fillId="0" fontId="8" numFmtId="0">
      <alignment vertical="center"/>
    </xf>
    <xf borderId="0" fillId="0" fontId="83" numFmtId="0"/>
    <xf borderId="0" fillId="0" fontId="8" numFmtId="0"/>
    <xf borderId="0" fillId="0" fontId="8" numFmtId="0"/>
    <xf borderId="0" fillId="0" fontId="83" numFmtId="0"/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3" numFmtId="0"/>
    <xf borderId="0" fillId="0" fontId="83" numFmtId="0"/>
    <xf borderId="0" fillId="0" fontId="8" numFmtId="0"/>
    <xf borderId="0" fillId="0" fontId="83" numFmtId="0"/>
    <xf borderId="0" fillId="0" fontId="14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/>
    <xf borderId="0" fillId="0" fontId="84" numFmtId="0">
      <alignment vertical="center"/>
    </xf>
    <xf borderId="0" fillId="0" fontId="8" numFmtId="0"/>
    <xf borderId="0" fillId="0" fontId="8" numFmtId="0"/>
    <xf borderId="0" fillId="0" fontId="66" numFmtId="0"/>
    <xf borderId="0" fillId="0" fontId="66" numFmtId="0"/>
    <xf borderId="0" fillId="0" fontId="8" numFmtId="0"/>
    <xf borderId="0" fillId="0" fontId="8" numFmtId="0"/>
    <xf borderId="0" fillId="0" fontId="7" numFmtId="0">
      <alignment vertical="center"/>
    </xf>
    <xf borderId="0" fillId="0" fontId="8" numFmtId="0"/>
    <xf borderId="0" fillId="0" fontId="8" numFmtId="0"/>
    <xf borderId="0" fillId="0" fontId="66" numFmtId="0">
      <alignment vertical="center"/>
    </xf>
    <xf borderId="0" fillId="0" fontId="8" numFmtId="0"/>
    <xf borderId="0" fillId="0" fontId="8" numFmtId="0"/>
    <xf borderId="0" fillId="0" fontId="66" numFmtId="0">
      <alignment vertical="center"/>
    </xf>
    <xf borderId="0" fillId="0" fontId="8" numFmtId="0"/>
    <xf borderId="0" fillId="0" fontId="8" numFmtId="0"/>
    <xf borderId="0" fillId="0" fontId="66" numFmtId="0">
      <alignment vertical="center"/>
    </xf>
    <xf borderId="0" fillId="0" fontId="8" numFmtId="0"/>
    <xf borderId="0" fillId="0" fontId="8" numFmtId="0"/>
    <xf borderId="0" fillId="0" fontId="8" numFmtId="0">
      <alignment vertical="center"/>
    </xf>
    <xf borderId="0" fillId="0" fontId="8" numFmtId="0"/>
    <xf borderId="0" fillId="0" fontId="8" numFmtId="0"/>
    <xf borderId="0" fillId="0" fontId="8" numFmtId="0"/>
    <xf borderId="0" fillId="0" fontId="66" numFmtId="0">
      <alignment vertical="center"/>
    </xf>
    <xf borderId="0" fillId="0" fontId="66" numFmtId="0">
      <alignment vertical="center"/>
    </xf>
    <xf borderId="0" fillId="0" fontId="64" numFmtId="0"/>
    <xf borderId="0" fillId="0" fontId="8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/>
    <xf borderId="0" fillId="0" fontId="8" numFmtId="0"/>
    <xf borderId="0" fillId="0" fontId="8" numFmtId="0"/>
    <xf borderId="0" fillId="0" fontId="8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82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7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1" numFmtId="0">
      <alignment vertical="center"/>
    </xf>
    <xf borderId="0" fillId="0" fontId="87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/>
    <xf borderId="0" fillId="0" fontId="87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8" numFmtId="0"/>
    <xf borderId="0" fillId="0" fontId="8" numFmtId="0"/>
    <xf borderId="0" fillId="0" fontId="6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66" numFmtId="0">
      <alignment vertical="center"/>
    </xf>
    <xf borderId="0" fillId="0" fontId="66" numFmtId="0">
      <alignment vertical="center"/>
    </xf>
    <xf borderId="0" fillId="0" fontId="8" numFmtId="0"/>
    <xf borderId="0" fillId="0" fontId="66" numFmtId="0">
      <alignment vertical="center"/>
    </xf>
    <xf borderId="0" fillId="0" fontId="8" numFmtId="0"/>
    <xf borderId="0" fillId="0" fontId="8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2" numFmtId="0">
      <alignment vertical="center"/>
    </xf>
    <xf borderId="0" fillId="0" fontId="8" numFmtId="0"/>
    <xf borderId="0" fillId="0" fontId="8" numFmtId="0">
      <alignment vertical="center"/>
    </xf>
    <xf borderId="0" fillId="0" fontId="82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87" numFmtId="0">
      <alignment vertical="center"/>
    </xf>
    <xf borderId="0" fillId="0" fontId="87" numFmtId="0">
      <alignment vertical="center"/>
    </xf>
    <xf borderId="0" fillId="0" fontId="8" numFmtId="0">
      <alignment vertical="center"/>
    </xf>
    <xf borderId="0" fillId="0" fontId="87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/>
    <xf borderId="0" fillId="0" fontId="2" numFmtId="0"/>
    <xf borderId="0" fillId="0" fontId="87" numFmtId="0">
      <alignment vertical="center"/>
    </xf>
    <xf borderId="0" fillId="0" fontId="2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8" numFmtId="0"/>
    <xf borderId="0" fillId="0" fontId="89" numFmtId="0"/>
    <xf borderId="0" fillId="0" fontId="53" numFmtId="0"/>
    <xf applyBorder="0" applyFill="0" borderId="0" fillId="0" fontId="77" numFmtId="49"/>
    <xf borderId="0" fillId="0" fontId="90" numFmtId="188"/>
    <xf borderId="0" fillId="0" fontId="91" numFmtId="0"/>
    <xf borderId="0" fillId="0" fontId="92" numFmtId="0"/>
    <xf borderId="0" fillId="0" fontId="91" numFmtId="0"/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borderId="0" fillId="0" fontId="8" numFmtId="0"/>
  </cellStyleXfs>
  <cellXfs count="47">
    <xf borderId="0" fillId="0" fontId="0" numFmtId="0" xfId="0">
      <alignment vertical="center"/>
    </xf>
    <xf applyFont="1" borderId="0" fillId="0" fontId="4" numFmtId="0" xfId="1">
      <alignment vertical="center"/>
    </xf>
    <xf applyFont="1" borderId="0" fillId="0" fontId="9" numFmtId="0" xfId="1">
      <alignment vertical="center"/>
    </xf>
    <xf applyFont="1" applyNumberFormat="1" borderId="0" fillId="0" fontId="4" numFmtId="0" xfId="1">
      <alignment vertical="center"/>
    </xf>
    <xf applyBorder="1" applyFill="1" applyFont="1" borderId="1" fillId="0" fontId="2" numFmtId="0" xfId="1">
      <alignment vertical="center"/>
    </xf>
    <xf applyBorder="1" applyFill="1" applyFont="1" borderId="2" fillId="0" fontId="2" numFmtId="0" xfId="1">
      <alignment vertical="center"/>
    </xf>
    <xf applyBorder="1" applyFill="1" applyFont="1" applyNumberFormat="1" borderId="2" fillId="0" fontId="2" numFmtId="0" xfId="1">
      <alignment vertical="center"/>
    </xf>
    <xf applyAlignment="1" applyBorder="1" applyFill="1" applyFont="1" borderId="9" fillId="0" fontId="7" numFmtId="0" xfId="1">
      <alignment horizontal="center" vertical="center"/>
    </xf>
    <xf applyAlignment="1" applyBorder="1" applyFill="1" applyFont="1" applyNumberFormat="1" borderId="1" fillId="0" fontId="7" numFmtId="0" xfId="1">
      <alignment horizontal="center" vertical="center"/>
    </xf>
    <xf applyAlignment="1" applyBorder="1" applyFill="1" applyFont="1" applyNumberFormat="1" borderId="10" fillId="0" fontId="7" numFmtId="0" xfId="1">
      <alignment horizontal="center" vertical="center"/>
    </xf>
    <xf applyAlignment="1" applyBorder="1" applyFill="1" applyFont="1" borderId="11" fillId="0" fontId="7" numFmtId="0" xfId="1">
      <alignment horizontal="center" vertical="center"/>
    </xf>
    <xf applyAlignment="1" applyBorder="1" applyFill="1" applyFont="1" borderId="12" fillId="0" fontId="7" numFmtId="0" xfId="1">
      <alignment horizontal="center" vertical="center"/>
    </xf>
    <xf applyAlignment="1" applyBorder="1" applyFill="1" applyFont="1" applyNumberFormat="1" borderId="9" fillId="0" fontId="7" numFmtId="49" xfId="2">
      <alignment horizontal="center" vertical="center"/>
    </xf>
    <xf applyAlignment="1" applyBorder="1" applyFill="1" applyFont="1" borderId="13" fillId="0" fontId="2" numFmtId="0" xfId="1">
      <alignment horizontal="center" vertical="center"/>
    </xf>
    <xf applyAlignment="1" applyBorder="1" applyFill="1" applyFont="1" applyNumberFormat="1" borderId="4" fillId="0" fontId="2" numFmtId="0" xfId="1">
      <alignment horizontal="center" vertical="center"/>
    </xf>
    <xf applyAlignment="1" applyBorder="1" applyFill="1" applyFont="1" applyNumberFormat="1" borderId="14" fillId="0" fontId="2" numFmtId="0" xfId="1">
      <alignment horizontal="center" vertical="center"/>
    </xf>
    <xf applyAlignment="1" applyBorder="1" applyFill="1" applyFont="1" applyNumberFormat="1" borderId="15" fillId="0" fontId="2" numFmtId="49" xfId="2">
      <alignment horizontal="center" vertical="center"/>
    </xf>
    <xf applyAlignment="1" applyBorder="1" applyFill="1" applyFont="1" applyNumberFormat="1" borderId="13" fillId="0" fontId="7" numFmtId="49" xfId="2">
      <alignment horizontal="center" vertical="center"/>
    </xf>
    <xf applyAlignment="1" applyBorder="1" applyFill="1" applyFont="1" applyNumberFormat="1" borderId="16" fillId="0" fontId="2" numFmtId="49" xfId="2">
      <alignment horizontal="center" vertical="center"/>
    </xf>
    <xf applyAlignment="1" applyBorder="1" applyFill="1" applyFont="1" applyNumberFormat="1" borderId="13" fillId="0" fontId="2" numFmtId="49" xfId="2">
      <alignment horizontal="center" vertical="center"/>
    </xf>
    <xf applyAlignment="1" applyBorder="1" applyFill="1" applyFont="1" borderId="17" fillId="0" fontId="2" numFmtId="0" xfId="1">
      <alignment horizontal="right" vertical="center"/>
    </xf>
    <xf applyAlignment="1" applyBorder="1" applyFill="1" applyFont="1" applyNumberFormat="1" borderId="6" fillId="0" fontId="2" numFmtId="0" xfId="1">
      <alignment horizontal="right" vertical="center"/>
    </xf>
    <xf applyAlignment="1" applyBorder="1" applyFill="1" applyFont="1" applyNumberFormat="1" borderId="18" fillId="0" fontId="2" numFmtId="0" xfId="1">
      <alignment horizontal="right" vertical="center"/>
    </xf>
    <xf applyAlignment="1" applyBorder="1" applyFill="1" applyFont="1" applyNumberFormat="1" borderId="19" fillId="0" fontId="2" numFmtId="0" xfId="1">
      <alignment horizontal="right" vertical="center"/>
    </xf>
    <xf applyAlignment="1" applyBorder="1" applyFill="1" applyFont="1" applyNumberFormat="1" borderId="17" fillId="0" fontId="11" numFmtId="49" xfId="2">
      <alignment horizontal="right"/>
    </xf>
    <xf applyAlignment="1" applyBorder="1" applyFill="1" applyFont="1" applyNumberFormat="1" borderId="20" fillId="0" fontId="11" numFmtId="49" xfId="2">
      <alignment horizontal="right"/>
    </xf>
    <xf applyAlignment="1" applyBorder="1" applyFill="1" applyFont="1" applyNumberFormat="1" borderId="19" fillId="0" fontId="11" numFmtId="49" xfId="2">
      <alignment horizontal="right"/>
    </xf>
    <xf applyAlignment="1" applyBorder="1" applyFill="1" applyFont="1" applyNumberFormat="1" borderId="21" fillId="0" fontId="7" numFmtId="49" xfId="1">
      <alignment horizontal="left" vertical="center"/>
    </xf>
    <xf applyAlignment="1" applyBorder="1" applyFill="1" applyFont="1" applyNumberFormat="1" borderId="22" fillId="0" fontId="7" numFmtId="49" xfId="1">
      <alignment horizontal="left" vertical="center"/>
    </xf>
    <xf applyAlignment="1" applyBorder="1" applyFill="1" applyFont="1" applyNumberFormat="1" borderId="23" fillId="0" fontId="7" numFmtId="49" xfId="1">
      <alignment horizontal="left" vertical="center"/>
    </xf>
    <xf applyAlignment="1" applyBorder="1" applyFill="1" applyFont="1" applyNumberFormat="1" borderId="24" fillId="0" fontId="7" numFmtId="49" xfId="1">
      <alignment horizontal="left" vertical="center"/>
    </xf>
    <xf applyAlignment="1" applyBorder="1" applyFill="1" applyFont="1" applyNumberFormat="1" borderId="21" fillId="0" fontId="7" numFmtId="49" xfId="2">
      <alignment horizontal="left"/>
    </xf>
    <xf applyAlignment="1" applyBorder="1" applyFill="1" applyFont="1" applyNumberFormat="1" borderId="21" fillId="0" fontId="7" numFmtId="3" xfId="2">
      <alignment horizontal="right"/>
    </xf>
    <xf applyAlignment="1" applyBorder="1" applyFill="1" applyFont="1" applyNumberFormat="1" borderId="25" fillId="0" fontId="7" numFmtId="4" xfId="2">
      <alignment horizontal="right"/>
    </xf>
    <xf applyAlignment="1" applyBorder="1" applyFill="1" applyFont="1" applyNumberFormat="1" borderId="24" fillId="0" fontId="7" numFmtId="49" xfId="2">
      <alignment horizontal="right"/>
    </xf>
    <xf applyAlignment="1" applyBorder="1" applyFill="1" applyFont="1" applyNumberFormat="1" borderId="21" fillId="0" fontId="7" numFmtId="4" xfId="2">
      <alignment horizontal="right"/>
    </xf>
    <xf applyAlignment="1" applyBorder="1" applyFill="1" applyFont="1" applyNumberFormat="1" borderId="21" fillId="0" fontId="7" numFmtId="189" xfId="2">
      <alignment horizontal="right"/>
    </xf>
    <xf applyAlignment="1" applyBorder="1" applyFill="1" applyFont="1" borderId="2" fillId="0" fontId="2" numFmtId="0" xfId="1">
      <alignment horizontal="left" vertical="top" wrapText="1"/>
    </xf>
    <xf applyAlignment="1" applyBorder="1" applyFill="1" applyFont="1" borderId="3" fillId="0" fontId="2" numFmtId="0" xfId="1">
      <alignment horizontal="left" vertical="top" wrapText="1"/>
    </xf>
    <xf applyAlignment="1" applyBorder="1" applyFill="1" applyFont="1" borderId="0" fillId="0" fontId="2" numFmtId="0" xfId="1">
      <alignment horizontal="left" vertical="top" wrapText="1"/>
    </xf>
    <xf applyAlignment="1" applyBorder="1" applyFill="1" applyFont="1" borderId="5" fillId="0" fontId="2" numFmtId="0" xfId="1">
      <alignment horizontal="left" vertical="top" wrapText="1"/>
    </xf>
    <xf applyAlignment="1" applyBorder="1" applyFill="1" applyFont="1" borderId="7" fillId="0" fontId="2" numFmtId="0" xfId="1">
      <alignment horizontal="left" vertical="top" wrapText="1"/>
    </xf>
    <xf applyAlignment="1" applyBorder="1" applyFill="1" applyFont="1" borderId="8" fillId="0" fontId="2" numFmtId="0" xfId="1">
      <alignment horizontal="left" vertical="top" wrapText="1"/>
    </xf>
    <xf applyAlignment="1" applyBorder="1" applyFill="1" applyFont="1" borderId="4" fillId="0" fontId="5" numFmtId="0" xfId="1">
      <alignment horizontal="center" vertical="center"/>
    </xf>
    <xf applyAlignment="1" applyBorder="1" applyFill="1" applyFont="1" borderId="0" fillId="0" fontId="5" numFmtId="0" xfId="1">
      <alignment horizontal="center" vertical="center"/>
    </xf>
    <xf applyAlignment="1" applyBorder="1" applyFill="1" applyFont="1" borderId="6" fillId="0" fontId="6" numFmtId="0" xfId="1">
      <alignment horizontal="center" vertical="center"/>
    </xf>
    <xf applyAlignment="1" applyBorder="1" applyFill="1" applyFont="1" borderId="7" fillId="0" fontId="6" numFmtId="0" xfId="1">
      <alignment horizontal="center" vertical="center"/>
    </xf>
  </cellXfs>
  <cellStyles count="1938">
    <cellStyle name="_x000c_ーセン_x000c_" xfId="3"/>
    <cellStyle name="_x000d__x000a_JournalTemplate=C:\COMFO\CTALK\JOURSTD.TPL_x000d__x000a_LbStateAddress=3 3 0 251 1 89 2 311_x000d__x000a_LbStateJou" xfId="4"/>
    <cellStyle name="0,0_x000d__x000a_NA_x000d__x000a_" xfId="5"/>
    <cellStyle name="20% - Accent1" xfId="6"/>
    <cellStyle name="20% - Accent2" xfId="7"/>
    <cellStyle name="20% - Accent3" xfId="8"/>
    <cellStyle name="20% - Accent4" xfId="9"/>
    <cellStyle name="20% - Accent5" xfId="10"/>
    <cellStyle name="20% - Accent6" xfId="11"/>
    <cellStyle name="20% - アクセント 1 2" xfId="12"/>
    <cellStyle name="20% - アクセント 1 3" xfId="13"/>
    <cellStyle name="20% - アクセント 1 4" xfId="14"/>
    <cellStyle name="20% - アクセント 1 5" xfId="15"/>
    <cellStyle name="20% - アクセント 1 6" xfId="16"/>
    <cellStyle name="20% - アクセント 1 7" xfId="17"/>
    <cellStyle name="20% - アクセント 1 8" xfId="18"/>
    <cellStyle name="20% - アクセント 1 9" xfId="19"/>
    <cellStyle name="20% - アクセント 2 2" xfId="20"/>
    <cellStyle name="20% - アクセント 2 3" xfId="21"/>
    <cellStyle name="20% - アクセント 2 4" xfId="22"/>
    <cellStyle name="20% - アクセント 2 5" xfId="23"/>
    <cellStyle name="20% - アクセント 2 6" xfId="24"/>
    <cellStyle name="20% - アクセント 2 7" xfId="25"/>
    <cellStyle name="20% - アクセント 2 8" xfId="26"/>
    <cellStyle name="20% - アクセント 2 9" xfId="27"/>
    <cellStyle name="20% - アクセント 3 2" xfId="28"/>
    <cellStyle name="20% - アクセント 3 3" xfId="29"/>
    <cellStyle name="20% - アクセント 3 4" xfId="30"/>
    <cellStyle name="20% - アクセント 3 5" xfId="31"/>
    <cellStyle name="20% - アクセント 3 6" xfId="32"/>
    <cellStyle name="20% - アクセント 3 7" xfId="33"/>
    <cellStyle name="20% - アクセント 3 8" xfId="34"/>
    <cellStyle name="20% - アクセント 3 9" xfId="35"/>
    <cellStyle name="20% - アクセント 4 2" xfId="36"/>
    <cellStyle name="20% - アクセント 4 3" xfId="37"/>
    <cellStyle name="20% - アクセント 4 4" xfId="38"/>
    <cellStyle name="20% - アクセント 4 5" xfId="39"/>
    <cellStyle name="20% - アクセント 4 6" xfId="40"/>
    <cellStyle name="20% - アクセント 4 7" xfId="41"/>
    <cellStyle name="20% - アクセント 4 8" xfId="42"/>
    <cellStyle name="20% - アクセント 4 9" xfId="43"/>
    <cellStyle name="20% - アクセント 5 2" xfId="44"/>
    <cellStyle name="20% - アクセント 5 3" xfId="45"/>
    <cellStyle name="20% - アクセント 5 4" xfId="46"/>
    <cellStyle name="20% - アクセント 5 5" xfId="47"/>
    <cellStyle name="20% - アクセント 5 6" xfId="48"/>
    <cellStyle name="20% - アクセント 5 7" xfId="49"/>
    <cellStyle name="20% - アクセント 5 8" xfId="50"/>
    <cellStyle name="20% - アクセント 5 9" xfId="51"/>
    <cellStyle name="20% - アクセント 6 2" xfId="52"/>
    <cellStyle name="20% - アクセント 6 3" xfId="53"/>
    <cellStyle name="20% - アクセント 6 4" xfId="54"/>
    <cellStyle name="20% - アクセント 6 5" xfId="55"/>
    <cellStyle name="20% - アクセント 6 6" xfId="56"/>
    <cellStyle name="20% - アクセント 6 7" xfId="57"/>
    <cellStyle name="20% - アクセント 6 8" xfId="58"/>
    <cellStyle name="20% - アクセント 6 9" xfId="59"/>
    <cellStyle name="40% - Accent1" xfId="60"/>
    <cellStyle name="40% - Accent2" xfId="61"/>
    <cellStyle name="40% - Accent3" xfId="62"/>
    <cellStyle name="40% - Accent4" xfId="63"/>
    <cellStyle name="40% - Accent5" xfId="64"/>
    <cellStyle name="40% - Accent6" xfId="65"/>
    <cellStyle name="40% - アクセント 1 2" xfId="66"/>
    <cellStyle name="40% - アクセント 1 3" xfId="67"/>
    <cellStyle name="40% - アクセント 1 4" xfId="68"/>
    <cellStyle name="40% - アクセント 1 5" xfId="69"/>
    <cellStyle name="40% - アクセント 1 6" xfId="70"/>
    <cellStyle name="40% - アクセント 1 7" xfId="71"/>
    <cellStyle name="40% - アクセント 1 8" xfId="72"/>
    <cellStyle name="40% - アクセント 1 9" xfId="73"/>
    <cellStyle name="40% - アクセント 2 2" xfId="74"/>
    <cellStyle name="40% - アクセント 2 3" xfId="75"/>
    <cellStyle name="40% - アクセント 2 4" xfId="76"/>
    <cellStyle name="40% - アクセント 2 5" xfId="77"/>
    <cellStyle name="40% - アクセント 2 6" xfId="78"/>
    <cellStyle name="40% - アクセント 2 7" xfId="79"/>
    <cellStyle name="40% - アクセント 2 8" xfId="80"/>
    <cellStyle name="40% - アクセント 2 9" xfId="81"/>
    <cellStyle name="40% - アクセント 3 2" xfId="82"/>
    <cellStyle name="40% - アクセント 3 3" xfId="83"/>
    <cellStyle name="40% - アクセント 3 4" xfId="84"/>
    <cellStyle name="40% - アクセント 3 5" xfId="85"/>
    <cellStyle name="40% - アクセント 3 6" xfId="86"/>
    <cellStyle name="40% - アクセント 3 7" xfId="87"/>
    <cellStyle name="40% - アクセント 3 8" xfId="88"/>
    <cellStyle name="40% - アクセント 3 9" xfId="89"/>
    <cellStyle name="40% - アクセント 4 2" xfId="90"/>
    <cellStyle name="40% - アクセント 4 3" xfId="91"/>
    <cellStyle name="40% - アクセント 4 4" xfId="92"/>
    <cellStyle name="40% - アクセント 4 5" xfId="93"/>
    <cellStyle name="40% - アクセント 4 6" xfId="94"/>
    <cellStyle name="40% - アクセント 4 7" xfId="95"/>
    <cellStyle name="40% - アクセント 4 8" xfId="96"/>
    <cellStyle name="40% - アクセント 4 9" xfId="97"/>
    <cellStyle name="40% - アクセント 5 2" xfId="98"/>
    <cellStyle name="40% - アクセント 5 3" xfId="99"/>
    <cellStyle name="40% - アクセント 5 4" xfId="100"/>
    <cellStyle name="40% - アクセント 5 5" xfId="101"/>
    <cellStyle name="40% - アクセント 5 6" xfId="102"/>
    <cellStyle name="40% - アクセント 5 7" xfId="103"/>
    <cellStyle name="40% - アクセント 5 8" xfId="104"/>
    <cellStyle name="40% - アクセント 5 9" xfId="105"/>
    <cellStyle name="40% - アクセント 6 2" xfId="106"/>
    <cellStyle name="40% - アクセント 6 3" xfId="107"/>
    <cellStyle name="40% - アクセント 6 4" xfId="108"/>
    <cellStyle name="40% - アクセント 6 5" xfId="109"/>
    <cellStyle name="40% - アクセント 6 6" xfId="110"/>
    <cellStyle name="40% - アクセント 6 7" xfId="111"/>
    <cellStyle name="40% - アクセント 6 8" xfId="112"/>
    <cellStyle name="40% - アクセント 6 9" xfId="113"/>
    <cellStyle name="60% - Accent1" xfId="114"/>
    <cellStyle name="60% - Accent2" xfId="115"/>
    <cellStyle name="60% - Accent3" xfId="116"/>
    <cellStyle name="60% - Accent4" xfId="117"/>
    <cellStyle name="60% - Accent5" xfId="118"/>
    <cellStyle name="60% - Accent6" xfId="119"/>
    <cellStyle name="60% - アクセント 1 2" xfId="120"/>
    <cellStyle name="60% - アクセント 1 3" xfId="121"/>
    <cellStyle name="60% - アクセント 1 4" xfId="122"/>
    <cellStyle name="60% - アクセント 1 5" xfId="123"/>
    <cellStyle name="60% - アクセント 1 6" xfId="124"/>
    <cellStyle name="60% - アクセント 1 7" xfId="125"/>
    <cellStyle name="60% - アクセント 1 8" xfId="126"/>
    <cellStyle name="60% - アクセント 1 9" xfId="127"/>
    <cellStyle name="60% - アクセント 2 2" xfId="128"/>
    <cellStyle name="60% - アクセント 2 3" xfId="129"/>
    <cellStyle name="60% - アクセント 2 4" xfId="130"/>
    <cellStyle name="60% - アクセント 2 5" xfId="131"/>
    <cellStyle name="60% - アクセント 2 6" xfId="132"/>
    <cellStyle name="60% - アクセント 2 7" xfId="133"/>
    <cellStyle name="60% - アクセント 2 8" xfId="134"/>
    <cellStyle name="60% - アクセント 2 9" xfId="135"/>
    <cellStyle name="60% - アクセント 3 2" xfId="136"/>
    <cellStyle name="60% - アクセント 3 3" xfId="137"/>
    <cellStyle name="60% - アクセント 3 4" xfId="138"/>
    <cellStyle name="60% - アクセント 3 5" xfId="139"/>
    <cellStyle name="60% - アクセント 3 6" xfId="140"/>
    <cellStyle name="60% - アクセント 3 7" xfId="141"/>
    <cellStyle name="60% - アクセント 3 8" xfId="142"/>
    <cellStyle name="60% - アクセント 3 9" xfId="143"/>
    <cellStyle name="60% - アクセント 4 2" xfId="144"/>
    <cellStyle name="60% - アクセント 4 3" xfId="145"/>
    <cellStyle name="60% - アクセント 4 4" xfId="146"/>
    <cellStyle name="60% - アクセント 4 5" xfId="147"/>
    <cellStyle name="60% - アクセント 4 6" xfId="148"/>
    <cellStyle name="60% - アクセント 4 7" xfId="149"/>
    <cellStyle name="60% - アクセント 4 8" xfId="150"/>
    <cellStyle name="60% - アクセント 4 9" xfId="151"/>
    <cellStyle name="60% - アクセント 5 2" xfId="152"/>
    <cellStyle name="60% - アクセント 5 3" xfId="153"/>
    <cellStyle name="60% - アクセント 5 4" xfId="154"/>
    <cellStyle name="60% - アクセント 5 5" xfId="155"/>
    <cellStyle name="60% - アクセント 5 6" xfId="156"/>
    <cellStyle name="60% - アクセント 5 7" xfId="157"/>
    <cellStyle name="60% - アクセント 5 8" xfId="158"/>
    <cellStyle name="60% - アクセント 5 9" xfId="159"/>
    <cellStyle name="60% - アクセント 6 2" xfId="160"/>
    <cellStyle name="60% - アクセント 6 3" xfId="161"/>
    <cellStyle name="60% - アクセント 6 4" xfId="162"/>
    <cellStyle name="60% - アクセント 6 5" xfId="163"/>
    <cellStyle name="60% - アクセント 6 6" xfId="164"/>
    <cellStyle name="60% - アクセント 6 7" xfId="165"/>
    <cellStyle name="60% - アクセント 6 8" xfId="166"/>
    <cellStyle name="60% - アクセント 6 9" xfId="167"/>
    <cellStyle name="Accent1" xfId="168"/>
    <cellStyle name="Accent2" xfId="169"/>
    <cellStyle name="Accent3" xfId="170"/>
    <cellStyle name="Accent4" xfId="171"/>
    <cellStyle name="Accent5" xfId="172"/>
    <cellStyle name="Accent6" xfId="173"/>
    <cellStyle name="args.style" xfId="174"/>
    <cellStyle name="B10" xfId="175"/>
    <cellStyle name="Bad" xfId="176"/>
    <cellStyle name="Body" xfId="177"/>
    <cellStyle name="Calc Currency (0)" xfId="178"/>
    <cellStyle name="Calc Currency (0) 2" xfId="179"/>
    <cellStyle name="Calculation" xfId="180"/>
    <cellStyle name="Calculation 2" xfId="181"/>
    <cellStyle name="Calculation 2 2" xfId="182"/>
    <cellStyle name="Calculation 2 2 2" xfId="183"/>
    <cellStyle name="Calculation 2 3" xfId="184"/>
    <cellStyle name="Calculation 2 3 2" xfId="185"/>
    <cellStyle name="Calculation 2 4" xfId="186"/>
    <cellStyle name="Calculation 2 4 2" xfId="187"/>
    <cellStyle name="Calculation 2 5" xfId="188"/>
    <cellStyle name="Calculation 2 5 2" xfId="189"/>
    <cellStyle name="Calculation 2 6" xfId="190"/>
    <cellStyle name="Calculation 2 6 2" xfId="191"/>
    <cellStyle name="Calculation 2 7" xfId="192"/>
    <cellStyle name="Calculation 3" xfId="193"/>
    <cellStyle name="Calculation 3 2" xfId="194"/>
    <cellStyle name="Calculation 4" xfId="195"/>
    <cellStyle name="Check Cell" xfId="196"/>
    <cellStyle name="Column Heading" xfId="197"/>
    <cellStyle name="Comma [0]_laroux" xfId="198"/>
    <cellStyle name="Comma_laroux" xfId="199"/>
    <cellStyle name="Currency [0]_laroux" xfId="200"/>
    <cellStyle name="Currency_laroux" xfId="201"/>
    <cellStyle name="entry" xfId="202"/>
    <cellStyle name="Explanatory Text" xfId="203"/>
    <cellStyle name="Good" xfId="204"/>
    <cellStyle name="Grey" xfId="205"/>
    <cellStyle name="Head 1" xfId="206"/>
    <cellStyle name="Header1" xfId="207"/>
    <cellStyle name="Header2" xfId="208"/>
    <cellStyle name="Header2 2" xfId="209"/>
    <cellStyle name="Header2 2 2" xfId="210"/>
    <cellStyle name="Header2 2 2 2" xfId="211"/>
    <cellStyle name="Header2 2 2 3" xfId="212"/>
    <cellStyle name="Header2 2 2 4" xfId="213"/>
    <cellStyle name="Header2 2 2 5" xfId="214"/>
    <cellStyle name="Header2 2 2 6" xfId="215"/>
    <cellStyle name="Header2 2 2 7" xfId="216"/>
    <cellStyle name="Header2 2 2 7 2" xfId="217"/>
    <cellStyle name="Header2 2 3" xfId="218"/>
    <cellStyle name="Header2 2 3 2" xfId="219"/>
    <cellStyle name="Header2 2 3 3" xfId="220"/>
    <cellStyle name="Header2 3" xfId="221"/>
    <cellStyle name="Header2 3 2" xfId="222"/>
    <cellStyle name="Header2 3 2 2" xfId="223"/>
    <cellStyle name="Header2 3 2 3" xfId="224"/>
    <cellStyle name="Header2 3 2 4" xfId="225"/>
    <cellStyle name="Header2 3 2 5" xfId="226"/>
    <cellStyle name="Header2 3 2 6" xfId="227"/>
    <cellStyle name="Header2 3 2 7" xfId="228"/>
    <cellStyle name="Header2 3 2 7 2" xfId="229"/>
    <cellStyle name="Header2 3 3" xfId="230"/>
    <cellStyle name="Header2 3 4" xfId="231"/>
    <cellStyle name="Header2 3 5" xfId="232"/>
    <cellStyle name="Header2 3 6" xfId="233"/>
    <cellStyle name="Header2 3 7" xfId="234"/>
    <cellStyle name="Header2 3 8" xfId="235"/>
    <cellStyle name="Header2 3 9" xfId="236"/>
    <cellStyle name="Header2 3 9 2" xfId="237"/>
    <cellStyle name="Header2 3 9 3" xfId="238"/>
    <cellStyle name="Header2 4" xfId="239"/>
    <cellStyle name="Header2 4 2" xfId="240"/>
    <cellStyle name="Header2 4 3" xfId="241"/>
    <cellStyle name="Header2 4 4" xfId="242"/>
    <cellStyle name="Header2 4 5" xfId="243"/>
    <cellStyle name="Header2 4 6" xfId="244"/>
    <cellStyle name="Header2 4 7" xfId="245"/>
    <cellStyle name="Header2 4 7 2" xfId="246"/>
    <cellStyle name="Header2 5" xfId="247"/>
    <cellStyle name="Header2 6" xfId="248"/>
    <cellStyle name="Header2 7" xfId="249"/>
    <cellStyle name="Header2 7 2" xfId="250"/>
    <cellStyle name="Header2 7 3" xfId="251"/>
    <cellStyle name="Heading 1" xfId="252"/>
    <cellStyle name="Heading 2" xfId="253"/>
    <cellStyle name="Heading 3" xfId="254"/>
    <cellStyle name="Heading 4" xfId="255"/>
    <cellStyle name="IBM(401K)" xfId="256"/>
    <cellStyle name="Input" xfId="257"/>
    <cellStyle name="Input [yellow]" xfId="258"/>
    <cellStyle name="Input [yellow] 2" xfId="259"/>
    <cellStyle name="Input [yellow] 2 2" xfId="260"/>
    <cellStyle name="Input [yellow] 2 2 2" xfId="261"/>
    <cellStyle name="Input [yellow] 2 2 3" xfId="262"/>
    <cellStyle name="Input [yellow] 2 2 4" xfId="263"/>
    <cellStyle name="Input [yellow] 2 2 5" xfId="264"/>
    <cellStyle name="Input [yellow] 2 2 6" xfId="265"/>
    <cellStyle name="Input [yellow] 2 2 7" xfId="266"/>
    <cellStyle name="Input [yellow] 2 2 8" xfId="267"/>
    <cellStyle name="Input [yellow] 2 2 9" xfId="268"/>
    <cellStyle name="Input [yellow] 2 3" xfId="269"/>
    <cellStyle name="Input [yellow] 2 3 2" xfId="270"/>
    <cellStyle name="Input [yellow] 2 3 3" xfId="271"/>
    <cellStyle name="Input [yellow] 3" xfId="272"/>
    <cellStyle name="Input [yellow] 3 2" xfId="273"/>
    <cellStyle name="Input [yellow] 3 2 2" xfId="274"/>
    <cellStyle name="Input [yellow] 3 2 3" xfId="275"/>
    <cellStyle name="Input [yellow] 3 2 4" xfId="276"/>
    <cellStyle name="Input [yellow] 3 2 5" xfId="277"/>
    <cellStyle name="Input [yellow] 3 2 6" xfId="278"/>
    <cellStyle name="Input [yellow] 3 2 7" xfId="279"/>
    <cellStyle name="Input [yellow] 3 2 8" xfId="280"/>
    <cellStyle name="Input [yellow] 3 2 9" xfId="281"/>
    <cellStyle name="Input [yellow] 3 3" xfId="282"/>
    <cellStyle name="Input [yellow] 3 4" xfId="283"/>
    <cellStyle name="Input [yellow] 3 5" xfId="284"/>
    <cellStyle name="Input [yellow] 3 6" xfId="285"/>
    <cellStyle name="Input [yellow] 3 7" xfId="286"/>
    <cellStyle name="Input [yellow] 3 8" xfId="287"/>
    <cellStyle name="Input [yellow] 3 9" xfId="288"/>
    <cellStyle name="Input [yellow] 3 9 2" xfId="289"/>
    <cellStyle name="Input [yellow] 3 9 3" xfId="290"/>
    <cellStyle name="Input [yellow] 4" xfId="291"/>
    <cellStyle name="Input [yellow] 4 2" xfId="292"/>
    <cellStyle name="Input [yellow] 4 3" xfId="293"/>
    <cellStyle name="Input [yellow] 4 4" xfId="294"/>
    <cellStyle name="Input [yellow] 4 5" xfId="295"/>
    <cellStyle name="Input [yellow] 4 6" xfId="296"/>
    <cellStyle name="Input [yellow] 4 7" xfId="297"/>
    <cellStyle name="Input [yellow] 4 8" xfId="298"/>
    <cellStyle name="Input [yellow] 4 8 2" xfId="299"/>
    <cellStyle name="Input [yellow] 4 8 3" xfId="300"/>
    <cellStyle name="Input [yellow] 5" xfId="301"/>
    <cellStyle name="Input [yellow] 6" xfId="302"/>
    <cellStyle name="Input [yellow] 7" xfId="303"/>
    <cellStyle name="Input [yellow] 7 2" xfId="304"/>
    <cellStyle name="Input [yellow] 7 3" xfId="305"/>
    <cellStyle name="Input 10" xfId="306"/>
    <cellStyle name="Input 10 2" xfId="307"/>
    <cellStyle name="Input 11" xfId="308"/>
    <cellStyle name="Input 11 2" xfId="309"/>
    <cellStyle name="Input 12" xfId="310"/>
    <cellStyle name="Input 12 2" xfId="311"/>
    <cellStyle name="Input 13" xfId="312"/>
    <cellStyle name="Input 13 2" xfId="313"/>
    <cellStyle name="Input 14" xfId="314"/>
    <cellStyle name="Input 14 2" xfId="315"/>
    <cellStyle name="Input 15" xfId="316"/>
    <cellStyle name="Input 15 2" xfId="317"/>
    <cellStyle name="Input 16" xfId="318"/>
    <cellStyle name="Input 16 2" xfId="319"/>
    <cellStyle name="Input 17" xfId="320"/>
    <cellStyle name="Input 17 2" xfId="321"/>
    <cellStyle name="Input 18" xfId="322"/>
    <cellStyle name="Input 19" xfId="323"/>
    <cellStyle name="Input 2" xfId="324"/>
    <cellStyle name="Input 2 2" xfId="325"/>
    <cellStyle name="Input 2 2 2" xfId="326"/>
    <cellStyle name="Input 2 3" xfId="327"/>
    <cellStyle name="Input 2 3 2" xfId="328"/>
    <cellStyle name="Input 2 4" xfId="329"/>
    <cellStyle name="Input 2 4 2" xfId="330"/>
    <cellStyle name="Input 2 5" xfId="331"/>
    <cellStyle name="Input 2 5 2" xfId="332"/>
    <cellStyle name="Input 2 6" xfId="333"/>
    <cellStyle name="Input 2 6 2" xfId="334"/>
    <cellStyle name="Input 2 7" xfId="335"/>
    <cellStyle name="Input 20" xfId="336"/>
    <cellStyle name="Input 21" xfId="337"/>
    <cellStyle name="Input 22" xfId="338"/>
    <cellStyle name="Input 23" xfId="339"/>
    <cellStyle name="Input 24" xfId="340"/>
    <cellStyle name="Input 25" xfId="341"/>
    <cellStyle name="Input 26" xfId="342"/>
    <cellStyle name="Input 3" xfId="343"/>
    <cellStyle name="Input 3 2" xfId="344"/>
    <cellStyle name="Input 4" xfId="345"/>
    <cellStyle name="Input 4 2" xfId="346"/>
    <cellStyle name="Input 5" xfId="347"/>
    <cellStyle name="Input 5 2" xfId="348"/>
    <cellStyle name="Input 6" xfId="349"/>
    <cellStyle name="Input 6 2" xfId="350"/>
    <cellStyle name="Input 7" xfId="351"/>
    <cellStyle name="Input 7 2" xfId="352"/>
    <cellStyle name="Input 8" xfId="353"/>
    <cellStyle name="Input 8 2" xfId="354"/>
    <cellStyle name="Input 9" xfId="355"/>
    <cellStyle name="Input 9 2" xfId="356"/>
    <cellStyle name="J401K" xfId="357"/>
    <cellStyle name="Linked Cell" xfId="358"/>
    <cellStyle name="Millares [0]_Compra" xfId="359"/>
    <cellStyle name="Millares_Compra" xfId="360"/>
    <cellStyle name="Moneda [0]_Compra" xfId="361"/>
    <cellStyle name="Moneda_Compra" xfId="362"/>
    <cellStyle name="Neutral" xfId="363"/>
    <cellStyle name="no dec" xfId="364"/>
    <cellStyle name="Normal - Style1" xfId="365"/>
    <cellStyle name="Normal - Style1 2" xfId="366"/>
    <cellStyle name="Normal - Style1 2 2" xfId="367"/>
    <cellStyle name="Normal - Style1 2 3" xfId="368"/>
    <cellStyle name="Normal_#18-Internet" xfId="369"/>
    <cellStyle name="Note" xfId="370"/>
    <cellStyle name="Note 2" xfId="371"/>
    <cellStyle name="Note 2 2" xfId="372"/>
    <cellStyle name="Note 2 2 2" xfId="373"/>
    <cellStyle name="Note 2 2 2 2" xfId="374"/>
    <cellStyle name="Note 2 2 3" xfId="375"/>
    <cellStyle name="Note 2 2 3 2" xfId="376"/>
    <cellStyle name="Note 2 2 4" xfId="377"/>
    <cellStyle name="Note 2 2 4 2" xfId="378"/>
    <cellStyle name="Note 2 2 5" xfId="379"/>
    <cellStyle name="Note 2 2 5 2" xfId="380"/>
    <cellStyle name="Note 2 2 6" xfId="381"/>
    <cellStyle name="Note 2 2 6 2" xfId="382"/>
    <cellStyle name="Note 2 2 7" xfId="383"/>
    <cellStyle name="Note 2 3" xfId="384"/>
    <cellStyle name="Note 2 3 2" xfId="385"/>
    <cellStyle name="Note 2 4" xfId="386"/>
    <cellStyle name="Note 3" xfId="387"/>
    <cellStyle name="Note 3 2" xfId="388"/>
    <cellStyle name="Note 3 2 2" xfId="389"/>
    <cellStyle name="Note 3 2 2 2" xfId="390"/>
    <cellStyle name="Note 3 2 3" xfId="391"/>
    <cellStyle name="Note 3 2 3 2" xfId="392"/>
    <cellStyle name="Note 3 2 4" xfId="393"/>
    <cellStyle name="Note 3 2 4 2" xfId="394"/>
    <cellStyle name="Note 3 2 5" xfId="395"/>
    <cellStyle name="Note 3 2 5 2" xfId="396"/>
    <cellStyle name="Note 3 2 6" xfId="397"/>
    <cellStyle name="Note 3 2 6 2" xfId="398"/>
    <cellStyle name="Note 3 2 7" xfId="399"/>
    <cellStyle name="Note 3 3" xfId="400"/>
    <cellStyle name="Note 3 3 2" xfId="401"/>
    <cellStyle name="Note 3 4" xfId="402"/>
    <cellStyle name="Note 3 4 2" xfId="403"/>
    <cellStyle name="Note 3 5" xfId="404"/>
    <cellStyle name="Note 3 5 2" xfId="405"/>
    <cellStyle name="Note 3 6" xfId="406"/>
    <cellStyle name="Note 3 6 2" xfId="407"/>
    <cellStyle name="Note 3 7" xfId="408"/>
    <cellStyle name="Note 3 7 2" xfId="409"/>
    <cellStyle name="Note 3 8" xfId="410"/>
    <cellStyle name="Note 4" xfId="411"/>
    <cellStyle name="Note 4 2" xfId="412"/>
    <cellStyle name="Note 4 2 2" xfId="413"/>
    <cellStyle name="Note 4 3" xfId="414"/>
    <cellStyle name="Note 4 3 2" xfId="415"/>
    <cellStyle name="Note 4 4" xfId="416"/>
    <cellStyle name="Note 4 4 2" xfId="417"/>
    <cellStyle name="Note 4 5" xfId="418"/>
    <cellStyle name="Note 4 5 2" xfId="419"/>
    <cellStyle name="Note 4 6" xfId="420"/>
    <cellStyle name="Note 4 6 2" xfId="421"/>
    <cellStyle name="Note 4 7" xfId="422"/>
    <cellStyle name="Note 5" xfId="423"/>
    <cellStyle name="Note 5 2" xfId="424"/>
    <cellStyle name="Output" xfId="425"/>
    <cellStyle name="Output 2" xfId="426"/>
    <cellStyle name="Output 2 2" xfId="427"/>
    <cellStyle name="Output 2 2 2" xfId="428"/>
    <cellStyle name="Output 2 3" xfId="429"/>
    <cellStyle name="Output 2 3 2" xfId="430"/>
    <cellStyle name="Output 2 4" xfId="431"/>
    <cellStyle name="Output 2 4 2" xfId="432"/>
    <cellStyle name="Output 2 5" xfId="433"/>
    <cellStyle name="Output 2 5 2" xfId="434"/>
    <cellStyle name="Output 2 6" xfId="435"/>
    <cellStyle name="Output 2 6 2" xfId="436"/>
    <cellStyle name="Output 2 7" xfId="437"/>
    <cellStyle name="Output 3" xfId="438"/>
    <cellStyle name="Output 3 2" xfId="439"/>
    <cellStyle name="per.style" xfId="440"/>
    <cellStyle name="Percent [2]" xfId="441"/>
    <cellStyle name="price" xfId="442"/>
    <cellStyle name="PSChar" xfId="443"/>
    <cellStyle name="PSHeading" xfId="444"/>
    <cellStyle name="QDF" xfId="445"/>
    <cellStyle name="revised" xfId="446"/>
    <cellStyle name="section" xfId="447"/>
    <cellStyle name="subhead" xfId="448"/>
    <cellStyle name="title" xfId="449"/>
    <cellStyle name="Total" xfId="450"/>
    <cellStyle name="Total 2" xfId="451"/>
    <cellStyle name="Total 2 2" xfId="452"/>
    <cellStyle name="Total 2 2 2" xfId="453"/>
    <cellStyle name="Total 2 3" xfId="454"/>
    <cellStyle name="Total 2 3 2" xfId="455"/>
    <cellStyle name="Total 2 4" xfId="456"/>
    <cellStyle name="Total 2 4 2" xfId="457"/>
    <cellStyle name="Total 2 5" xfId="458"/>
    <cellStyle name="Total 2 5 2" xfId="459"/>
    <cellStyle name="Total 2 6" xfId="460"/>
    <cellStyle name="Total 2 6 2" xfId="461"/>
    <cellStyle name="Total 2 7" xfId="462"/>
    <cellStyle name="Total 3" xfId="463"/>
    <cellStyle name="Total 3 2" xfId="464"/>
    <cellStyle name="Warning Text" xfId="465"/>
    <cellStyle name="アクセント 1 2" xfId="466"/>
    <cellStyle name="アクセント 1 3" xfId="467"/>
    <cellStyle name="アクセント 1 4" xfId="468"/>
    <cellStyle name="アクセント 1 5" xfId="469"/>
    <cellStyle name="アクセント 1 6" xfId="470"/>
    <cellStyle name="アクセント 1 7" xfId="471"/>
    <cellStyle name="アクセント 1 8" xfId="472"/>
    <cellStyle name="アクセント 1 9" xfId="473"/>
    <cellStyle name="アクセント 2 2" xfId="474"/>
    <cellStyle name="アクセント 2 3" xfId="475"/>
    <cellStyle name="アクセント 2 4" xfId="476"/>
    <cellStyle name="アクセント 2 5" xfId="477"/>
    <cellStyle name="アクセント 2 6" xfId="478"/>
    <cellStyle name="アクセント 2 7" xfId="479"/>
    <cellStyle name="アクセント 2 8" xfId="480"/>
    <cellStyle name="アクセント 2 9" xfId="481"/>
    <cellStyle name="アクセント 3 2" xfId="482"/>
    <cellStyle name="アクセント 3 3" xfId="483"/>
    <cellStyle name="アクセント 3 4" xfId="484"/>
    <cellStyle name="アクセント 3 5" xfId="485"/>
    <cellStyle name="アクセント 3 6" xfId="486"/>
    <cellStyle name="アクセント 3 7" xfId="487"/>
    <cellStyle name="アクセント 3 8" xfId="488"/>
    <cellStyle name="アクセント 3 9" xfId="489"/>
    <cellStyle name="アクセント 4 2" xfId="490"/>
    <cellStyle name="アクセント 4 3" xfId="491"/>
    <cellStyle name="アクセント 4 4" xfId="492"/>
    <cellStyle name="アクセント 4 5" xfId="493"/>
    <cellStyle name="アクセント 4 6" xfId="494"/>
    <cellStyle name="アクセント 4 7" xfId="495"/>
    <cellStyle name="アクセント 4 8" xfId="496"/>
    <cellStyle name="アクセント 4 9" xfId="497"/>
    <cellStyle name="アクセント 5 2" xfId="498"/>
    <cellStyle name="アクセント 5 3" xfId="499"/>
    <cellStyle name="アクセント 5 4" xfId="500"/>
    <cellStyle name="アクセント 5 5" xfId="501"/>
    <cellStyle name="アクセント 5 6" xfId="502"/>
    <cellStyle name="アクセント 5 7" xfId="503"/>
    <cellStyle name="アクセント 5 8" xfId="504"/>
    <cellStyle name="アクセント 5 9" xfId="505"/>
    <cellStyle name="アクセント 6 2" xfId="506"/>
    <cellStyle name="アクセント 6 3" xfId="507"/>
    <cellStyle name="アクセント 6 4" xfId="508"/>
    <cellStyle name="アクセント 6 5" xfId="509"/>
    <cellStyle name="アクセント 6 6" xfId="510"/>
    <cellStyle name="アクセント 6 7" xfId="511"/>
    <cellStyle name="アクセント 6 8" xfId="512"/>
    <cellStyle name="アクセント 6 9" xfId="513"/>
    <cellStyle name="センター" xfId="514"/>
    <cellStyle name="タイトル 2" xfId="515"/>
    <cellStyle name="タイトル 3" xfId="516"/>
    <cellStyle name="タイトル 4" xfId="517"/>
    <cellStyle name="タイトル 5" xfId="518"/>
    <cellStyle name="タイトル 6" xfId="519"/>
    <cellStyle name="タイトル 7" xfId="520"/>
    <cellStyle name="タイトル 8" xfId="521"/>
    <cellStyle name="タイトル 9" xfId="522"/>
    <cellStyle name="チェック セル 2" xfId="523"/>
    <cellStyle name="チェック セル 3" xfId="524"/>
    <cellStyle name="チェック セル 4" xfId="525"/>
    <cellStyle name="チェック セル 5" xfId="526"/>
    <cellStyle name="チェック セル 6" xfId="527"/>
    <cellStyle name="チェック セル 7" xfId="528"/>
    <cellStyle name="チェック セル 8" xfId="529"/>
    <cellStyle name="チェック セル 9" xfId="530"/>
    <cellStyle name="チャート" xfId="531"/>
    <cellStyle name="どちらでもない 2" xfId="532"/>
    <cellStyle name="どちらでもない 3" xfId="533"/>
    <cellStyle name="どちらでもない 4" xfId="534"/>
    <cellStyle name="どちらでもない 5" xfId="535"/>
    <cellStyle name="どちらでもない 6" xfId="536"/>
    <cellStyle name="どちらでもない 7" xfId="537"/>
    <cellStyle name="どちらでもない 8" xfId="538"/>
    <cellStyle name="どちらでもない 9" xfId="539"/>
    <cellStyle name="パーセント 2" xfId="540"/>
    <cellStyle name="パーセント 2 2" xfId="541"/>
    <cellStyle name="パーセント 3" xfId="542"/>
    <cellStyle name="ハイパーリンク 2" xfId="543"/>
    <cellStyle name="ハイパーリンク 2 2" xfId="544"/>
    <cellStyle name="ハイパーリンク 2 3" xfId="545"/>
    <cellStyle name="ハイパーリンク 3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2"/>
    <cellStyle name="標準 10 4" xfId="1092"/>
    <cellStyle name="標準 10 5" xfId="1093"/>
    <cellStyle name="標準 100" xfId="1094"/>
    <cellStyle name="標準 100 2" xfId="1095"/>
    <cellStyle name="標準 100 2 2" xfId="1096"/>
    <cellStyle name="標準 100 2 2 2" xfId="1097"/>
    <cellStyle name="標準 100 2 2 3" xfId="1098"/>
    <cellStyle name="標準 100 2 2 4" xfId="1099"/>
    <cellStyle name="標準 100 2 3" xfId="1100"/>
    <cellStyle name="標準 100 2 4" xfId="1101"/>
    <cellStyle name="標準 100 2 5" xfId="1102"/>
    <cellStyle name="標準 100 3" xfId="1103"/>
    <cellStyle name="標準 100 3 2" xfId="1104"/>
    <cellStyle name="標準 100 3 3" xfId="1105"/>
    <cellStyle name="標準 100 3 4" xfId="1106"/>
    <cellStyle name="標準 100 4" xfId="1107"/>
    <cellStyle name="標準 100 5" xfId="1108"/>
    <cellStyle name="標準 100 6" xfId="1109"/>
    <cellStyle name="標準 101" xfId="1110"/>
    <cellStyle name="標準 102" xfId="1111"/>
    <cellStyle name="標準 102 2" xfId="1112"/>
    <cellStyle name="標準 102 2 2" xfId="1113"/>
    <cellStyle name="標準 102 2 3" xfId="1114"/>
    <cellStyle name="標準 102 2 4" xfId="1115"/>
    <cellStyle name="標準 102 3" xfId="1116"/>
    <cellStyle name="標準 102 4" xfId="1117"/>
    <cellStyle name="標準 102 5" xfId="1118"/>
    <cellStyle name="標準 103" xfId="1119"/>
    <cellStyle name="標準 104" xfId="1120"/>
    <cellStyle name="標準 104 2" xfId="1121"/>
    <cellStyle name="標準 104 3" xfId="1122"/>
    <cellStyle name="標準 104 4" xfId="1123"/>
    <cellStyle name="標準 105" xfId="1124"/>
    <cellStyle name="標準 106" xfId="1125"/>
    <cellStyle name="標準 107" xfId="1126"/>
    <cellStyle name="標準 108" xfId="1127"/>
    <cellStyle name="標準 109" xfId="1128"/>
    <cellStyle name="標準 11" xfId="1129"/>
    <cellStyle name="標準 11 2" xfId="1130"/>
    <cellStyle name="標準 11 3" xfId="1131"/>
    <cellStyle name="標準 110" xfId="1132"/>
    <cellStyle name="標準 111" xfId="1133"/>
    <cellStyle name="標準 112" xfId="1134"/>
    <cellStyle name="標準 113" xfId="1135"/>
    <cellStyle name="標準 114" xfId="1136"/>
    <cellStyle name="標準 115" xfId="1137"/>
    <cellStyle name="標準 116" xfId="1138"/>
    <cellStyle name="標準 117" xfId="1139"/>
    <cellStyle name="標準 118" xfId="1140"/>
    <cellStyle name="標準 119" xfId="1141"/>
    <cellStyle name="標準 12" xfId="1142"/>
    <cellStyle name="標準 12 2" xfId="1143"/>
    <cellStyle name="標準 12 2 2" xfId="1144"/>
    <cellStyle name="標準 12 2 3" xfId="1145"/>
    <cellStyle name="標準 12 3" xfId="1146"/>
    <cellStyle name="標準 12 3 2" xfId="1147"/>
    <cellStyle name="標準 12 3 3" xfId="1148"/>
    <cellStyle name="標準 120" xfId="1149"/>
    <cellStyle name="標準 121" xfId="1150"/>
    <cellStyle name="標準 122" xfId="1151"/>
    <cellStyle name="標準 123" xfId="1152"/>
    <cellStyle name="標準 124" xfId="1153"/>
    <cellStyle name="標準 125" xfId="1154"/>
    <cellStyle name="標準 126" xfId="1155"/>
    <cellStyle name="標準 127" xfId="1156"/>
    <cellStyle name="標準 128" xfId="1157"/>
    <cellStyle name="標準 129" xfId="1158"/>
    <cellStyle name="標準 13" xfId="1159"/>
    <cellStyle name="標準 13 2" xfId="1160"/>
    <cellStyle name="標準 13 3" xfId="1161"/>
    <cellStyle name="標準 13 4" xfId="1162"/>
    <cellStyle name="標準 13 5" xfId="1163"/>
    <cellStyle name="標準 130" xfId="1164"/>
    <cellStyle name="標準 131" xfId="1165"/>
    <cellStyle name="標準 132" xfId="1"/>
    <cellStyle name="標準 136" xfId="1166"/>
    <cellStyle name="標準 14" xfId="1167"/>
    <cellStyle name="標準 14 2" xfId="1168"/>
    <cellStyle name="標準 14 2 2" xfId="1169"/>
    <cellStyle name="標準 14 2 3" xfId="1170"/>
    <cellStyle name="標準 14 3" xfId="1171"/>
    <cellStyle name="標準 14 4" xfId="1172"/>
    <cellStyle name="標準 15" xfId="1173"/>
    <cellStyle name="標準 15 2" xfId="1174"/>
    <cellStyle name="標準 15 2 2" xfId="1175"/>
    <cellStyle name="標準 15 2 3" xfId="1176"/>
    <cellStyle name="標準 15 3" xfId="1177"/>
    <cellStyle name="標準 15 4" xfId="1178"/>
    <cellStyle name="標準 15 5" xfId="1179"/>
    <cellStyle name="標準 15 6" xfId="1180"/>
    <cellStyle name="標準 16" xfId="1181"/>
    <cellStyle name="標準 16 2" xfId="1182"/>
    <cellStyle name="標準 16 2 2" xfId="1183"/>
    <cellStyle name="標準 16 2 3" xfId="1184"/>
    <cellStyle name="標準 16 3" xfId="1185"/>
    <cellStyle name="標準 16 4" xfId="1186"/>
    <cellStyle name="標準 16 5" xfId="1187"/>
    <cellStyle name="標準 17" xfId="1188"/>
    <cellStyle name="標準 17 2" xfId="1189"/>
    <cellStyle name="標準 17 2 2" xfId="1190"/>
    <cellStyle name="標準 17 2 3" xfId="1191"/>
    <cellStyle name="標準 17 3" xfId="1192"/>
    <cellStyle name="標準 17 4" xfId="1193"/>
    <cellStyle name="標準 17 5" xfId="1194"/>
    <cellStyle name="標準 18" xfId="1195"/>
    <cellStyle name="標準 18 2" xfId="1196"/>
    <cellStyle name="標準 18 2 2" xfId="1197"/>
    <cellStyle name="標準 18 2 3" xfId="1198"/>
    <cellStyle name="標準 18 2 4" xfId="1199"/>
    <cellStyle name="標準 18 3" xfId="1200"/>
    <cellStyle name="標準 18 4" xfId="1201"/>
    <cellStyle name="標準 18 5" xfId="1202"/>
    <cellStyle name="標準 18 6" xfId="1203"/>
    <cellStyle name="標準 19" xfId="1204"/>
    <cellStyle name="標準 19 2" xfId="1205"/>
    <cellStyle name="標準 19 3" xfId="1206"/>
    <cellStyle name="標準 2" xfId="1207"/>
    <cellStyle name="標準 2 10" xfId="1208"/>
    <cellStyle name="標準 2 11" xfId="1209"/>
    <cellStyle name="標準 2 12" xfId="1210"/>
    <cellStyle name="標準 2 13" xfId="1211"/>
    <cellStyle name="標準 2 2" xfId="1212"/>
    <cellStyle name="標準 2 2 2" xfId="1213"/>
    <cellStyle name="標準 2 2 2 2" xfId="1214"/>
    <cellStyle name="標準 2 2 2 2 2" xfId="1215"/>
    <cellStyle name="標準 2 2 2 2 3" xfId="1216"/>
    <cellStyle name="標準 2 2 2 3" xfId="1217"/>
    <cellStyle name="標準 2 2 3" xfId="1218"/>
    <cellStyle name="標準 2 2 3 2" xfId="1219"/>
    <cellStyle name="標準 2 2 3 3" xfId="1220"/>
    <cellStyle name="標準 2 2 4" xfId="1221"/>
    <cellStyle name="標準 2 2 4 2" xfId="1222"/>
    <cellStyle name="標準 2 2 4 3" xfId="1223"/>
    <cellStyle name="標準 2 2 5" xfId="1224"/>
    <cellStyle name="標準 2 2 5 2" xfId="1225"/>
    <cellStyle name="標準 2 2 5 3" xfId="1226"/>
    <cellStyle name="標準 2 2 6" xfId="1227"/>
    <cellStyle name="標準 2 2 6 2" xfId="1228"/>
    <cellStyle name="標準 2 2 6 3" xfId="1229"/>
    <cellStyle name="標準 2 2 7" xfId="1230"/>
    <cellStyle name="標準 2 2 8" xfId="1231"/>
    <cellStyle name="標準 2 2_(別紙1)参加者テスト仕様書(JPN)_ver1.81" xfId="1232"/>
    <cellStyle name="標準 2 3" xfId="1233"/>
    <cellStyle name="標準 2 3 2" xfId="1234"/>
    <cellStyle name="標準 2 3 2 2" xfId="1235"/>
    <cellStyle name="標準 2 3 3" xfId="1236"/>
    <cellStyle name="標準 2 3 3 2" xfId="1237"/>
    <cellStyle name="標準 2 3 3 3" xfId="1238"/>
    <cellStyle name="標準 2 3 4" xfId="1239"/>
    <cellStyle name="標準 2 4" xfId="1240"/>
    <cellStyle name="標準 2 4 2" xfId="1241"/>
    <cellStyle name="標準 2 4 2 2" xfId="1242"/>
    <cellStyle name="標準 2 4 3" xfId="1243"/>
    <cellStyle name="標準 2 5" xfId="1244"/>
    <cellStyle name="標準 2 5 2" xfId="1245"/>
    <cellStyle name="標準 2 5 3" xfId="1246"/>
    <cellStyle name="標準 2 6" xfId="1247"/>
    <cellStyle name="標準 2 6 2" xfId="1248"/>
    <cellStyle name="標準 2 6 3" xfId="1249"/>
    <cellStyle name="標準 2 6 4" xfId="1250"/>
    <cellStyle name="標準 2 7" xfId="1251"/>
    <cellStyle name="標準 2 7 2" xfId="1252"/>
    <cellStyle name="標準 2 8" xfId="1253"/>
    <cellStyle name="標準 2 8 2" xfId="1254"/>
    <cellStyle name="標準 2 9" xfId="1255"/>
    <cellStyle name="標準 2_(別紙1)参加者テスト仕様書(JPN)_ver1.81" xfId="1256"/>
    <cellStyle name="標準 20" xfId="1257"/>
    <cellStyle name="標準 20 2" xfId="1258"/>
    <cellStyle name="標準 20 3" xfId="1259"/>
    <cellStyle name="標準 20 4" xfId="1260"/>
    <cellStyle name="標準 20 5" xfId="1261"/>
    <cellStyle name="標準 21" xfId="1262"/>
    <cellStyle name="標準 21 2" xfId="1263"/>
    <cellStyle name="標準 21 2 2" xfId="1264"/>
    <cellStyle name="標準 21 3" xfId="1265"/>
    <cellStyle name="標準 21 3 2" xfId="1266"/>
    <cellStyle name="標準 21 4" xfId="1267"/>
    <cellStyle name="標準 21 5" xfId="1268"/>
    <cellStyle name="標準 22" xfId="1269"/>
    <cellStyle name="標準 22 2" xfId="1270"/>
    <cellStyle name="標準 22 3" xfId="1271"/>
    <cellStyle name="標準 23" xfId="1272"/>
    <cellStyle name="標準 23 2" xfId="1273"/>
    <cellStyle name="標準 23 3" xfId="1274"/>
    <cellStyle name="標準 24" xfId="1275"/>
    <cellStyle name="標準 24 2" xfId="1276"/>
    <cellStyle name="標準 24 3" xfId="1277"/>
    <cellStyle name="標準 25" xfId="1278"/>
    <cellStyle name="標準 26" xfId="1279"/>
    <cellStyle name="標準 27" xfId="1280"/>
    <cellStyle name="標準 28" xfId="1281"/>
    <cellStyle name="標準 29" xfId="1282"/>
    <cellStyle name="標準 3" xfId="1283"/>
    <cellStyle name="標準 3 10" xfId="1284"/>
    <cellStyle name="標準 3 11" xfId="1285"/>
    <cellStyle name="標準 3 2" xfId="1286"/>
    <cellStyle name="標準 3 2 2" xfId="1287"/>
    <cellStyle name="標準 3 2 2 2" xfId="1288"/>
    <cellStyle name="標準 3 2 2 3" xfId="1289"/>
    <cellStyle name="標準 3 2 3" xfId="1290"/>
    <cellStyle name="標準 3 2 3 2" xfId="1291"/>
    <cellStyle name="標準 3 2 3 3" xfId="1292"/>
    <cellStyle name="標準 3 2 4" xfId="1293"/>
    <cellStyle name="標準 3 2 5" xfId="1294"/>
    <cellStyle name="標準 3 3" xfId="1295"/>
    <cellStyle name="標準 3 4" xfId="1296"/>
    <cellStyle name="標準 3 4 2" xfId="1297"/>
    <cellStyle name="標準 3 4 3" xfId="1298"/>
    <cellStyle name="標準 3 5" xfId="1299"/>
    <cellStyle name="標準 3 5 2" xfId="1300"/>
    <cellStyle name="標準 3 5 3" xfId="1301"/>
    <cellStyle name="標準 3 6" xfId="1302"/>
    <cellStyle name="標準 3 6 2" xfId="1303"/>
    <cellStyle name="標準 3 7" xfId="1304"/>
    <cellStyle name="標準 3 8" xfId="1305"/>
    <cellStyle name="標準 3 9" xfId="1306"/>
    <cellStyle name="標準 3_【Quick取得データ配信ツール(仮)】課題管理表（EUC）_20121210" xfId="1307"/>
    <cellStyle name="標準 30" xfId="1308"/>
    <cellStyle name="標準 31" xfId="1309"/>
    <cellStyle name="標準 31 2" xfId="1310"/>
    <cellStyle name="標準 31 3" xfId="1311"/>
    <cellStyle name="標準 32" xfId="1312"/>
    <cellStyle name="標準 32 2" xfId="1313"/>
    <cellStyle name="標準 32 3" xfId="1314"/>
    <cellStyle name="標準 33" xfId="1315"/>
    <cellStyle name="標準 33 2" xfId="1316"/>
    <cellStyle name="標準 33 3" xfId="1317"/>
    <cellStyle name="標準 34" xfId="1318"/>
    <cellStyle name="標準 34 2" xfId="1319"/>
    <cellStyle name="標準 34 3" xfId="1320"/>
    <cellStyle name="標準 35" xfId="1321"/>
    <cellStyle name="標準 35 2" xfId="1322"/>
    <cellStyle name="標準 35 3" xfId="1323"/>
    <cellStyle name="標準 36" xfId="1324"/>
    <cellStyle name="標準 36 2" xfId="1325"/>
    <cellStyle name="標準 36 3" xfId="1326"/>
    <cellStyle name="標準 37" xfId="1327"/>
    <cellStyle name="標準 37 2" xfId="1328"/>
    <cellStyle name="標準 37 3" xfId="1329"/>
    <cellStyle name="標準 38" xfId="1330"/>
    <cellStyle name="標準 39" xfId="1331"/>
    <cellStyle name="標準 39 2" xfId="1332"/>
    <cellStyle name="標準 39 3" xfId="1333"/>
    <cellStyle name="標準 4" xfId="1334"/>
    <cellStyle name="標準 4 2" xfId="1335"/>
    <cellStyle name="標準 4 2 2" xfId="1336"/>
    <cellStyle name="標準 4 2 2 2" xfId="1337"/>
    <cellStyle name="標準 4 2 2 3" xfId="1338"/>
    <cellStyle name="標準 4 2 3" xfId="1339"/>
    <cellStyle name="標準 4 3" xfId="1340"/>
    <cellStyle name="標準 4 3 2" xfId="1341"/>
    <cellStyle name="標準 4 3 3" xfId="1342"/>
    <cellStyle name="標準 4 4" xfId="1343"/>
    <cellStyle name="標準 4 4 2" xfId="1344"/>
    <cellStyle name="標準 4 4 3" xfId="1345"/>
    <cellStyle name="標準 4 5" xfId="1346"/>
    <cellStyle name="標準 4 6" xfId="1347"/>
    <cellStyle name="標準 4_20121011__1_F⇒O_【証拠金１本化】課題管理（清算）" xfId="1348"/>
    <cellStyle name="標準 40" xfId="1349"/>
    <cellStyle name="標準 41" xfId="1350"/>
    <cellStyle name="標準 42" xfId="1351"/>
    <cellStyle name="標準 43" xfId="1352"/>
    <cellStyle name="標準 44" xfId="1353"/>
    <cellStyle name="標準 45" xfId="1354"/>
    <cellStyle name="標準 46" xfId="1355"/>
    <cellStyle name="標準 47" xfId="1356"/>
    <cellStyle name="標準 48" xfId="1357"/>
    <cellStyle name="標準 49" xfId="1358"/>
    <cellStyle name="標準 5" xfId="1359"/>
    <cellStyle name="標準 5 2" xfId="1360"/>
    <cellStyle name="標準 5 2 2" xfId="1361"/>
    <cellStyle name="標準 5 2 2 2" xfId="1362"/>
    <cellStyle name="標準 5 2 2 3" xfId="1363"/>
    <cellStyle name="標準 5 2 3" xfId="1364"/>
    <cellStyle name="標準 5 2 3 2" xfId="1365"/>
    <cellStyle name="標準 5 2 3 3" xfId="1366"/>
    <cellStyle name="標準 5 3" xfId="1367"/>
    <cellStyle name="標準 5 4" xfId="1368"/>
    <cellStyle name="標準 5 4 2" xfId="1369"/>
    <cellStyle name="標準 5_バックアップセンタ_切替テストスケジュール_20120406~10" xfId="1370"/>
    <cellStyle name="標準 50" xfId="1371"/>
    <cellStyle name="標準 51" xfId="1372"/>
    <cellStyle name="標準 52" xfId="1373"/>
    <cellStyle name="標準 53" xfId="1374"/>
    <cellStyle name="標準 54" xfId="1375"/>
    <cellStyle name="標準 55" xfId="1376"/>
    <cellStyle name="標準 56" xfId="1377"/>
    <cellStyle name="標準 57" xfId="1378"/>
    <cellStyle name="標準 58" xfId="1379"/>
    <cellStyle name="標準 59" xfId="1380"/>
    <cellStyle name="標準 6" xfId="1381"/>
    <cellStyle name="標準 6 2" xfId="1382"/>
    <cellStyle name="標準 6 2 2" xfId="1383"/>
    <cellStyle name="標準 6 2 3" xfId="1384"/>
    <cellStyle name="標準 6 2 4" xfId="1385"/>
    <cellStyle name="標準 6 3" xfId="1386"/>
    <cellStyle name="標準 6_バックアップセンタ_切替テストスケジュール_20120406~10" xfId="1387"/>
    <cellStyle name="標準 60" xfId="1388"/>
    <cellStyle name="標準 61" xfId="1389"/>
    <cellStyle name="標準 62" xfId="1390"/>
    <cellStyle name="標準 63" xfId="1391"/>
    <cellStyle name="標準 64" xfId="1392"/>
    <cellStyle name="標準 65" xfId="1393"/>
    <cellStyle name="標準 66" xfId="1394"/>
    <cellStyle name="標準 67" xfId="1395"/>
    <cellStyle name="標準 68" xfId="1396"/>
    <cellStyle name="標準 69" xfId="1397"/>
    <cellStyle name="標準 69 2" xfId="1398"/>
    <cellStyle name="標準 69 2 2" xfId="1399"/>
    <cellStyle name="標準 69 2 2 2" xfId="1400"/>
    <cellStyle name="標準 69 2 2 3" xfId="1401"/>
    <cellStyle name="標準 69 2 2 4" xfId="1402"/>
    <cellStyle name="標準 69 2 3" xfId="1403"/>
    <cellStyle name="標準 69 2 4" xfId="1404"/>
    <cellStyle name="標準 69 2 5" xfId="1405"/>
    <cellStyle name="標準 69 3" xfId="1406"/>
    <cellStyle name="標準 69 3 2" xfId="1407"/>
    <cellStyle name="標準 69 3 3" xfId="1408"/>
    <cellStyle name="標準 69 3 4" xfId="1409"/>
    <cellStyle name="標準 69 4" xfId="1410"/>
    <cellStyle name="標準 69 5" xfId="1411"/>
    <cellStyle name="標準 69 6" xfId="1412"/>
    <cellStyle name="標準 69 7" xfId="1413"/>
    <cellStyle name="標準 69 8" xfId="1414"/>
    <cellStyle name="標準 7" xfId="1415"/>
    <cellStyle name="標準 7 2" xfId="1416"/>
    <cellStyle name="標準 7 2 2" xfId="1417"/>
    <cellStyle name="標準 7 2 3" xfId="1418"/>
    <cellStyle name="標準 7 3" xfId="1419"/>
    <cellStyle name="標準 7 3 2" xfId="1420"/>
    <cellStyle name="標準 7 3 3" xfId="1421"/>
    <cellStyle name="標準 7 4" xfId="1422"/>
    <cellStyle name="標準 7 4 2" xfId="1423"/>
    <cellStyle name="標準 7 4 3" xfId="1424"/>
    <cellStyle name="標準 7 5" xfId="1425"/>
    <cellStyle name="標準 70" xfId="1426"/>
    <cellStyle name="標準 70 2" xfId="1427"/>
    <cellStyle name="標準 70 2 2" xfId="1428"/>
    <cellStyle name="標準 70 2 2 2" xfId="1429"/>
    <cellStyle name="標準 70 2 2 3" xfId="1430"/>
    <cellStyle name="標準 70 2 2 4" xfId="1431"/>
    <cellStyle name="標準 70 2 3" xfId="1432"/>
    <cellStyle name="標準 70 2 4" xfId="1433"/>
    <cellStyle name="標準 70 2 5" xfId="1434"/>
    <cellStyle name="標準 70 3" xfId="1435"/>
    <cellStyle name="標準 70 3 2" xfId="1436"/>
    <cellStyle name="標準 70 3 3" xfId="1437"/>
    <cellStyle name="標準 70 3 4" xfId="1438"/>
    <cellStyle name="標準 70 4" xfId="1439"/>
    <cellStyle name="標準 70 5" xfId="1440"/>
    <cellStyle name="標準 70 6" xfId="1441"/>
    <cellStyle name="標準 70 7" xfId="1442"/>
    <cellStyle name="標準 70 8" xfId="1443"/>
    <cellStyle name="標準 71" xfId="1444"/>
    <cellStyle name="標準 71 2" xfId="1445"/>
    <cellStyle name="標準 71 2 2" xfId="1446"/>
    <cellStyle name="標準 71 2 2 2" xfId="1447"/>
    <cellStyle name="標準 71 2 2 3" xfId="1448"/>
    <cellStyle name="標準 71 2 2 4" xfId="1449"/>
    <cellStyle name="標準 71 2 3" xfId="1450"/>
    <cellStyle name="標準 71 2 4" xfId="1451"/>
    <cellStyle name="標準 71 2 5" xfId="1452"/>
    <cellStyle name="標準 71 3" xfId="1453"/>
    <cellStyle name="標準 71 3 2" xfId="1454"/>
    <cellStyle name="標準 71 3 3" xfId="1455"/>
    <cellStyle name="標準 71 3 4" xfId="1456"/>
    <cellStyle name="標準 71 4" xfId="1457"/>
    <cellStyle name="標準 71 5" xfId="1458"/>
    <cellStyle name="標準 71 6" xfId="1459"/>
    <cellStyle name="標準 71 7" xfId="1460"/>
    <cellStyle name="標準 71 8" xfId="1461"/>
    <cellStyle name="標準 72" xfId="1462"/>
    <cellStyle name="標準 72 2" xfId="1463"/>
    <cellStyle name="標準 72 2 2" xfId="1464"/>
    <cellStyle name="標準 72 2 2 2" xfId="1465"/>
    <cellStyle name="標準 72 2 2 3" xfId="1466"/>
    <cellStyle name="標準 72 2 2 4" xfId="1467"/>
    <cellStyle name="標準 72 2 3" xfId="1468"/>
    <cellStyle name="標準 72 2 4" xfId="1469"/>
    <cellStyle name="標準 72 2 5" xfId="1470"/>
    <cellStyle name="標準 72 3" xfId="1471"/>
    <cellStyle name="標準 72 3 2" xfId="1472"/>
    <cellStyle name="標準 72 3 3" xfId="1473"/>
    <cellStyle name="標準 72 3 4" xfId="1474"/>
    <cellStyle name="標準 72 4" xfId="1475"/>
    <cellStyle name="標準 72 5" xfId="1476"/>
    <cellStyle name="標準 72 6" xfId="1477"/>
    <cellStyle name="標準 72 7" xfId="1478"/>
    <cellStyle name="標準 72 8" xfId="1479"/>
    <cellStyle name="標準 73" xfId="1480"/>
    <cellStyle name="標準 73 2" xfId="1481"/>
    <cellStyle name="標準 73 2 2" xfId="1482"/>
    <cellStyle name="標準 73 2 2 2" xfId="1483"/>
    <cellStyle name="標準 73 2 2 3" xfId="1484"/>
    <cellStyle name="標準 73 2 2 4" xfId="1485"/>
    <cellStyle name="標準 73 2 3" xfId="1486"/>
    <cellStyle name="標準 73 2 4" xfId="1487"/>
    <cellStyle name="標準 73 2 5" xfId="1488"/>
    <cellStyle name="標準 73 3" xfId="1489"/>
    <cellStyle name="標準 73 3 2" xfId="1490"/>
    <cellStyle name="標準 73 3 3" xfId="1491"/>
    <cellStyle name="標準 73 3 4" xfId="1492"/>
    <cellStyle name="標準 73 4" xfId="1493"/>
    <cellStyle name="標準 73 5" xfId="1494"/>
    <cellStyle name="標準 73 6" xfId="1495"/>
    <cellStyle name="標準 74" xfId="1496"/>
    <cellStyle name="標準 74 2" xfId="1497"/>
    <cellStyle name="標準 74 2 2" xfId="1498"/>
    <cellStyle name="標準 74 2 2 2" xfId="1499"/>
    <cellStyle name="標準 74 2 2 3" xfId="1500"/>
    <cellStyle name="標準 74 2 2 4" xfId="1501"/>
    <cellStyle name="標準 74 2 3" xfId="1502"/>
    <cellStyle name="標準 74 2 4" xfId="1503"/>
    <cellStyle name="標準 74 2 5" xfId="1504"/>
    <cellStyle name="標準 74 3" xfId="1505"/>
    <cellStyle name="標準 74 3 2" xfId="1506"/>
    <cellStyle name="標準 74 3 3" xfId="1507"/>
    <cellStyle name="標準 74 3 4" xfId="1508"/>
    <cellStyle name="標準 74 4" xfId="1509"/>
    <cellStyle name="標準 74 5" xfId="1510"/>
    <cellStyle name="標準 74 6" xfId="1511"/>
    <cellStyle name="標準 75" xfId="1512"/>
    <cellStyle name="標準 75 2" xfId="1513"/>
    <cellStyle name="標準 75 2 2" xfId="1514"/>
    <cellStyle name="標準 75 2 2 2" xfId="1515"/>
    <cellStyle name="標準 75 2 2 3" xfId="1516"/>
    <cellStyle name="標準 75 2 2 4" xfId="1517"/>
    <cellStyle name="標準 75 2 3" xfId="1518"/>
    <cellStyle name="標準 75 2 4" xfId="1519"/>
    <cellStyle name="標準 75 2 5" xfId="1520"/>
    <cellStyle name="標準 75 3" xfId="1521"/>
    <cellStyle name="標準 75 3 2" xfId="1522"/>
    <cellStyle name="標準 75 3 3" xfId="1523"/>
    <cellStyle name="標準 75 3 4" xfId="1524"/>
    <cellStyle name="標準 75 4" xfId="1525"/>
    <cellStyle name="標準 75 5" xfId="1526"/>
    <cellStyle name="標準 75 6" xfId="1527"/>
    <cellStyle name="標準 76" xfId="1528"/>
    <cellStyle name="標準 76 2" xfId="1529"/>
    <cellStyle name="標準 76 2 2" xfId="1530"/>
    <cellStyle name="標準 76 2 2 2" xfId="1531"/>
    <cellStyle name="標準 76 2 2 3" xfId="1532"/>
    <cellStyle name="標準 76 2 2 4" xfId="1533"/>
    <cellStyle name="標準 76 2 3" xfId="1534"/>
    <cellStyle name="標準 76 2 4" xfId="1535"/>
    <cellStyle name="標準 76 2 5" xfId="1536"/>
    <cellStyle name="標準 76 3" xfId="1537"/>
    <cellStyle name="標準 76 3 2" xfId="1538"/>
    <cellStyle name="標準 76 3 3" xfId="1539"/>
    <cellStyle name="標準 76 3 4" xfId="1540"/>
    <cellStyle name="標準 76 4" xfId="1541"/>
    <cellStyle name="標準 76 5" xfId="1542"/>
    <cellStyle name="標準 76 6" xfId="1543"/>
    <cellStyle name="標準 77" xfId="1544"/>
    <cellStyle name="標準 77 2" xfId="1545"/>
    <cellStyle name="標準 77 2 2" xfId="1546"/>
    <cellStyle name="標準 77 2 2 2" xfId="1547"/>
    <cellStyle name="標準 77 2 2 3" xfId="1548"/>
    <cellStyle name="標準 77 2 2 4" xfId="1549"/>
    <cellStyle name="標準 77 2 3" xfId="1550"/>
    <cellStyle name="標準 77 2 4" xfId="1551"/>
    <cellStyle name="標準 77 2 5" xfId="1552"/>
    <cellStyle name="標準 77 3" xfId="1553"/>
    <cellStyle name="標準 77 3 2" xfId="1554"/>
    <cellStyle name="標準 77 3 3" xfId="1555"/>
    <cellStyle name="標準 77 3 4" xfId="1556"/>
    <cellStyle name="標準 77 4" xfId="1557"/>
    <cellStyle name="標準 77 5" xfId="1558"/>
    <cellStyle name="標準 77 6" xfId="1559"/>
    <cellStyle name="標準 78" xfId="1560"/>
    <cellStyle name="標準 78 2" xfId="1561"/>
    <cellStyle name="標準 78 2 2" xfId="1562"/>
    <cellStyle name="標準 78 2 2 2" xfId="1563"/>
    <cellStyle name="標準 78 2 2 3" xfId="1564"/>
    <cellStyle name="標準 78 2 2 4" xfId="1565"/>
    <cellStyle name="標準 78 2 3" xfId="1566"/>
    <cellStyle name="標準 78 2 4" xfId="1567"/>
    <cellStyle name="標準 78 2 5" xfId="1568"/>
    <cellStyle name="標準 78 3" xfId="1569"/>
    <cellStyle name="標準 78 3 2" xfId="1570"/>
    <cellStyle name="標準 78 3 3" xfId="1571"/>
    <cellStyle name="標準 78 3 4" xfId="1572"/>
    <cellStyle name="標準 78 4" xfId="1573"/>
    <cellStyle name="標準 78 5" xfId="1574"/>
    <cellStyle name="標準 78 6" xfId="1575"/>
    <cellStyle name="標準 79" xfId="1576"/>
    <cellStyle name="標準 79 2" xfId="1577"/>
    <cellStyle name="標準 79 2 2" xfId="1578"/>
    <cellStyle name="標準 79 2 2 2" xfId="1579"/>
    <cellStyle name="標準 79 2 2 3" xfId="1580"/>
    <cellStyle name="標準 79 2 2 4" xfId="1581"/>
    <cellStyle name="標準 79 2 3" xfId="1582"/>
    <cellStyle name="標準 79 2 4" xfId="1583"/>
    <cellStyle name="標準 79 2 5" xfId="1584"/>
    <cellStyle name="標準 79 3" xfId="1585"/>
    <cellStyle name="標準 79 3 2" xfId="1586"/>
    <cellStyle name="標準 79 3 3" xfId="1587"/>
    <cellStyle name="標準 79 3 4" xfId="1588"/>
    <cellStyle name="標準 79 4" xfId="1589"/>
    <cellStyle name="標準 79 5" xfId="1590"/>
    <cellStyle name="標準 79 6" xfId="1591"/>
    <cellStyle name="標準 8" xfId="1592"/>
    <cellStyle name="標準 8 2" xfId="1593"/>
    <cellStyle name="標準 8 3" xfId="1594"/>
    <cellStyle name="標準 8 4" xfId="1595"/>
    <cellStyle name="標準 8 5" xfId="1596"/>
    <cellStyle name="標準 8 6" xfId="1597"/>
    <cellStyle name="標準 80" xfId="1598"/>
    <cellStyle name="標準 80 2" xfId="1599"/>
    <cellStyle name="標準 80 2 2" xfId="1600"/>
    <cellStyle name="標準 80 2 2 2" xfId="1601"/>
    <cellStyle name="標準 80 2 2 3" xfId="1602"/>
    <cellStyle name="標準 80 2 2 4" xfId="1603"/>
    <cellStyle name="標準 80 2 3" xfId="1604"/>
    <cellStyle name="標準 80 2 4" xfId="1605"/>
    <cellStyle name="標準 80 2 5" xfId="1606"/>
    <cellStyle name="標準 80 3" xfId="1607"/>
    <cellStyle name="標準 80 3 2" xfId="1608"/>
    <cellStyle name="標準 80 3 3" xfId="1609"/>
    <cellStyle name="標準 80 3 4" xfId="1610"/>
    <cellStyle name="標準 80 4" xfId="1611"/>
    <cellStyle name="標準 80 5" xfId="1612"/>
    <cellStyle name="標準 80 6" xfId="1613"/>
    <cellStyle name="標準 81" xfId="1614"/>
    <cellStyle name="標準 81 2" xfId="1615"/>
    <cellStyle name="標準 81 2 2" xfId="1616"/>
    <cellStyle name="標準 81 2 2 2" xfId="1617"/>
    <cellStyle name="標準 81 2 2 3" xfId="1618"/>
    <cellStyle name="標準 81 2 2 4" xfId="1619"/>
    <cellStyle name="標準 81 2 3" xfId="1620"/>
    <cellStyle name="標準 81 2 4" xfId="1621"/>
    <cellStyle name="標準 81 2 5" xfId="1622"/>
    <cellStyle name="標準 81 3" xfId="1623"/>
    <cellStyle name="標準 81 3 2" xfId="1624"/>
    <cellStyle name="標準 81 3 3" xfId="1625"/>
    <cellStyle name="標準 81 3 4" xfId="1626"/>
    <cellStyle name="標準 81 4" xfId="1627"/>
    <cellStyle name="標準 81 5" xfId="1628"/>
    <cellStyle name="標準 81 6" xfId="1629"/>
    <cellStyle name="標準 82" xfId="1630"/>
    <cellStyle name="標準 82 2" xfId="1631"/>
    <cellStyle name="標準 82 2 2" xfId="1632"/>
    <cellStyle name="標準 82 2 2 2" xfId="1633"/>
    <cellStyle name="標準 82 2 2 3" xfId="1634"/>
    <cellStyle name="標準 82 2 2 4" xfId="1635"/>
    <cellStyle name="標準 82 2 3" xfId="1636"/>
    <cellStyle name="標準 82 2 4" xfId="1637"/>
    <cellStyle name="標準 82 2 5" xfId="1638"/>
    <cellStyle name="標準 82 3" xfId="1639"/>
    <cellStyle name="標準 82 3 2" xfId="1640"/>
    <cellStyle name="標準 82 3 3" xfId="1641"/>
    <cellStyle name="標準 82 3 4" xfId="1642"/>
    <cellStyle name="標準 82 4" xfId="1643"/>
    <cellStyle name="標準 82 5" xfId="1644"/>
    <cellStyle name="標準 82 6" xfId="1645"/>
    <cellStyle name="標準 83" xfId="1646"/>
    <cellStyle name="標準 83 2" xfId="1647"/>
    <cellStyle name="標準 83 2 2" xfId="1648"/>
    <cellStyle name="標準 83 2 2 2" xfId="1649"/>
    <cellStyle name="標準 83 2 2 3" xfId="1650"/>
    <cellStyle name="標準 83 2 2 4" xfId="1651"/>
    <cellStyle name="標準 83 2 3" xfId="1652"/>
    <cellStyle name="標準 83 2 4" xfId="1653"/>
    <cellStyle name="標準 83 2 5" xfId="1654"/>
    <cellStyle name="標準 83 3" xfId="1655"/>
    <cellStyle name="標準 83 3 2" xfId="1656"/>
    <cellStyle name="標準 83 3 3" xfId="1657"/>
    <cellStyle name="標準 83 3 4" xfId="1658"/>
    <cellStyle name="標準 83 4" xfId="1659"/>
    <cellStyle name="標準 83 5" xfId="1660"/>
    <cellStyle name="標準 83 6" xfId="1661"/>
    <cellStyle name="標準 84" xfId="1662"/>
    <cellStyle name="標準 84 2" xfId="1663"/>
    <cellStyle name="標準 84 2 2" xfId="1664"/>
    <cellStyle name="標準 84 2 2 2" xfId="1665"/>
    <cellStyle name="標準 84 2 2 3" xfId="1666"/>
    <cellStyle name="標準 84 2 2 4" xfId="1667"/>
    <cellStyle name="標準 84 2 3" xfId="1668"/>
    <cellStyle name="標準 84 2 4" xfId="1669"/>
    <cellStyle name="標準 84 2 5" xfId="1670"/>
    <cellStyle name="標準 84 3" xfId="1671"/>
    <cellStyle name="標準 84 3 2" xfId="1672"/>
    <cellStyle name="標準 84 3 3" xfId="1673"/>
    <cellStyle name="標準 84 3 4" xfId="1674"/>
    <cellStyle name="標準 84 4" xfId="1675"/>
    <cellStyle name="標準 84 5" xfId="1676"/>
    <cellStyle name="標準 84 6" xfId="1677"/>
    <cellStyle name="標準 85" xfId="1678"/>
    <cellStyle name="標準 85 2" xfId="1679"/>
    <cellStyle name="標準 85 2 2" xfId="1680"/>
    <cellStyle name="標準 85 2 2 2" xfId="1681"/>
    <cellStyle name="標準 85 2 2 3" xfId="1682"/>
    <cellStyle name="標準 85 2 2 4" xfId="1683"/>
    <cellStyle name="標準 85 2 3" xfId="1684"/>
    <cellStyle name="標準 85 2 4" xfId="1685"/>
    <cellStyle name="標準 85 2 5" xfId="1686"/>
    <cellStyle name="標準 85 3" xfId="1687"/>
    <cellStyle name="標準 85 3 2" xfId="1688"/>
    <cellStyle name="標準 85 3 3" xfId="1689"/>
    <cellStyle name="標準 85 3 4" xfId="1690"/>
    <cellStyle name="標準 85 4" xfId="1691"/>
    <cellStyle name="標準 85 5" xfId="1692"/>
    <cellStyle name="標準 85 6" xfId="1693"/>
    <cellStyle name="標準 86" xfId="1694"/>
    <cellStyle name="標準 86 2" xfId="1695"/>
    <cellStyle name="標準 86 2 2" xfId="1696"/>
    <cellStyle name="標準 86 2 2 2" xfId="1697"/>
    <cellStyle name="標準 86 2 2 3" xfId="1698"/>
    <cellStyle name="標準 86 2 2 4" xfId="1699"/>
    <cellStyle name="標準 86 2 3" xfId="1700"/>
    <cellStyle name="標準 86 2 4" xfId="1701"/>
    <cellStyle name="標準 86 2 5" xfId="1702"/>
    <cellStyle name="標準 86 3" xfId="1703"/>
    <cellStyle name="標準 86 3 2" xfId="1704"/>
    <cellStyle name="標準 86 3 3" xfId="1705"/>
    <cellStyle name="標準 86 3 4" xfId="1706"/>
    <cellStyle name="標準 86 4" xfId="1707"/>
    <cellStyle name="標準 86 5" xfId="1708"/>
    <cellStyle name="標準 86 6" xfId="1709"/>
    <cellStyle name="標準 87" xfId="1710"/>
    <cellStyle name="標準 87 2" xfId="1711"/>
    <cellStyle name="標準 87 2 2" xfId="1712"/>
    <cellStyle name="標準 87 2 2 2" xfId="1713"/>
    <cellStyle name="標準 87 2 2 3" xfId="1714"/>
    <cellStyle name="標準 87 2 2 4" xfId="1715"/>
    <cellStyle name="標準 87 2 3" xfId="1716"/>
    <cellStyle name="標準 87 2 4" xfId="1717"/>
    <cellStyle name="標準 87 2 5" xfId="1718"/>
    <cellStyle name="標準 87 3" xfId="1719"/>
    <cellStyle name="標準 87 3 2" xfId="1720"/>
    <cellStyle name="標準 87 3 3" xfId="1721"/>
    <cellStyle name="標準 87 3 4" xfId="1722"/>
    <cellStyle name="標準 87 4" xfId="1723"/>
    <cellStyle name="標準 87 5" xfId="1724"/>
    <cellStyle name="標準 87 6" xfId="1725"/>
    <cellStyle name="標準 88" xfId="1726"/>
    <cellStyle name="標準 88 2" xfId="1727"/>
    <cellStyle name="標準 88 2 2" xfId="1728"/>
    <cellStyle name="標準 88 2 2 2" xfId="1729"/>
    <cellStyle name="標準 88 2 2 3" xfId="1730"/>
    <cellStyle name="標準 88 2 2 4" xfId="1731"/>
    <cellStyle name="標準 88 2 3" xfId="1732"/>
    <cellStyle name="標準 88 2 4" xfId="1733"/>
    <cellStyle name="標準 88 2 5" xfId="1734"/>
    <cellStyle name="標準 88 3" xfId="1735"/>
    <cellStyle name="標準 88 3 2" xfId="1736"/>
    <cellStyle name="標準 88 3 3" xfId="1737"/>
    <cellStyle name="標準 88 3 4" xfId="1738"/>
    <cellStyle name="標準 88 4" xfId="1739"/>
    <cellStyle name="標準 88 5" xfId="1740"/>
    <cellStyle name="標準 88 6" xfId="1741"/>
    <cellStyle name="標準 89" xfId="1742"/>
    <cellStyle name="標準 89 2" xfId="1743"/>
    <cellStyle name="標準 89 2 2" xfId="1744"/>
    <cellStyle name="標準 89 2 2 2" xfId="1745"/>
    <cellStyle name="標準 89 2 2 3" xfId="1746"/>
    <cellStyle name="標準 89 2 2 4" xfId="1747"/>
    <cellStyle name="標準 89 2 3" xfId="1748"/>
    <cellStyle name="標準 89 2 4" xfId="1749"/>
    <cellStyle name="標準 89 2 5" xfId="1750"/>
    <cellStyle name="標準 89 3" xfId="1751"/>
    <cellStyle name="標準 89 3 2" xfId="1752"/>
    <cellStyle name="標準 89 3 3" xfId="1753"/>
    <cellStyle name="標準 89 3 4" xfId="1754"/>
    <cellStyle name="標準 89 4" xfId="1755"/>
    <cellStyle name="標準 89 5" xfId="1756"/>
    <cellStyle name="標準 89 6" xfId="1757"/>
    <cellStyle name="標準 9" xfId="1758"/>
    <cellStyle name="標準 9 2" xfId="1759"/>
    <cellStyle name="標準 9 3" xfId="1760"/>
    <cellStyle name="標準 90" xfId="1761"/>
    <cellStyle name="標準 90 2" xfId="1762"/>
    <cellStyle name="標準 90 2 2" xfId="1763"/>
    <cellStyle name="標準 90 2 2 2" xfId="1764"/>
    <cellStyle name="標準 90 2 2 3" xfId="1765"/>
    <cellStyle name="標準 90 2 2 4" xfId="1766"/>
    <cellStyle name="標準 90 2 3" xfId="1767"/>
    <cellStyle name="標準 90 2 4" xfId="1768"/>
    <cellStyle name="標準 90 2 5" xfId="1769"/>
    <cellStyle name="標準 90 3" xfId="1770"/>
    <cellStyle name="標準 90 3 2" xfId="1771"/>
    <cellStyle name="標準 90 3 3" xfId="1772"/>
    <cellStyle name="標準 90 3 4" xfId="1773"/>
    <cellStyle name="標準 90 4" xfId="1774"/>
    <cellStyle name="標準 90 5" xfId="1775"/>
    <cellStyle name="標準 90 6" xfId="1776"/>
    <cellStyle name="標準 91" xfId="1777"/>
    <cellStyle name="標準 91 2" xfId="1778"/>
    <cellStyle name="標準 91 2 2" xfId="1779"/>
    <cellStyle name="標準 91 2 2 2" xfId="1780"/>
    <cellStyle name="標準 91 2 2 3" xfId="1781"/>
    <cellStyle name="標準 91 2 2 4" xfId="1782"/>
    <cellStyle name="標準 91 2 3" xfId="1783"/>
    <cellStyle name="標準 91 2 4" xfId="1784"/>
    <cellStyle name="標準 91 2 5" xfId="1785"/>
    <cellStyle name="標準 91 3" xfId="1786"/>
    <cellStyle name="標準 91 3 2" xfId="1787"/>
    <cellStyle name="標準 91 3 3" xfId="1788"/>
    <cellStyle name="標準 91 3 4" xfId="1789"/>
    <cellStyle name="標準 91 4" xfId="1790"/>
    <cellStyle name="標準 91 5" xfId="1791"/>
    <cellStyle name="標準 91 6" xfId="1792"/>
    <cellStyle name="標準 92" xfId="1793"/>
    <cellStyle name="標準 92 2" xfId="1794"/>
    <cellStyle name="標準 92 2 2" xfId="1795"/>
    <cellStyle name="標準 92 2 2 2" xfId="1796"/>
    <cellStyle name="標準 92 2 2 3" xfId="1797"/>
    <cellStyle name="標準 92 2 2 4" xfId="1798"/>
    <cellStyle name="標準 92 2 3" xfId="1799"/>
    <cellStyle name="標準 92 2 4" xfId="1800"/>
    <cellStyle name="標準 92 2 5" xfId="1801"/>
    <cellStyle name="標準 92 3" xfId="1802"/>
    <cellStyle name="標準 92 3 2" xfId="1803"/>
    <cellStyle name="標準 92 3 3" xfId="1804"/>
    <cellStyle name="標準 92 3 4" xfId="1805"/>
    <cellStyle name="標準 92 4" xfId="1806"/>
    <cellStyle name="標準 92 5" xfId="1807"/>
    <cellStyle name="標準 92 6" xfId="1808"/>
    <cellStyle name="標準 93" xfId="1809"/>
    <cellStyle name="標準 93 2" xfId="1810"/>
    <cellStyle name="標準 93 2 2" xfId="1811"/>
    <cellStyle name="標準 93 2 2 2" xfId="1812"/>
    <cellStyle name="標準 93 2 2 3" xfId="1813"/>
    <cellStyle name="標準 93 2 2 4" xfId="1814"/>
    <cellStyle name="標準 93 2 3" xfId="1815"/>
    <cellStyle name="標準 93 2 4" xfId="1816"/>
    <cellStyle name="標準 93 2 5" xfId="1817"/>
    <cellStyle name="標準 93 3" xfId="1818"/>
    <cellStyle name="標準 93 3 2" xfId="1819"/>
    <cellStyle name="標準 93 3 3" xfId="1820"/>
    <cellStyle name="標準 93 3 4" xfId="1821"/>
    <cellStyle name="標準 93 4" xfId="1822"/>
    <cellStyle name="標準 93 5" xfId="1823"/>
    <cellStyle name="標準 93 6" xfId="1824"/>
    <cellStyle name="標準 94" xfId="1825"/>
    <cellStyle name="標準 94 2" xfId="1826"/>
    <cellStyle name="標準 94 2 2" xfId="1827"/>
    <cellStyle name="標準 94 2 2 2" xfId="1828"/>
    <cellStyle name="標準 94 2 2 3" xfId="1829"/>
    <cellStyle name="標準 94 2 2 4" xfId="1830"/>
    <cellStyle name="標準 94 2 3" xfId="1831"/>
    <cellStyle name="標準 94 2 4" xfId="1832"/>
    <cellStyle name="標準 94 2 5" xfId="1833"/>
    <cellStyle name="標準 94 3" xfId="1834"/>
    <cellStyle name="標準 94 3 2" xfId="1835"/>
    <cellStyle name="標準 94 3 3" xfId="1836"/>
    <cellStyle name="標準 94 3 4" xfId="1837"/>
    <cellStyle name="標準 94 4" xfId="1838"/>
    <cellStyle name="標準 94 5" xfId="1839"/>
    <cellStyle name="標準 94 6" xfId="1840"/>
    <cellStyle name="標準 95" xfId="1841"/>
    <cellStyle name="標準 95 2" xfId="1842"/>
    <cellStyle name="標準 95 2 2" xfId="1843"/>
    <cellStyle name="標準 95 2 2 2" xfId="1844"/>
    <cellStyle name="標準 95 2 2 3" xfId="1845"/>
    <cellStyle name="標準 95 2 2 4" xfId="1846"/>
    <cellStyle name="標準 95 2 3" xfId="1847"/>
    <cellStyle name="標準 95 2 4" xfId="1848"/>
    <cellStyle name="標準 95 2 5" xfId="1849"/>
    <cellStyle name="標準 95 3" xfId="1850"/>
    <cellStyle name="標準 95 3 2" xfId="1851"/>
    <cellStyle name="標準 95 3 3" xfId="1852"/>
    <cellStyle name="標準 95 3 4" xfId="1853"/>
    <cellStyle name="標準 95 4" xfId="1854"/>
    <cellStyle name="標準 95 5" xfId="1855"/>
    <cellStyle name="標準 95 6" xfId="1856"/>
    <cellStyle name="標準 96" xfId="1857"/>
    <cellStyle name="標準 96 2" xfId="1858"/>
    <cellStyle name="標準 96 2 2" xfId="1859"/>
    <cellStyle name="標準 96 2 2 2" xfId="1860"/>
    <cellStyle name="標準 96 2 2 3" xfId="1861"/>
    <cellStyle name="標準 96 2 2 4" xfId="1862"/>
    <cellStyle name="標準 96 2 3" xfId="1863"/>
    <cellStyle name="標準 96 2 4" xfId="1864"/>
    <cellStyle name="標準 96 2 5" xfId="1865"/>
    <cellStyle name="標準 96 3" xfId="1866"/>
    <cellStyle name="標準 96 3 2" xfId="1867"/>
    <cellStyle name="標準 96 3 3" xfId="1868"/>
    <cellStyle name="標準 96 3 4" xfId="1869"/>
    <cellStyle name="標準 96 4" xfId="1870"/>
    <cellStyle name="標準 96 5" xfId="1871"/>
    <cellStyle name="標準 96 6" xfId="1872"/>
    <cellStyle name="標準 97" xfId="1873"/>
    <cellStyle name="標準 97 2" xfId="1874"/>
    <cellStyle name="標準 97 2 2" xfId="1875"/>
    <cellStyle name="標準 97 2 2 2" xfId="1876"/>
    <cellStyle name="標準 97 2 2 3" xfId="1877"/>
    <cellStyle name="標準 97 2 2 4" xfId="1878"/>
    <cellStyle name="標準 97 2 3" xfId="1879"/>
    <cellStyle name="標準 97 2 4" xfId="1880"/>
    <cellStyle name="標準 97 2 5" xfId="1881"/>
    <cellStyle name="標準 97 3" xfId="1882"/>
    <cellStyle name="標準 97 3 2" xfId="1883"/>
    <cellStyle name="標準 97 3 3" xfId="1884"/>
    <cellStyle name="標準 97 3 4" xfId="1885"/>
    <cellStyle name="標準 97 4" xfId="1886"/>
    <cellStyle name="標準 97 5" xfId="1887"/>
    <cellStyle name="標準 97 6" xfId="1888"/>
    <cellStyle name="標準 98" xfId="1889"/>
    <cellStyle name="標準 98 2" xfId="1890"/>
    <cellStyle name="標準 98 2 2" xfId="1891"/>
    <cellStyle name="標準 98 2 2 2" xfId="1892"/>
    <cellStyle name="標準 98 2 2 3" xfId="1893"/>
    <cellStyle name="標準 98 2 2 4" xfId="1894"/>
    <cellStyle name="標準 98 2 3" xfId="1895"/>
    <cellStyle name="標準 98 2 4" xfId="1896"/>
    <cellStyle name="標準 98 2 5" xfId="1897"/>
    <cellStyle name="標準 98 3" xfId="1898"/>
    <cellStyle name="標準 98 3 2" xfId="1899"/>
    <cellStyle name="標準 98 3 3" xfId="1900"/>
    <cellStyle name="標準 98 3 4" xfId="1901"/>
    <cellStyle name="標準 98 4" xfId="1902"/>
    <cellStyle name="標準 98 5" xfId="1903"/>
    <cellStyle name="標準 98 6" xfId="1904"/>
    <cellStyle name="標準 99" xfId="1905"/>
    <cellStyle name="標準 99 2" xfId="1906"/>
    <cellStyle name="標準 99 2 2" xfId="1907"/>
    <cellStyle name="標準 99 2 2 2" xfId="1908"/>
    <cellStyle name="標準 99 2 2 3" xfId="1909"/>
    <cellStyle name="標準 99 2 2 4" xfId="1910"/>
    <cellStyle name="標準 99 2 3" xfId="1911"/>
    <cellStyle name="標準 99 2 4" xfId="1912"/>
    <cellStyle name="標準 99 2 5" xfId="1913"/>
    <cellStyle name="標準 99 3" xfId="1914"/>
    <cellStyle name="標準 99 3 2" xfId="1915"/>
    <cellStyle name="標準 99 3 3" xfId="1916"/>
    <cellStyle name="標準 99 3 4" xfId="1917"/>
    <cellStyle name="標準 99 4" xfId="1918"/>
    <cellStyle name="標準 99 5" xfId="1919"/>
    <cellStyle name="標準 99 6" xfId="1920"/>
    <cellStyle name="標準１" xfId="1921"/>
    <cellStyle name="標準10" xfId="1922"/>
    <cellStyle name="標準12" xfId="1923"/>
    <cellStyle name="文字列" xfId="1924"/>
    <cellStyle name="未定義" xfId="1925"/>
    <cellStyle name="未定義 2" xfId="1926"/>
    <cellStyle name="未定義 3" xfId="1927"/>
    <cellStyle name="未定義_030_上場有価証券総括表_詳細設計書_府令改正対応" xfId="1928"/>
    <cellStyle name="良い 2" xfId="1929"/>
    <cellStyle name="良い 3" xfId="1930"/>
    <cellStyle name="良い 4" xfId="1931"/>
    <cellStyle name="良い 5" xfId="1932"/>
    <cellStyle name="良い 6" xfId="1933"/>
    <cellStyle name="良い 7" xfId="1934"/>
    <cellStyle name="良い 8" xfId="1935"/>
    <cellStyle name="良い 9" xfId="1936"/>
    <cellStyle name="표준_4.3.1_取引処理（取引処理制御１－１）" xfId="1937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Y406"/>
  <sheetViews>
    <sheetView showGridLines="0" tabSelected="1" view="pageBreakPreview" workbookViewId="0" zoomScaleNormal="70" zoomScaleSheetLayoutView="100">
      <pane activePane="bottomLeft" state="frozen" topLeftCell="A7" ySplit="6"/>
      <selection activeCell="A7" pane="bottomLeft" sqref="A7"/>
    </sheetView>
  </sheetViews>
  <sheetFormatPr defaultRowHeight="13.5"/>
  <cols>
    <col min="1" max="1" bestFit="true" customWidth="true" style="1" width="13.125" collapsed="false"/>
    <col min="2" max="2" bestFit="true" customWidth="true" style="1" width="10.75" collapsed="false"/>
    <col min="3" max="4" bestFit="true" customWidth="true" style="1" width="59.625" collapsed="false"/>
    <col min="5" max="5" bestFit="true" customWidth="true" style="3" width="13.75" collapsed="false"/>
    <col min="6" max="6" bestFit="true" customWidth="true" style="3" width="20.75" collapsed="false"/>
    <col min="7" max="7" customWidth="true" style="3" width="11.25" collapsed="false"/>
    <col min="8" max="8" bestFit="true" customWidth="true" style="1" width="8.75" collapsed="false"/>
    <col min="9" max="9" bestFit="true" customWidth="true" style="1" width="11.75" collapsed="false"/>
    <col min="10" max="10" bestFit="true" customWidth="true" style="1" width="12.625" collapsed="false"/>
    <col min="11" max="11" customWidth="true" style="1" width="16.25" collapsed="false"/>
    <col min="12" max="12" bestFit="true" customWidth="true" style="1" width="5.625" collapsed="false"/>
    <col min="13" max="13" customWidth="true" style="1" width="16.25" collapsed="false"/>
    <col min="14" max="14" bestFit="true" customWidth="true" style="1" width="5.625" collapsed="false"/>
    <col min="15" max="15" customWidth="true" style="1" width="16.25" collapsed="false"/>
    <col min="16" max="16" bestFit="true" customWidth="true" style="1" width="5.625" collapsed="false"/>
    <col min="17" max="17" customWidth="true" style="1" width="16.25" collapsed="false"/>
    <col min="18" max="18" bestFit="true" customWidth="true" style="1" width="5.625" collapsed="false"/>
    <col min="19" max="19" bestFit="true" customWidth="true" style="1" width="23.875" collapsed="false"/>
    <col min="20" max="20" customWidth="true" style="1" width="16.25" collapsed="false"/>
    <col min="21" max="21" bestFit="true" customWidth="true" style="1" width="26.125" collapsed="false"/>
    <col min="22" max="22" bestFit="true" customWidth="true" style="1" width="19.875" collapsed="false"/>
    <col min="23" max="23" bestFit="true" customWidth="true" style="1" width="25.0" collapsed="false"/>
    <col min="24" max="24" bestFit="true" customWidth="true" style="1" width="13.125" collapsed="false"/>
    <col min="25" max="16384" style="1" width="9.0" collapsed="false"/>
  </cols>
  <sheetData>
    <row customHeight="1" ht="13.5" r="1" spans="1:24">
      <c r="A1" s="4"/>
      <c r="B1" s="5"/>
      <c r="C1" s="5"/>
      <c r="D1" s="5"/>
      <c r="E1" s="6"/>
      <c r="F1" s="6"/>
      <c r="G1" s="6"/>
      <c r="H1" s="5"/>
      <c r="I1" s="5"/>
      <c r="J1" s="5"/>
      <c r="K1" s="5"/>
      <c r="L1" s="5"/>
      <c r="M1" s="5"/>
      <c r="N1" s="37" t="s">
        <v>0</v>
      </c>
      <c r="O1" s="37"/>
      <c r="P1" s="37"/>
      <c r="Q1" s="37"/>
      <c r="R1" s="37"/>
      <c r="S1" s="37"/>
      <c r="T1" s="37"/>
      <c r="U1" s="37"/>
      <c r="V1" s="37"/>
      <c r="W1" s="37"/>
      <c r="X1" s="38"/>
    </row>
    <row customHeight="1" ht="99" r="2" spans="1:24">
      <c r="A2" s="43" t="s">
        <v>1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39"/>
      <c r="O2" s="39"/>
      <c r="P2" s="39"/>
      <c r="Q2" s="39"/>
      <c r="R2" s="39"/>
      <c r="S2" s="39"/>
      <c r="T2" s="39"/>
      <c r="U2" s="39"/>
      <c r="V2" s="39"/>
      <c r="W2" s="39"/>
      <c r="X2" s="40"/>
    </row>
    <row customHeight="1" ht="39" r="3" spans="1:24">
      <c r="A3" s="45" t="s">
        <v>2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1"/>
      <c r="O3" s="41"/>
      <c r="P3" s="41"/>
      <c r="Q3" s="41"/>
      <c r="R3" s="41"/>
      <c r="S3" s="41"/>
      <c r="T3" s="41"/>
      <c r="U3" s="41"/>
      <c r="V3" s="41"/>
      <c r="W3" s="41"/>
      <c r="X3" s="42"/>
    </row>
    <row customFormat="1" customHeight="1" ht="13.5" r="4" s="2" spans="1:24">
      <c r="A4" s="7" t="s">
        <v>3</v>
      </c>
      <c r="B4" s="7" t="s">
        <v>4</v>
      </c>
      <c r="C4" s="7" t="s">
        <v>5</v>
      </c>
      <c r="D4" s="7" t="s">
        <v>6</v>
      </c>
      <c r="E4" s="8" t="s">
        <v>7</v>
      </c>
      <c r="F4" s="9" t="s">
        <v>8</v>
      </c>
      <c r="G4" s="10" t="s">
        <v>9</v>
      </c>
      <c r="H4" s="7" t="s">
        <v>10</v>
      </c>
      <c r="I4" s="7" t="s">
        <v>11</v>
      </c>
      <c r="J4" s="7" t="s">
        <v>12</v>
      </c>
      <c r="K4" s="11" t="s">
        <v>13</v>
      </c>
      <c r="L4" s="10" t="s">
        <v>9</v>
      </c>
      <c r="M4" s="11" t="s">
        <v>14</v>
      </c>
      <c r="N4" s="10" t="s">
        <v>9</v>
      </c>
      <c r="O4" s="11" t="s">
        <v>15</v>
      </c>
      <c r="P4" s="10" t="s">
        <v>9</v>
      </c>
      <c r="Q4" s="11" t="s">
        <v>16</v>
      </c>
      <c r="R4" s="10" t="s">
        <v>9</v>
      </c>
      <c r="S4" s="7" t="s">
        <v>17</v>
      </c>
      <c r="T4" s="7" t="s">
        <v>18</v>
      </c>
      <c r="U4" s="12" t="s">
        <v>19</v>
      </c>
      <c r="V4" s="7" t="s">
        <v>20</v>
      </c>
      <c r="W4" s="7" t="s">
        <v>21</v>
      </c>
      <c r="X4" s="7" t="s">
        <v>22</v>
      </c>
    </row>
    <row r="5" spans="1:24">
      <c r="A5" s="13" t="s">
        <v>23</v>
      </c>
      <c r="B5" s="13" t="s">
        <v>24</v>
      </c>
      <c r="C5" s="13"/>
      <c r="D5" s="13"/>
      <c r="E5" s="14"/>
      <c r="F5" s="15"/>
      <c r="G5" s="16" t="s">
        <v>25</v>
      </c>
      <c r="H5" s="17" t="s">
        <v>26</v>
      </c>
      <c r="I5" s="17" t="s">
        <v>27</v>
      </c>
      <c r="J5" s="17" t="s">
        <v>28</v>
      </c>
      <c r="K5" s="18" t="s">
        <v>29</v>
      </c>
      <c r="L5" s="16" t="s">
        <v>25</v>
      </c>
      <c r="M5" s="18" t="s">
        <v>30</v>
      </c>
      <c r="N5" s="16" t="s">
        <v>25</v>
      </c>
      <c r="O5" s="18" t="s">
        <v>31</v>
      </c>
      <c r="P5" s="16" t="s">
        <v>25</v>
      </c>
      <c r="Q5" s="18" t="s">
        <v>32</v>
      </c>
      <c r="R5" s="16" t="s">
        <v>25</v>
      </c>
      <c r="S5" s="19" t="s">
        <v>33</v>
      </c>
      <c r="T5" s="19" t="s">
        <v>34</v>
      </c>
      <c r="U5" s="19" t="s">
        <v>35</v>
      </c>
      <c r="V5" s="19" t="s">
        <v>36</v>
      </c>
      <c r="W5" s="19" t="s">
        <v>37</v>
      </c>
      <c r="X5" s="19" t="s">
        <v>38</v>
      </c>
    </row>
    <row r="6" spans="1:24">
      <c r="A6" s="20"/>
      <c r="B6" s="20"/>
      <c r="C6" s="20"/>
      <c r="D6" s="20"/>
      <c r="E6" s="21"/>
      <c r="F6" s="22"/>
      <c r="G6" s="23"/>
      <c r="H6" s="24"/>
      <c r="I6" s="24"/>
      <c r="J6" s="24" t="s">
        <v>39</v>
      </c>
      <c r="K6" s="25" t="s">
        <v>40</v>
      </c>
      <c r="L6" s="26"/>
      <c r="M6" s="25" t="s">
        <v>40</v>
      </c>
      <c r="N6" s="26"/>
      <c r="O6" s="25" t="s">
        <v>40</v>
      </c>
      <c r="P6" s="26"/>
      <c r="Q6" s="25" t="s">
        <v>40</v>
      </c>
      <c r="R6" s="26"/>
      <c r="S6" s="25" t="s">
        <v>40</v>
      </c>
      <c r="T6" s="24" t="s">
        <v>41</v>
      </c>
      <c r="U6" s="24" t="s">
        <v>41</v>
      </c>
      <c r="V6" s="25" t="s">
        <v>40</v>
      </c>
      <c r="W6" s="25" t="s">
        <v>40</v>
      </c>
      <c r="X6" s="24"/>
    </row>
    <row customFormat="1" customHeight="1" ht="13.5" r="7" s="2" spans="1:24">
      <c r="A7" s="27" t="s">
        <v>42</v>
      </c>
      <c r="B7" s="27" t="s">
        <v>43</v>
      </c>
      <c r="C7" s="27" t="s">
        <v>44</v>
      </c>
      <c r="D7" s="27" t="s">
        <v>45</v>
      </c>
      <c r="E7" s="28" t="s">
        <v>46</v>
      </c>
      <c r="F7" s="29" t="s">
        <v>46</v>
      </c>
      <c r="G7" s="30" t="s">
        <v>46</v>
      </c>
      <c r="H7" s="31"/>
      <c r="I7" s="31" t="s">
        <v>47</v>
      </c>
      <c r="J7" s="32" t="n">
        <v>10.0</v>
      </c>
      <c r="K7" s="33" t="n">
        <f>2522</f>
        <v>2522.0</v>
      </c>
      <c r="L7" s="34" t="s">
        <v>48</v>
      </c>
      <c r="M7" s="33" t="n">
        <f>2523.5</f>
        <v>2523.5</v>
      </c>
      <c r="N7" s="34" t="s">
        <v>49</v>
      </c>
      <c r="O7" s="33" t="n">
        <f>2423.5</f>
        <v>2423.5</v>
      </c>
      <c r="P7" s="34" t="s">
        <v>50</v>
      </c>
      <c r="Q7" s="33" t="n">
        <f>2499.5</f>
        <v>2499.5</v>
      </c>
      <c r="R7" s="34" t="s">
        <v>51</v>
      </c>
      <c r="S7" s="35" t="n">
        <f>2479.74</f>
        <v>2479.74</v>
      </c>
      <c r="T7" s="32" t="n">
        <f>2481320</f>
        <v>2481320.0</v>
      </c>
      <c r="U7" s="32" t="n">
        <f>573000</f>
        <v>573000.0</v>
      </c>
      <c r="V7" s="32" t="n">
        <f>6131823765</f>
        <v>6.131823765E9</v>
      </c>
      <c r="W7" s="32" t="n">
        <f>1404118200</f>
        <v>1.4041182E9</v>
      </c>
      <c r="X7" s="36" t="n">
        <f>21</f>
        <v>21.0</v>
      </c>
    </row>
    <row r="8">
      <c r="A8" s="27" t="s">
        <v>42</v>
      </c>
      <c r="B8" s="27" t="s">
        <v>52</v>
      </c>
      <c r="C8" s="27" t="s">
        <v>53</v>
      </c>
      <c r="D8" s="27" t="s">
        <v>54</v>
      </c>
      <c r="E8" s="28" t="s">
        <v>46</v>
      </c>
      <c r="F8" s="29" t="s">
        <v>46</v>
      </c>
      <c r="G8" s="30" t="s">
        <v>46</v>
      </c>
      <c r="H8" s="31"/>
      <c r="I8" s="31" t="s">
        <v>47</v>
      </c>
      <c r="J8" s="32" t="n">
        <v>10.0</v>
      </c>
      <c r="K8" s="33" t="n">
        <f>2494.5</f>
        <v>2494.5</v>
      </c>
      <c r="L8" s="34" t="s">
        <v>48</v>
      </c>
      <c r="M8" s="33" t="n">
        <f>2497.5</f>
        <v>2497.5</v>
      </c>
      <c r="N8" s="34" t="s">
        <v>49</v>
      </c>
      <c r="O8" s="33" t="n">
        <f>2398.5</f>
        <v>2398.5</v>
      </c>
      <c r="P8" s="34" t="s">
        <v>50</v>
      </c>
      <c r="Q8" s="33" t="n">
        <f>2474.5</f>
        <v>2474.5</v>
      </c>
      <c r="R8" s="34" t="s">
        <v>51</v>
      </c>
      <c r="S8" s="35" t="n">
        <f>2453.64</f>
        <v>2453.64</v>
      </c>
      <c r="T8" s="32" t="n">
        <f>46868030</f>
        <v>4.686803E7</v>
      </c>
      <c r="U8" s="32" t="n">
        <f>16726100</f>
        <v>1.67261E7</v>
      </c>
      <c r="V8" s="32" t="n">
        <f>114864641343</f>
        <v>1.14864641343E11</v>
      </c>
      <c r="W8" s="32" t="n">
        <f>41025122173</f>
        <v>4.1025122173E10</v>
      </c>
      <c r="X8" s="36" t="n">
        <f>21</f>
        <v>21.0</v>
      </c>
    </row>
    <row r="9">
      <c r="A9" s="27" t="s">
        <v>42</v>
      </c>
      <c r="B9" s="27" t="s">
        <v>55</v>
      </c>
      <c r="C9" s="27" t="s">
        <v>56</v>
      </c>
      <c r="D9" s="27" t="s">
        <v>57</v>
      </c>
      <c r="E9" s="28" t="s">
        <v>46</v>
      </c>
      <c r="F9" s="29" t="s">
        <v>46</v>
      </c>
      <c r="G9" s="30" t="s">
        <v>46</v>
      </c>
      <c r="H9" s="31"/>
      <c r="I9" s="31" t="s">
        <v>47</v>
      </c>
      <c r="J9" s="32" t="n">
        <v>1.0</v>
      </c>
      <c r="K9" s="33" t="n">
        <f>2465</f>
        <v>2465.0</v>
      </c>
      <c r="L9" s="34" t="s">
        <v>48</v>
      </c>
      <c r="M9" s="33" t="n">
        <f>2467</f>
        <v>2467.0</v>
      </c>
      <c r="N9" s="34" t="s">
        <v>49</v>
      </c>
      <c r="O9" s="33" t="n">
        <f>2369</f>
        <v>2369.0</v>
      </c>
      <c r="P9" s="34" t="s">
        <v>50</v>
      </c>
      <c r="Q9" s="33" t="n">
        <f>2446</f>
        <v>2446.0</v>
      </c>
      <c r="R9" s="34" t="s">
        <v>51</v>
      </c>
      <c r="S9" s="35" t="n">
        <f>2424.19</f>
        <v>2424.19</v>
      </c>
      <c r="T9" s="32" t="n">
        <f>4644385</f>
        <v>4644385.0</v>
      </c>
      <c r="U9" s="32" t="n">
        <f>1053026</f>
        <v>1053026.0</v>
      </c>
      <c r="V9" s="32" t="n">
        <f>11228680802</f>
        <v>1.1228680802E10</v>
      </c>
      <c r="W9" s="32" t="n">
        <f>2547762007</f>
        <v>2.547762007E9</v>
      </c>
      <c r="X9" s="36" t="n">
        <f>21</f>
        <v>21.0</v>
      </c>
    </row>
    <row r="10">
      <c r="A10" s="27" t="s">
        <v>42</v>
      </c>
      <c r="B10" s="27" t="s">
        <v>58</v>
      </c>
      <c r="C10" s="27" t="s">
        <v>59</v>
      </c>
      <c r="D10" s="27" t="s">
        <v>60</v>
      </c>
      <c r="E10" s="28" t="s">
        <v>46</v>
      </c>
      <c r="F10" s="29" t="s">
        <v>46</v>
      </c>
      <c r="G10" s="30" t="s">
        <v>46</v>
      </c>
      <c r="H10" s="31"/>
      <c r="I10" s="31" t="s">
        <v>47</v>
      </c>
      <c r="J10" s="32" t="n">
        <v>1.0</v>
      </c>
      <c r="K10" s="33" t="n">
        <f>38400</f>
        <v>38400.0</v>
      </c>
      <c r="L10" s="34" t="s">
        <v>48</v>
      </c>
      <c r="M10" s="33" t="n">
        <f>38760</f>
        <v>38760.0</v>
      </c>
      <c r="N10" s="34" t="s">
        <v>49</v>
      </c>
      <c r="O10" s="33" t="n">
        <f>35000</f>
        <v>35000.0</v>
      </c>
      <c r="P10" s="34" t="s">
        <v>61</v>
      </c>
      <c r="Q10" s="33" t="n">
        <f>36510</f>
        <v>36510.0</v>
      </c>
      <c r="R10" s="34" t="s">
        <v>51</v>
      </c>
      <c r="S10" s="35" t="n">
        <f>36343.33</f>
        <v>36343.33</v>
      </c>
      <c r="T10" s="32" t="n">
        <f>12117</f>
        <v>12117.0</v>
      </c>
      <c r="U10" s="32" t="str">
        <f>"－"</f>
        <v>－</v>
      </c>
      <c r="V10" s="32" t="n">
        <f>439377530</f>
        <v>4.3937753E8</v>
      </c>
      <c r="W10" s="32" t="str">
        <f>"－"</f>
        <v>－</v>
      </c>
      <c r="X10" s="36" t="n">
        <f>21</f>
        <v>21.0</v>
      </c>
    </row>
    <row r="11">
      <c r="A11" s="27" t="s">
        <v>42</v>
      </c>
      <c r="B11" s="27" t="s">
        <v>62</v>
      </c>
      <c r="C11" s="27" t="s">
        <v>63</v>
      </c>
      <c r="D11" s="27" t="s">
        <v>64</v>
      </c>
      <c r="E11" s="28" t="s">
        <v>46</v>
      </c>
      <c r="F11" s="29" t="s">
        <v>46</v>
      </c>
      <c r="G11" s="30" t="s">
        <v>46</v>
      </c>
      <c r="H11" s="31"/>
      <c r="I11" s="31" t="s">
        <v>47</v>
      </c>
      <c r="J11" s="32" t="n">
        <v>10.0</v>
      </c>
      <c r="K11" s="33" t="n">
        <f>1202.5</f>
        <v>1202.5</v>
      </c>
      <c r="L11" s="34" t="s">
        <v>48</v>
      </c>
      <c r="M11" s="33" t="n">
        <f>1205</f>
        <v>1205.0</v>
      </c>
      <c r="N11" s="34" t="s">
        <v>48</v>
      </c>
      <c r="O11" s="33" t="n">
        <f>1157</f>
        <v>1157.0</v>
      </c>
      <c r="P11" s="34" t="s">
        <v>50</v>
      </c>
      <c r="Q11" s="33" t="n">
        <f>1193.5</f>
        <v>1193.5</v>
      </c>
      <c r="R11" s="34" t="s">
        <v>51</v>
      </c>
      <c r="S11" s="35" t="n">
        <f>1182.93</f>
        <v>1182.93</v>
      </c>
      <c r="T11" s="32" t="n">
        <f>111290</f>
        <v>111290.0</v>
      </c>
      <c r="U11" s="32" t="str">
        <f>"－"</f>
        <v>－</v>
      </c>
      <c r="V11" s="32" t="n">
        <f>131368410</f>
        <v>1.3136841E8</v>
      </c>
      <c r="W11" s="32" t="str">
        <f>"－"</f>
        <v>－</v>
      </c>
      <c r="X11" s="36" t="n">
        <f>21</f>
        <v>21.0</v>
      </c>
    </row>
    <row r="12">
      <c r="A12" s="27" t="s">
        <v>42</v>
      </c>
      <c r="B12" s="27" t="s">
        <v>65</v>
      </c>
      <c r="C12" s="27" t="s">
        <v>66</v>
      </c>
      <c r="D12" s="27" t="s">
        <v>67</v>
      </c>
      <c r="E12" s="28" t="s">
        <v>46</v>
      </c>
      <c r="F12" s="29" t="s">
        <v>46</v>
      </c>
      <c r="G12" s="30" t="s">
        <v>46</v>
      </c>
      <c r="H12" s="31"/>
      <c r="I12" s="31" t="s">
        <v>47</v>
      </c>
      <c r="J12" s="32" t="n">
        <v>1000.0</v>
      </c>
      <c r="K12" s="33" t="n">
        <f>414.6</f>
        <v>414.6</v>
      </c>
      <c r="L12" s="34" t="s">
        <v>48</v>
      </c>
      <c r="M12" s="33" t="n">
        <f>438</f>
        <v>438.0</v>
      </c>
      <c r="N12" s="34" t="s">
        <v>68</v>
      </c>
      <c r="O12" s="33" t="n">
        <f>403.8</f>
        <v>403.8</v>
      </c>
      <c r="P12" s="34" t="s">
        <v>69</v>
      </c>
      <c r="Q12" s="33" t="n">
        <f>414.1</f>
        <v>414.1</v>
      </c>
      <c r="R12" s="34" t="s">
        <v>51</v>
      </c>
      <c r="S12" s="35" t="n">
        <f>413.71</f>
        <v>413.71</v>
      </c>
      <c r="T12" s="32" t="n">
        <f>65000</f>
        <v>65000.0</v>
      </c>
      <c r="U12" s="32" t="str">
        <f>"－"</f>
        <v>－</v>
      </c>
      <c r="V12" s="32" t="n">
        <f>27227500</f>
        <v>2.72275E7</v>
      </c>
      <c r="W12" s="32" t="str">
        <f>"－"</f>
        <v>－</v>
      </c>
      <c r="X12" s="36" t="n">
        <f>14</f>
        <v>14.0</v>
      </c>
    </row>
    <row r="13">
      <c r="A13" s="27" t="s">
        <v>42</v>
      </c>
      <c r="B13" s="27" t="s">
        <v>70</v>
      </c>
      <c r="C13" s="27" t="s">
        <v>71</v>
      </c>
      <c r="D13" s="27" t="s">
        <v>72</v>
      </c>
      <c r="E13" s="28" t="s">
        <v>46</v>
      </c>
      <c r="F13" s="29" t="s">
        <v>46</v>
      </c>
      <c r="G13" s="30" t="s">
        <v>46</v>
      </c>
      <c r="H13" s="31"/>
      <c r="I13" s="31" t="s">
        <v>47</v>
      </c>
      <c r="J13" s="32" t="n">
        <v>1.0</v>
      </c>
      <c r="K13" s="33" t="n">
        <f>34620</f>
        <v>34620.0</v>
      </c>
      <c r="L13" s="34" t="s">
        <v>48</v>
      </c>
      <c r="M13" s="33" t="n">
        <f>34900</f>
        <v>34900.0</v>
      </c>
      <c r="N13" s="34" t="s">
        <v>69</v>
      </c>
      <c r="O13" s="33" t="n">
        <f>33240</f>
        <v>33240.0</v>
      </c>
      <c r="P13" s="34" t="s">
        <v>73</v>
      </c>
      <c r="Q13" s="33" t="n">
        <f>34520</f>
        <v>34520.0</v>
      </c>
      <c r="R13" s="34" t="s">
        <v>51</v>
      </c>
      <c r="S13" s="35" t="n">
        <f>34175.71</f>
        <v>34175.71</v>
      </c>
      <c r="T13" s="32" t="n">
        <f>937910</f>
        <v>937910.0</v>
      </c>
      <c r="U13" s="32" t="n">
        <f>73059</f>
        <v>73059.0</v>
      </c>
      <c r="V13" s="32" t="n">
        <f>32057566961</f>
        <v>3.2057566961E10</v>
      </c>
      <c r="W13" s="32" t="n">
        <f>2528045251</f>
        <v>2.528045251E9</v>
      </c>
      <c r="X13" s="36" t="n">
        <f>21</f>
        <v>21.0</v>
      </c>
    </row>
    <row r="14">
      <c r="A14" s="27" t="s">
        <v>42</v>
      </c>
      <c r="B14" s="27" t="s">
        <v>74</v>
      </c>
      <c r="C14" s="27" t="s">
        <v>75</v>
      </c>
      <c r="D14" s="27" t="s">
        <v>76</v>
      </c>
      <c r="E14" s="28" t="s">
        <v>46</v>
      </c>
      <c r="F14" s="29" t="s">
        <v>46</v>
      </c>
      <c r="G14" s="30" t="s">
        <v>46</v>
      </c>
      <c r="H14" s="31"/>
      <c r="I14" s="31" t="s">
        <v>47</v>
      </c>
      <c r="J14" s="32" t="n">
        <v>1.0</v>
      </c>
      <c r="K14" s="33" t="n">
        <f>34780</f>
        <v>34780.0</v>
      </c>
      <c r="L14" s="34" t="s">
        <v>48</v>
      </c>
      <c r="M14" s="33" t="n">
        <f>35030</f>
        <v>35030.0</v>
      </c>
      <c r="N14" s="34" t="s">
        <v>69</v>
      </c>
      <c r="O14" s="33" t="n">
        <f>33360</f>
        <v>33360.0</v>
      </c>
      <c r="P14" s="34" t="s">
        <v>73</v>
      </c>
      <c r="Q14" s="33" t="n">
        <f>34660</f>
        <v>34660.0</v>
      </c>
      <c r="R14" s="34" t="s">
        <v>51</v>
      </c>
      <c r="S14" s="35" t="n">
        <f>34294.29</f>
        <v>34294.29</v>
      </c>
      <c r="T14" s="32" t="n">
        <f>6364169</f>
        <v>6364169.0</v>
      </c>
      <c r="U14" s="32" t="n">
        <f>275996</f>
        <v>275996.0</v>
      </c>
      <c r="V14" s="32" t="n">
        <f>218281108771</f>
        <v>2.18281108771E11</v>
      </c>
      <c r="W14" s="32" t="n">
        <f>9525133371</f>
        <v>9.525133371E9</v>
      </c>
      <c r="X14" s="36" t="n">
        <f>21</f>
        <v>21.0</v>
      </c>
    </row>
    <row r="15">
      <c r="A15" s="27" t="s">
        <v>42</v>
      </c>
      <c r="B15" s="27" t="s">
        <v>77</v>
      </c>
      <c r="C15" s="27" t="s">
        <v>78</v>
      </c>
      <c r="D15" s="27" t="s">
        <v>79</v>
      </c>
      <c r="E15" s="28" t="s">
        <v>46</v>
      </c>
      <c r="F15" s="29" t="s">
        <v>46</v>
      </c>
      <c r="G15" s="30" t="s">
        <v>46</v>
      </c>
      <c r="H15" s="31"/>
      <c r="I15" s="31" t="s">
        <v>47</v>
      </c>
      <c r="J15" s="32" t="n">
        <v>10.0</v>
      </c>
      <c r="K15" s="33" t="n">
        <f>7487</f>
        <v>7487.0</v>
      </c>
      <c r="L15" s="34" t="s">
        <v>48</v>
      </c>
      <c r="M15" s="33" t="n">
        <f>7499</f>
        <v>7499.0</v>
      </c>
      <c r="N15" s="34" t="s">
        <v>48</v>
      </c>
      <c r="O15" s="33" t="n">
        <f>6602</f>
        <v>6602.0</v>
      </c>
      <c r="P15" s="34" t="s">
        <v>69</v>
      </c>
      <c r="Q15" s="33" t="n">
        <f>6960</f>
        <v>6960.0</v>
      </c>
      <c r="R15" s="34" t="s">
        <v>51</v>
      </c>
      <c r="S15" s="35" t="n">
        <f>6973.57</f>
        <v>6973.57</v>
      </c>
      <c r="T15" s="32" t="n">
        <f>22460</f>
        <v>22460.0</v>
      </c>
      <c r="U15" s="32" t="str">
        <f>"－"</f>
        <v>－</v>
      </c>
      <c r="V15" s="32" t="n">
        <f>154151560</f>
        <v>1.5415156E8</v>
      </c>
      <c r="W15" s="32" t="str">
        <f>"－"</f>
        <v>－</v>
      </c>
      <c r="X15" s="36" t="n">
        <f>21</f>
        <v>21.0</v>
      </c>
    </row>
    <row r="16">
      <c r="A16" s="27" t="s">
        <v>42</v>
      </c>
      <c r="B16" s="27" t="s">
        <v>80</v>
      </c>
      <c r="C16" s="27" t="s">
        <v>81</v>
      </c>
      <c r="D16" s="27" t="s">
        <v>82</v>
      </c>
      <c r="E16" s="28" t="s">
        <v>46</v>
      </c>
      <c r="F16" s="29" t="s">
        <v>46</v>
      </c>
      <c r="G16" s="30" t="s">
        <v>46</v>
      </c>
      <c r="H16" s="31"/>
      <c r="I16" s="31" t="s">
        <v>47</v>
      </c>
      <c r="J16" s="32" t="n">
        <v>100.0</v>
      </c>
      <c r="K16" s="33" t="str">
        <f>"－"</f>
        <v>－</v>
      </c>
      <c r="L16" s="34"/>
      <c r="M16" s="33" t="str">
        <f>"－"</f>
        <v>－</v>
      </c>
      <c r="N16" s="34"/>
      <c r="O16" s="33" t="str">
        <f>"－"</f>
        <v>－</v>
      </c>
      <c r="P16" s="34"/>
      <c r="Q16" s="33" t="str">
        <f>"－"</f>
        <v>－</v>
      </c>
      <c r="R16" s="34"/>
      <c r="S16" s="35" t="str">
        <f>"－"</f>
        <v>－</v>
      </c>
      <c r="T16" s="32" t="str">
        <f>"－"</f>
        <v>－</v>
      </c>
      <c r="U16" s="32" t="str">
        <f>"－"</f>
        <v>－</v>
      </c>
      <c r="V16" s="32" t="str">
        <f>"－"</f>
        <v>－</v>
      </c>
      <c r="W16" s="32" t="str">
        <f>"－"</f>
        <v>－</v>
      </c>
      <c r="X16" s="36" t="str">
        <f>"－"</f>
        <v>－</v>
      </c>
    </row>
    <row r="17">
      <c r="A17" s="27" t="s">
        <v>42</v>
      </c>
      <c r="B17" s="27" t="s">
        <v>83</v>
      </c>
      <c r="C17" s="27" t="s">
        <v>84</v>
      </c>
      <c r="D17" s="27" t="s">
        <v>85</v>
      </c>
      <c r="E17" s="28" t="s">
        <v>46</v>
      </c>
      <c r="F17" s="29" t="s">
        <v>46</v>
      </c>
      <c r="G17" s="30" t="s">
        <v>46</v>
      </c>
      <c r="H17" s="31"/>
      <c r="I17" s="31" t="s">
        <v>47</v>
      </c>
      <c r="J17" s="32" t="n">
        <v>100.0</v>
      </c>
      <c r="K17" s="33" t="n">
        <f>244.8</f>
        <v>244.8</v>
      </c>
      <c r="L17" s="34" t="s">
        <v>48</v>
      </c>
      <c r="M17" s="33" t="n">
        <f>249.9</f>
        <v>249.9</v>
      </c>
      <c r="N17" s="34" t="s">
        <v>51</v>
      </c>
      <c r="O17" s="33" t="n">
        <f>233.3</f>
        <v>233.3</v>
      </c>
      <c r="P17" s="34" t="s">
        <v>73</v>
      </c>
      <c r="Q17" s="33" t="n">
        <f>248.9</f>
        <v>248.9</v>
      </c>
      <c r="R17" s="34" t="s">
        <v>51</v>
      </c>
      <c r="S17" s="35" t="n">
        <f>242.12</f>
        <v>242.12</v>
      </c>
      <c r="T17" s="32" t="n">
        <f>798200</f>
        <v>798200.0</v>
      </c>
      <c r="U17" s="32" t="n">
        <f>1300</f>
        <v>1300.0</v>
      </c>
      <c r="V17" s="32" t="n">
        <f>194563690</f>
        <v>1.9456369E8</v>
      </c>
      <c r="W17" s="32" t="n">
        <f>317970</f>
        <v>317970.0</v>
      </c>
      <c r="X17" s="36" t="n">
        <f>21</f>
        <v>21.0</v>
      </c>
    </row>
    <row r="18">
      <c r="A18" s="27" t="s">
        <v>42</v>
      </c>
      <c r="B18" s="27" t="s">
        <v>86</v>
      </c>
      <c r="C18" s="27" t="s">
        <v>87</v>
      </c>
      <c r="D18" s="27" t="s">
        <v>88</v>
      </c>
      <c r="E18" s="28" t="s">
        <v>46</v>
      </c>
      <c r="F18" s="29" t="s">
        <v>46</v>
      </c>
      <c r="G18" s="30" t="s">
        <v>46</v>
      </c>
      <c r="H18" s="31"/>
      <c r="I18" s="31" t="s">
        <v>47</v>
      </c>
      <c r="J18" s="32" t="n">
        <v>1.0</v>
      </c>
      <c r="K18" s="33" t="n">
        <f>27975</f>
        <v>27975.0</v>
      </c>
      <c r="L18" s="34" t="s">
        <v>48</v>
      </c>
      <c r="M18" s="33" t="n">
        <f>28685</f>
        <v>28685.0</v>
      </c>
      <c r="N18" s="34" t="s">
        <v>89</v>
      </c>
      <c r="O18" s="33" t="n">
        <f>26570</f>
        <v>26570.0</v>
      </c>
      <c r="P18" s="34" t="s">
        <v>90</v>
      </c>
      <c r="Q18" s="33" t="n">
        <f>27185</f>
        <v>27185.0</v>
      </c>
      <c r="R18" s="34" t="s">
        <v>51</v>
      </c>
      <c r="S18" s="35" t="n">
        <f>27199.29</f>
        <v>27199.29</v>
      </c>
      <c r="T18" s="32" t="n">
        <f>159322</f>
        <v>159322.0</v>
      </c>
      <c r="U18" s="32" t="n">
        <f>2</f>
        <v>2.0</v>
      </c>
      <c r="V18" s="32" t="n">
        <f>4342048065</f>
        <v>4.342048065E9</v>
      </c>
      <c r="W18" s="32" t="n">
        <f>56000</f>
        <v>56000.0</v>
      </c>
      <c r="X18" s="36" t="n">
        <f>21</f>
        <v>21.0</v>
      </c>
    </row>
    <row r="19">
      <c r="A19" s="27" t="s">
        <v>42</v>
      </c>
      <c r="B19" s="27" t="s">
        <v>91</v>
      </c>
      <c r="C19" s="27" t="s">
        <v>92</v>
      </c>
      <c r="D19" s="27" t="s">
        <v>93</v>
      </c>
      <c r="E19" s="28" t="s">
        <v>46</v>
      </c>
      <c r="F19" s="29" t="s">
        <v>46</v>
      </c>
      <c r="G19" s="30" t="s">
        <v>46</v>
      </c>
      <c r="H19" s="31"/>
      <c r="I19" s="31" t="s">
        <v>47</v>
      </c>
      <c r="J19" s="32" t="n">
        <v>10.0</v>
      </c>
      <c r="K19" s="33" t="n">
        <f>7434</f>
        <v>7434.0</v>
      </c>
      <c r="L19" s="34" t="s">
        <v>48</v>
      </c>
      <c r="M19" s="33" t="n">
        <f>7699</f>
        <v>7699.0</v>
      </c>
      <c r="N19" s="34" t="s">
        <v>89</v>
      </c>
      <c r="O19" s="33" t="n">
        <f>7070</f>
        <v>7070.0</v>
      </c>
      <c r="P19" s="34" t="s">
        <v>90</v>
      </c>
      <c r="Q19" s="33" t="n">
        <f>7214</f>
        <v>7214.0</v>
      </c>
      <c r="R19" s="34" t="s">
        <v>51</v>
      </c>
      <c r="S19" s="35" t="n">
        <f>7226.81</f>
        <v>7226.81</v>
      </c>
      <c r="T19" s="32" t="n">
        <f>259360</f>
        <v>259360.0</v>
      </c>
      <c r="U19" s="32" t="n">
        <f>42190</f>
        <v>42190.0</v>
      </c>
      <c r="V19" s="32" t="n">
        <f>1875220000</f>
        <v>1.87522E9</v>
      </c>
      <c r="W19" s="32" t="n">
        <f>301231570</f>
        <v>3.0123157E8</v>
      </c>
      <c r="X19" s="36" t="n">
        <f>21</f>
        <v>21.0</v>
      </c>
    </row>
    <row r="20">
      <c r="A20" s="27" t="s">
        <v>42</v>
      </c>
      <c r="B20" s="27" t="s">
        <v>94</v>
      </c>
      <c r="C20" s="27" t="s">
        <v>95</v>
      </c>
      <c r="D20" s="27" t="s">
        <v>96</v>
      </c>
      <c r="E20" s="28" t="s">
        <v>46</v>
      </c>
      <c r="F20" s="29" t="s">
        <v>46</v>
      </c>
      <c r="G20" s="30" t="s">
        <v>46</v>
      </c>
      <c r="H20" s="31"/>
      <c r="I20" s="31" t="s">
        <v>47</v>
      </c>
      <c r="J20" s="32" t="n">
        <v>1.0</v>
      </c>
      <c r="K20" s="33" t="n">
        <f>34950</f>
        <v>34950.0</v>
      </c>
      <c r="L20" s="34" t="s">
        <v>48</v>
      </c>
      <c r="M20" s="33" t="n">
        <f>35200</f>
        <v>35200.0</v>
      </c>
      <c r="N20" s="34" t="s">
        <v>69</v>
      </c>
      <c r="O20" s="33" t="n">
        <f>33520</f>
        <v>33520.0</v>
      </c>
      <c r="P20" s="34" t="s">
        <v>73</v>
      </c>
      <c r="Q20" s="33" t="n">
        <f>34810</f>
        <v>34810.0</v>
      </c>
      <c r="R20" s="34" t="s">
        <v>51</v>
      </c>
      <c r="S20" s="35" t="n">
        <f>34463.81</f>
        <v>34463.81</v>
      </c>
      <c r="T20" s="32" t="n">
        <f>1692330</f>
        <v>1692330.0</v>
      </c>
      <c r="U20" s="32" t="n">
        <f>960843</f>
        <v>960843.0</v>
      </c>
      <c r="V20" s="32" t="n">
        <f>58421481668</f>
        <v>5.8421481668E10</v>
      </c>
      <c r="W20" s="32" t="n">
        <f>33210318408</f>
        <v>3.3210318408E10</v>
      </c>
      <c r="X20" s="36" t="n">
        <f>21</f>
        <v>21.0</v>
      </c>
    </row>
    <row r="21">
      <c r="A21" s="27" t="s">
        <v>42</v>
      </c>
      <c r="B21" s="27" t="s">
        <v>97</v>
      </c>
      <c r="C21" s="27" t="s">
        <v>98</v>
      </c>
      <c r="D21" s="27" t="s">
        <v>99</v>
      </c>
      <c r="E21" s="28" t="s">
        <v>46</v>
      </c>
      <c r="F21" s="29" t="s">
        <v>46</v>
      </c>
      <c r="G21" s="30" t="s">
        <v>46</v>
      </c>
      <c r="H21" s="31"/>
      <c r="I21" s="31" t="s">
        <v>47</v>
      </c>
      <c r="J21" s="32" t="n">
        <v>1.0</v>
      </c>
      <c r="K21" s="33" t="n">
        <f>34800</f>
        <v>34800.0</v>
      </c>
      <c r="L21" s="34" t="s">
        <v>48</v>
      </c>
      <c r="M21" s="33" t="n">
        <f>35070</f>
        <v>35070.0</v>
      </c>
      <c r="N21" s="34" t="s">
        <v>69</v>
      </c>
      <c r="O21" s="33" t="n">
        <f>33390</f>
        <v>33390.0</v>
      </c>
      <c r="P21" s="34" t="s">
        <v>73</v>
      </c>
      <c r="Q21" s="33" t="n">
        <f>34800</f>
        <v>34800.0</v>
      </c>
      <c r="R21" s="34" t="s">
        <v>51</v>
      </c>
      <c r="S21" s="35" t="n">
        <f>34340.95</f>
        <v>34340.95</v>
      </c>
      <c r="T21" s="32" t="n">
        <f>1197259</f>
        <v>1197259.0</v>
      </c>
      <c r="U21" s="32" t="n">
        <f>649622</f>
        <v>649622.0</v>
      </c>
      <c r="V21" s="32" t="n">
        <f>41242980085</f>
        <v>4.1242980085E10</v>
      </c>
      <c r="W21" s="32" t="n">
        <f>22417735675</f>
        <v>2.2417735675E10</v>
      </c>
      <c r="X21" s="36" t="n">
        <f>21</f>
        <v>21.0</v>
      </c>
    </row>
    <row r="22">
      <c r="A22" s="27" t="s">
        <v>42</v>
      </c>
      <c r="B22" s="27" t="s">
        <v>100</v>
      </c>
      <c r="C22" s="27" t="s">
        <v>101</v>
      </c>
      <c r="D22" s="27" t="s">
        <v>102</v>
      </c>
      <c r="E22" s="28" t="s">
        <v>46</v>
      </c>
      <c r="F22" s="29" t="s">
        <v>46</v>
      </c>
      <c r="G22" s="30" t="s">
        <v>46</v>
      </c>
      <c r="H22" s="31"/>
      <c r="I22" s="31" t="s">
        <v>47</v>
      </c>
      <c r="J22" s="32" t="n">
        <v>10.0</v>
      </c>
      <c r="K22" s="33" t="n">
        <f>1972</f>
        <v>1972.0</v>
      </c>
      <c r="L22" s="34" t="s">
        <v>48</v>
      </c>
      <c r="M22" s="33" t="n">
        <f>1975.5</f>
        <v>1975.5</v>
      </c>
      <c r="N22" s="34" t="s">
        <v>48</v>
      </c>
      <c r="O22" s="33" t="n">
        <f>1895</f>
        <v>1895.0</v>
      </c>
      <c r="P22" s="34" t="s">
        <v>103</v>
      </c>
      <c r="Q22" s="33" t="n">
        <f>1950.5</f>
        <v>1950.5</v>
      </c>
      <c r="R22" s="34" t="s">
        <v>51</v>
      </c>
      <c r="S22" s="35" t="n">
        <f>1937.57</f>
        <v>1937.57</v>
      </c>
      <c r="T22" s="32" t="n">
        <f>11452650</f>
        <v>1.145265E7</v>
      </c>
      <c r="U22" s="32" t="n">
        <f>4903580</f>
        <v>4903580.0</v>
      </c>
      <c r="V22" s="32" t="n">
        <f>22208884972</f>
        <v>2.2208884972E10</v>
      </c>
      <c r="W22" s="32" t="n">
        <f>9538700527</f>
        <v>9.538700527E9</v>
      </c>
      <c r="X22" s="36" t="n">
        <f>21</f>
        <v>21.0</v>
      </c>
    </row>
    <row r="23">
      <c r="A23" s="27" t="s">
        <v>42</v>
      </c>
      <c r="B23" s="27" t="s">
        <v>104</v>
      </c>
      <c r="C23" s="27" t="s">
        <v>105</v>
      </c>
      <c r="D23" s="27" t="s">
        <v>106</v>
      </c>
      <c r="E23" s="28" t="s">
        <v>46</v>
      </c>
      <c r="F23" s="29" t="s">
        <v>46</v>
      </c>
      <c r="G23" s="30" t="s">
        <v>46</v>
      </c>
      <c r="H23" s="31"/>
      <c r="I23" s="31" t="s">
        <v>47</v>
      </c>
      <c r="J23" s="32" t="n">
        <v>100.0</v>
      </c>
      <c r="K23" s="33" t="n">
        <f>1863.5</f>
        <v>1863.5</v>
      </c>
      <c r="L23" s="34" t="s">
        <v>48</v>
      </c>
      <c r="M23" s="33" t="n">
        <f>1863.5</f>
        <v>1863.5</v>
      </c>
      <c r="N23" s="34" t="s">
        <v>48</v>
      </c>
      <c r="O23" s="33" t="n">
        <f>1787</f>
        <v>1787.0</v>
      </c>
      <c r="P23" s="34" t="s">
        <v>103</v>
      </c>
      <c r="Q23" s="33" t="n">
        <f>1840.5</f>
        <v>1840.5</v>
      </c>
      <c r="R23" s="34" t="s">
        <v>51</v>
      </c>
      <c r="S23" s="35" t="n">
        <f>1827.26</f>
        <v>1827.26</v>
      </c>
      <c r="T23" s="32" t="n">
        <f>11334700</f>
        <v>1.13347E7</v>
      </c>
      <c r="U23" s="32" t="n">
        <f>5745300</f>
        <v>5745300.0</v>
      </c>
      <c r="V23" s="32" t="n">
        <f>20631776916</f>
        <v>2.0631776916E10</v>
      </c>
      <c r="W23" s="32" t="n">
        <f>10485046066</f>
        <v>1.0485046066E10</v>
      </c>
      <c r="X23" s="36" t="n">
        <f>21</f>
        <v>21.0</v>
      </c>
    </row>
    <row r="24">
      <c r="A24" s="27" t="s">
        <v>42</v>
      </c>
      <c r="B24" s="27" t="s">
        <v>107</v>
      </c>
      <c r="C24" s="27" t="s">
        <v>108</v>
      </c>
      <c r="D24" s="27" t="s">
        <v>109</v>
      </c>
      <c r="E24" s="28" t="s">
        <v>46</v>
      </c>
      <c r="F24" s="29" t="s">
        <v>46</v>
      </c>
      <c r="G24" s="30" t="s">
        <v>46</v>
      </c>
      <c r="H24" s="31"/>
      <c r="I24" s="31" t="s">
        <v>47</v>
      </c>
      <c r="J24" s="32" t="n">
        <v>1.0</v>
      </c>
      <c r="K24" s="33" t="n">
        <f>34880</f>
        <v>34880.0</v>
      </c>
      <c r="L24" s="34" t="s">
        <v>48</v>
      </c>
      <c r="M24" s="33" t="n">
        <f>35130</f>
        <v>35130.0</v>
      </c>
      <c r="N24" s="34" t="s">
        <v>69</v>
      </c>
      <c r="O24" s="33" t="n">
        <f>33450</f>
        <v>33450.0</v>
      </c>
      <c r="P24" s="34" t="s">
        <v>73</v>
      </c>
      <c r="Q24" s="33" t="n">
        <f>34760</f>
        <v>34760.0</v>
      </c>
      <c r="R24" s="34" t="s">
        <v>51</v>
      </c>
      <c r="S24" s="35" t="n">
        <f>34397.14</f>
        <v>34397.14</v>
      </c>
      <c r="T24" s="32" t="n">
        <f>545000</f>
        <v>545000.0</v>
      </c>
      <c r="U24" s="32" t="n">
        <f>94586</f>
        <v>94586.0</v>
      </c>
      <c r="V24" s="32" t="n">
        <f>18752059787</f>
        <v>1.8752059787E10</v>
      </c>
      <c r="W24" s="32" t="n">
        <f>3238073977</f>
        <v>3.238073977E9</v>
      </c>
      <c r="X24" s="36" t="n">
        <f>21</f>
        <v>21.0</v>
      </c>
    </row>
    <row r="25">
      <c r="A25" s="27" t="s">
        <v>42</v>
      </c>
      <c r="B25" s="27" t="s">
        <v>110</v>
      </c>
      <c r="C25" s="27" t="s">
        <v>111</v>
      </c>
      <c r="D25" s="27" t="s">
        <v>112</v>
      </c>
      <c r="E25" s="28" t="s">
        <v>46</v>
      </c>
      <c r="F25" s="29" t="s">
        <v>46</v>
      </c>
      <c r="G25" s="30" t="s">
        <v>46</v>
      </c>
      <c r="H25" s="31"/>
      <c r="I25" s="31" t="s">
        <v>47</v>
      </c>
      <c r="J25" s="32" t="n">
        <v>10.0</v>
      </c>
      <c r="K25" s="33" t="n">
        <f>2490</f>
        <v>2490.0</v>
      </c>
      <c r="L25" s="34" t="s">
        <v>48</v>
      </c>
      <c r="M25" s="33" t="n">
        <f>2493.5</f>
        <v>2493.5</v>
      </c>
      <c r="N25" s="34" t="s">
        <v>49</v>
      </c>
      <c r="O25" s="33" t="n">
        <f>2394.5</f>
        <v>2394.5</v>
      </c>
      <c r="P25" s="34" t="s">
        <v>50</v>
      </c>
      <c r="Q25" s="33" t="n">
        <f>2470</f>
        <v>2470.0</v>
      </c>
      <c r="R25" s="34" t="s">
        <v>51</v>
      </c>
      <c r="S25" s="35" t="n">
        <f>2452.43</f>
        <v>2452.43</v>
      </c>
      <c r="T25" s="32" t="n">
        <f>3435930</f>
        <v>3435930.0</v>
      </c>
      <c r="U25" s="32" t="n">
        <f>1348600</f>
        <v>1348600.0</v>
      </c>
      <c r="V25" s="32" t="n">
        <f>8408312650</f>
        <v>8.40831265E9</v>
      </c>
      <c r="W25" s="32" t="n">
        <f>3302405165</f>
        <v>3.302405165E9</v>
      </c>
      <c r="X25" s="36" t="n">
        <f>21</f>
        <v>21.0</v>
      </c>
    </row>
    <row r="26">
      <c r="A26" s="27" t="s">
        <v>42</v>
      </c>
      <c r="B26" s="27" t="s">
        <v>113</v>
      </c>
      <c r="C26" s="27" t="s">
        <v>114</v>
      </c>
      <c r="D26" s="27" t="s">
        <v>115</v>
      </c>
      <c r="E26" s="28" t="s">
        <v>46</v>
      </c>
      <c r="F26" s="29" t="s">
        <v>46</v>
      </c>
      <c r="G26" s="30" t="s">
        <v>46</v>
      </c>
      <c r="H26" s="31"/>
      <c r="I26" s="31" t="s">
        <v>47</v>
      </c>
      <c r="J26" s="32" t="n">
        <v>1.0</v>
      </c>
      <c r="K26" s="33" t="n">
        <f>16065</f>
        <v>16065.0</v>
      </c>
      <c r="L26" s="34" t="s">
        <v>48</v>
      </c>
      <c r="M26" s="33" t="n">
        <f>16065</f>
        <v>16065.0</v>
      </c>
      <c r="N26" s="34" t="s">
        <v>48</v>
      </c>
      <c r="O26" s="33" t="n">
        <f>15265</f>
        <v>15265.0</v>
      </c>
      <c r="P26" s="34" t="s">
        <v>116</v>
      </c>
      <c r="Q26" s="33" t="n">
        <f>15455</f>
        <v>15455.0</v>
      </c>
      <c r="R26" s="34" t="s">
        <v>51</v>
      </c>
      <c r="S26" s="35" t="n">
        <f>15586.67</f>
        <v>15586.67</v>
      </c>
      <c r="T26" s="32" t="n">
        <f>945</f>
        <v>945.0</v>
      </c>
      <c r="U26" s="32" t="str">
        <f>"－"</f>
        <v>－</v>
      </c>
      <c r="V26" s="32" t="n">
        <f>14644310</f>
        <v>1.464431E7</v>
      </c>
      <c r="W26" s="32" t="str">
        <f>"－"</f>
        <v>－</v>
      </c>
      <c r="X26" s="36" t="n">
        <f>21</f>
        <v>21.0</v>
      </c>
    </row>
    <row r="27">
      <c r="A27" s="27" t="s">
        <v>42</v>
      </c>
      <c r="B27" s="27" t="s">
        <v>117</v>
      </c>
      <c r="C27" s="27" t="s">
        <v>118</v>
      </c>
      <c r="D27" s="27" t="s">
        <v>119</v>
      </c>
      <c r="E27" s="28" t="s">
        <v>46</v>
      </c>
      <c r="F27" s="29" t="s">
        <v>46</v>
      </c>
      <c r="G27" s="30" t="s">
        <v>46</v>
      </c>
      <c r="H27" s="31"/>
      <c r="I27" s="31" t="s">
        <v>47</v>
      </c>
      <c r="J27" s="32" t="n">
        <v>10.0</v>
      </c>
      <c r="K27" s="33" t="n">
        <f>537</f>
        <v>537.0</v>
      </c>
      <c r="L27" s="34" t="s">
        <v>48</v>
      </c>
      <c r="M27" s="33" t="n">
        <f>578</f>
        <v>578.0</v>
      </c>
      <c r="N27" s="34" t="s">
        <v>50</v>
      </c>
      <c r="O27" s="33" t="n">
        <f>534.6</f>
        <v>534.6</v>
      </c>
      <c r="P27" s="34" t="s">
        <v>49</v>
      </c>
      <c r="Q27" s="33" t="n">
        <f>542.8</f>
        <v>542.8</v>
      </c>
      <c r="R27" s="34" t="s">
        <v>51</v>
      </c>
      <c r="S27" s="35" t="n">
        <f>552.8</f>
        <v>552.8</v>
      </c>
      <c r="T27" s="32" t="n">
        <f>20728800</f>
        <v>2.07288E7</v>
      </c>
      <c r="U27" s="32" t="n">
        <f>891000</f>
        <v>891000.0</v>
      </c>
      <c r="V27" s="32" t="n">
        <f>11507719878</f>
        <v>1.1507719878E10</v>
      </c>
      <c r="W27" s="32" t="n">
        <f>506969700</f>
        <v>5.069697E8</v>
      </c>
      <c r="X27" s="36" t="n">
        <f>21</f>
        <v>21.0</v>
      </c>
    </row>
    <row r="28">
      <c r="A28" s="27" t="s">
        <v>42</v>
      </c>
      <c r="B28" s="27" t="s">
        <v>120</v>
      </c>
      <c r="C28" s="27" t="s">
        <v>121</v>
      </c>
      <c r="D28" s="27" t="s">
        <v>122</v>
      </c>
      <c r="E28" s="28" t="s">
        <v>46</v>
      </c>
      <c r="F28" s="29" t="s">
        <v>46</v>
      </c>
      <c r="G28" s="30" t="s">
        <v>46</v>
      </c>
      <c r="H28" s="31"/>
      <c r="I28" s="31" t="s">
        <v>47</v>
      </c>
      <c r="J28" s="32" t="n">
        <v>1.0</v>
      </c>
      <c r="K28" s="33" t="n">
        <f>210</f>
        <v>210.0</v>
      </c>
      <c r="L28" s="34" t="s">
        <v>48</v>
      </c>
      <c r="M28" s="33" t="n">
        <f>227</f>
        <v>227.0</v>
      </c>
      <c r="N28" s="34" t="s">
        <v>73</v>
      </c>
      <c r="O28" s="33" t="n">
        <f>204</f>
        <v>204.0</v>
      </c>
      <c r="P28" s="34" t="s">
        <v>69</v>
      </c>
      <c r="Q28" s="33" t="n">
        <f>208</f>
        <v>208.0</v>
      </c>
      <c r="R28" s="34" t="s">
        <v>51</v>
      </c>
      <c r="S28" s="35" t="n">
        <f>214.19</f>
        <v>214.19</v>
      </c>
      <c r="T28" s="32" t="n">
        <f>1105261035</f>
        <v>1.105261035E9</v>
      </c>
      <c r="U28" s="32" t="n">
        <f>7202050</f>
        <v>7202050.0</v>
      </c>
      <c r="V28" s="32" t="n">
        <f>237036525811</f>
        <v>2.37036525811E11</v>
      </c>
      <c r="W28" s="32" t="n">
        <f>1526225066</f>
        <v>1.526225066E9</v>
      </c>
      <c r="X28" s="36" t="n">
        <f>21</f>
        <v>21.0</v>
      </c>
    </row>
    <row r="29">
      <c r="A29" s="27" t="s">
        <v>42</v>
      </c>
      <c r="B29" s="27" t="s">
        <v>123</v>
      </c>
      <c r="C29" s="27" t="s">
        <v>124</v>
      </c>
      <c r="D29" s="27" t="s">
        <v>125</v>
      </c>
      <c r="E29" s="28" t="s">
        <v>46</v>
      </c>
      <c r="F29" s="29" t="s">
        <v>46</v>
      </c>
      <c r="G29" s="30" t="s">
        <v>46</v>
      </c>
      <c r="H29" s="31"/>
      <c r="I29" s="31" t="s">
        <v>47</v>
      </c>
      <c r="J29" s="32" t="n">
        <v>1.0</v>
      </c>
      <c r="K29" s="33" t="n">
        <f>39480</f>
        <v>39480.0</v>
      </c>
      <c r="L29" s="34" t="s">
        <v>48</v>
      </c>
      <c r="M29" s="33" t="n">
        <f>39970</f>
        <v>39970.0</v>
      </c>
      <c r="N29" s="34" t="s">
        <v>69</v>
      </c>
      <c r="O29" s="33" t="n">
        <f>36270</f>
        <v>36270.0</v>
      </c>
      <c r="P29" s="34" t="s">
        <v>73</v>
      </c>
      <c r="Q29" s="33" t="n">
        <f>39050</f>
        <v>39050.0</v>
      </c>
      <c r="R29" s="34" t="s">
        <v>51</v>
      </c>
      <c r="S29" s="35" t="n">
        <f>38324.76</f>
        <v>38324.76</v>
      </c>
      <c r="T29" s="32" t="n">
        <f>369490</f>
        <v>369490.0</v>
      </c>
      <c r="U29" s="32" t="n">
        <f>7</f>
        <v>7.0</v>
      </c>
      <c r="V29" s="32" t="n">
        <f>14175488430</f>
        <v>1.417548843E10</v>
      </c>
      <c r="W29" s="32" t="n">
        <f>272900</f>
        <v>272900.0</v>
      </c>
      <c r="X29" s="36" t="n">
        <f>21</f>
        <v>21.0</v>
      </c>
    </row>
    <row r="30">
      <c r="A30" s="27" t="s">
        <v>42</v>
      </c>
      <c r="B30" s="27" t="s">
        <v>126</v>
      </c>
      <c r="C30" s="27" t="s">
        <v>127</v>
      </c>
      <c r="D30" s="27" t="s">
        <v>128</v>
      </c>
      <c r="E30" s="28" t="s">
        <v>46</v>
      </c>
      <c r="F30" s="29" t="s">
        <v>46</v>
      </c>
      <c r="G30" s="30" t="s">
        <v>46</v>
      </c>
      <c r="H30" s="31"/>
      <c r="I30" s="31" t="s">
        <v>47</v>
      </c>
      <c r="J30" s="32" t="n">
        <v>10.0</v>
      </c>
      <c r="K30" s="33" t="n">
        <f>511.9</f>
        <v>511.9</v>
      </c>
      <c r="L30" s="34" t="s">
        <v>48</v>
      </c>
      <c r="M30" s="33" t="n">
        <f>554.2</f>
        <v>554.2</v>
      </c>
      <c r="N30" s="34" t="s">
        <v>73</v>
      </c>
      <c r="O30" s="33" t="n">
        <f>500.6</f>
        <v>500.6</v>
      </c>
      <c r="P30" s="34" t="s">
        <v>69</v>
      </c>
      <c r="Q30" s="33" t="n">
        <f>510.7</f>
        <v>510.7</v>
      </c>
      <c r="R30" s="34" t="s">
        <v>51</v>
      </c>
      <c r="S30" s="35" t="n">
        <f>523.75</f>
        <v>523.75</v>
      </c>
      <c r="T30" s="32" t="n">
        <f>423718920</f>
        <v>4.2371892E8</v>
      </c>
      <c r="U30" s="32" t="n">
        <f>17680</f>
        <v>17680.0</v>
      </c>
      <c r="V30" s="32" t="n">
        <f>222618476408</f>
        <v>2.22618476408E11</v>
      </c>
      <c r="W30" s="32" t="n">
        <f>9106586</f>
        <v>9106586.0</v>
      </c>
      <c r="X30" s="36" t="n">
        <f>21</f>
        <v>21.0</v>
      </c>
    </row>
    <row r="31">
      <c r="A31" s="27" t="s">
        <v>42</v>
      </c>
      <c r="B31" s="27" t="s">
        <v>129</v>
      </c>
      <c r="C31" s="27" t="s">
        <v>130</v>
      </c>
      <c r="D31" s="27" t="s">
        <v>131</v>
      </c>
      <c r="E31" s="28" t="s">
        <v>46</v>
      </c>
      <c r="F31" s="29" t="s">
        <v>46</v>
      </c>
      <c r="G31" s="30" t="s">
        <v>46</v>
      </c>
      <c r="H31" s="31"/>
      <c r="I31" s="31" t="s">
        <v>47</v>
      </c>
      <c r="J31" s="32" t="n">
        <v>1.0</v>
      </c>
      <c r="K31" s="33" t="n">
        <f>22120</f>
        <v>22120.0</v>
      </c>
      <c r="L31" s="34" t="s">
        <v>48</v>
      </c>
      <c r="M31" s="33" t="n">
        <f>22235</f>
        <v>22235.0</v>
      </c>
      <c r="N31" s="34" t="s">
        <v>51</v>
      </c>
      <c r="O31" s="33" t="n">
        <f>21305</f>
        <v>21305.0</v>
      </c>
      <c r="P31" s="34" t="s">
        <v>50</v>
      </c>
      <c r="Q31" s="33" t="n">
        <f>22235</f>
        <v>22235.0</v>
      </c>
      <c r="R31" s="34" t="s">
        <v>51</v>
      </c>
      <c r="S31" s="35" t="n">
        <f>21821.43</f>
        <v>21821.43</v>
      </c>
      <c r="T31" s="32" t="n">
        <f>21407</f>
        <v>21407.0</v>
      </c>
      <c r="U31" s="32" t="n">
        <f>8711</f>
        <v>8711.0</v>
      </c>
      <c r="V31" s="32" t="n">
        <f>467861698</f>
        <v>4.67861698E8</v>
      </c>
      <c r="W31" s="32" t="n">
        <f>189666463</f>
        <v>1.89666463E8</v>
      </c>
      <c r="X31" s="36" t="n">
        <f>21</f>
        <v>21.0</v>
      </c>
    </row>
    <row r="32">
      <c r="A32" s="27" t="s">
        <v>42</v>
      </c>
      <c r="B32" s="27" t="s">
        <v>132</v>
      </c>
      <c r="C32" s="27" t="s">
        <v>133</v>
      </c>
      <c r="D32" s="27" t="s">
        <v>134</v>
      </c>
      <c r="E32" s="28" t="s">
        <v>46</v>
      </c>
      <c r="F32" s="29" t="s">
        <v>46</v>
      </c>
      <c r="G32" s="30" t="s">
        <v>46</v>
      </c>
      <c r="H32" s="31"/>
      <c r="I32" s="31" t="s">
        <v>47</v>
      </c>
      <c r="J32" s="32" t="n">
        <v>1.0</v>
      </c>
      <c r="K32" s="33" t="n">
        <f>32800</f>
        <v>32800.0</v>
      </c>
      <c r="L32" s="34" t="s">
        <v>48</v>
      </c>
      <c r="M32" s="33" t="n">
        <f>33200</f>
        <v>33200.0</v>
      </c>
      <c r="N32" s="34" t="s">
        <v>69</v>
      </c>
      <c r="O32" s="33" t="n">
        <f>30130</f>
        <v>30130.0</v>
      </c>
      <c r="P32" s="34" t="s">
        <v>73</v>
      </c>
      <c r="Q32" s="33" t="n">
        <f>32450</f>
        <v>32450.0</v>
      </c>
      <c r="R32" s="34" t="s">
        <v>51</v>
      </c>
      <c r="S32" s="35" t="n">
        <f>31836.19</f>
        <v>31836.19</v>
      </c>
      <c r="T32" s="32" t="n">
        <f>702641</f>
        <v>702641.0</v>
      </c>
      <c r="U32" s="32" t="n">
        <f>63</f>
        <v>63.0</v>
      </c>
      <c r="V32" s="32" t="n">
        <f>22370595930</f>
        <v>2.237059593E10</v>
      </c>
      <c r="W32" s="32" t="n">
        <f>2046360</f>
        <v>2046360.0</v>
      </c>
      <c r="X32" s="36" t="n">
        <f>21</f>
        <v>21.0</v>
      </c>
    </row>
    <row r="33">
      <c r="A33" s="27" t="s">
        <v>42</v>
      </c>
      <c r="B33" s="27" t="s">
        <v>135</v>
      </c>
      <c r="C33" s="27" t="s">
        <v>136</v>
      </c>
      <c r="D33" s="27" t="s">
        <v>137</v>
      </c>
      <c r="E33" s="28" t="s">
        <v>46</v>
      </c>
      <c r="F33" s="29" t="s">
        <v>46</v>
      </c>
      <c r="G33" s="30" t="s">
        <v>46</v>
      </c>
      <c r="H33" s="31"/>
      <c r="I33" s="31" t="s">
        <v>47</v>
      </c>
      <c r="J33" s="32" t="n">
        <v>1.0</v>
      </c>
      <c r="K33" s="33" t="n">
        <f>545</f>
        <v>545.0</v>
      </c>
      <c r="L33" s="34" t="s">
        <v>48</v>
      </c>
      <c r="M33" s="33" t="n">
        <f>590</f>
        <v>590.0</v>
      </c>
      <c r="N33" s="34" t="s">
        <v>73</v>
      </c>
      <c r="O33" s="33" t="n">
        <f>532</f>
        <v>532.0</v>
      </c>
      <c r="P33" s="34" t="s">
        <v>69</v>
      </c>
      <c r="Q33" s="33" t="n">
        <f>544</f>
        <v>544.0</v>
      </c>
      <c r="R33" s="34" t="s">
        <v>51</v>
      </c>
      <c r="S33" s="35" t="n">
        <f>556.48</f>
        <v>556.48</v>
      </c>
      <c r="T33" s="32" t="n">
        <f>34676945</f>
        <v>3.4676945E7</v>
      </c>
      <c r="U33" s="32" t="n">
        <f>5970</f>
        <v>5970.0</v>
      </c>
      <c r="V33" s="32" t="n">
        <f>19369838114</f>
        <v>1.9369838114E10</v>
      </c>
      <c r="W33" s="32" t="n">
        <f>3225801</f>
        <v>3225801.0</v>
      </c>
      <c r="X33" s="36" t="n">
        <f>21</f>
        <v>21.0</v>
      </c>
    </row>
    <row r="34">
      <c r="A34" s="27" t="s">
        <v>42</v>
      </c>
      <c r="B34" s="27" t="s">
        <v>138</v>
      </c>
      <c r="C34" s="27" t="s">
        <v>139</v>
      </c>
      <c r="D34" s="27" t="s">
        <v>140</v>
      </c>
      <c r="E34" s="28" t="s">
        <v>46</v>
      </c>
      <c r="F34" s="29" t="s">
        <v>46</v>
      </c>
      <c r="G34" s="30" t="s">
        <v>46</v>
      </c>
      <c r="H34" s="31"/>
      <c r="I34" s="31" t="s">
        <v>47</v>
      </c>
      <c r="J34" s="32" t="n">
        <v>1.0</v>
      </c>
      <c r="K34" s="33" t="n">
        <f>28740</f>
        <v>28740.0</v>
      </c>
      <c r="L34" s="34" t="s">
        <v>48</v>
      </c>
      <c r="M34" s="33" t="n">
        <f>28810</f>
        <v>28810.0</v>
      </c>
      <c r="N34" s="34" t="s">
        <v>49</v>
      </c>
      <c r="O34" s="33" t="n">
        <f>26525</f>
        <v>26525.0</v>
      </c>
      <c r="P34" s="34" t="s">
        <v>50</v>
      </c>
      <c r="Q34" s="33" t="n">
        <f>28235</f>
        <v>28235.0</v>
      </c>
      <c r="R34" s="34" t="s">
        <v>51</v>
      </c>
      <c r="S34" s="35" t="n">
        <f>27784.52</f>
        <v>27784.52</v>
      </c>
      <c r="T34" s="32" t="n">
        <f>145347</f>
        <v>145347.0</v>
      </c>
      <c r="U34" s="32" t="str">
        <f>"－"</f>
        <v>－</v>
      </c>
      <c r="V34" s="32" t="n">
        <f>4029177575</f>
        <v>4.029177575E9</v>
      </c>
      <c r="W34" s="32" t="str">
        <f>"－"</f>
        <v>－</v>
      </c>
      <c r="X34" s="36" t="n">
        <f>21</f>
        <v>21.0</v>
      </c>
    </row>
    <row r="35">
      <c r="A35" s="27" t="s">
        <v>42</v>
      </c>
      <c r="B35" s="27" t="s">
        <v>141</v>
      </c>
      <c r="C35" s="27" t="s">
        <v>142</v>
      </c>
      <c r="D35" s="27" t="s">
        <v>143</v>
      </c>
      <c r="E35" s="28" t="s">
        <v>46</v>
      </c>
      <c r="F35" s="29" t="s">
        <v>46</v>
      </c>
      <c r="G35" s="30" t="s">
        <v>46</v>
      </c>
      <c r="H35" s="31"/>
      <c r="I35" s="31" t="s">
        <v>47</v>
      </c>
      <c r="J35" s="32" t="n">
        <v>1.0</v>
      </c>
      <c r="K35" s="33" t="n">
        <f>780</f>
        <v>780.0</v>
      </c>
      <c r="L35" s="34" t="s">
        <v>48</v>
      </c>
      <c r="M35" s="33" t="n">
        <f>839</f>
        <v>839.0</v>
      </c>
      <c r="N35" s="34" t="s">
        <v>50</v>
      </c>
      <c r="O35" s="33" t="n">
        <f>776</f>
        <v>776.0</v>
      </c>
      <c r="P35" s="34" t="s">
        <v>49</v>
      </c>
      <c r="Q35" s="33" t="n">
        <f>785</f>
        <v>785.0</v>
      </c>
      <c r="R35" s="34" t="s">
        <v>51</v>
      </c>
      <c r="S35" s="35" t="n">
        <f>801.9</f>
        <v>801.9</v>
      </c>
      <c r="T35" s="32" t="n">
        <f>1322401</f>
        <v>1322401.0</v>
      </c>
      <c r="U35" s="32" t="str">
        <f>"－"</f>
        <v>－</v>
      </c>
      <c r="V35" s="32" t="n">
        <f>1061156944</f>
        <v>1.061156944E9</v>
      </c>
      <c r="W35" s="32" t="str">
        <f>"－"</f>
        <v>－</v>
      </c>
      <c r="X35" s="36" t="n">
        <f>21</f>
        <v>21.0</v>
      </c>
    </row>
    <row r="36">
      <c r="A36" s="27" t="s">
        <v>42</v>
      </c>
      <c r="B36" s="27" t="s">
        <v>144</v>
      </c>
      <c r="C36" s="27" t="s">
        <v>145</v>
      </c>
      <c r="D36" s="27" t="s">
        <v>146</v>
      </c>
      <c r="E36" s="28" t="s">
        <v>46</v>
      </c>
      <c r="F36" s="29" t="s">
        <v>46</v>
      </c>
      <c r="G36" s="30" t="s">
        <v>46</v>
      </c>
      <c r="H36" s="31"/>
      <c r="I36" s="31" t="s">
        <v>47</v>
      </c>
      <c r="J36" s="32" t="n">
        <v>1.0</v>
      </c>
      <c r="K36" s="33" t="n">
        <f>33830</f>
        <v>33830.0</v>
      </c>
      <c r="L36" s="34" t="s">
        <v>48</v>
      </c>
      <c r="M36" s="33" t="n">
        <f>34100</f>
        <v>34100.0</v>
      </c>
      <c r="N36" s="34" t="s">
        <v>69</v>
      </c>
      <c r="O36" s="33" t="n">
        <f>32500</f>
        <v>32500.0</v>
      </c>
      <c r="P36" s="34" t="s">
        <v>73</v>
      </c>
      <c r="Q36" s="33" t="n">
        <f>33710</f>
        <v>33710.0</v>
      </c>
      <c r="R36" s="34" t="s">
        <v>51</v>
      </c>
      <c r="S36" s="35" t="n">
        <f>33379.52</f>
        <v>33379.52</v>
      </c>
      <c r="T36" s="32" t="n">
        <f>190471</f>
        <v>190471.0</v>
      </c>
      <c r="U36" s="32" t="n">
        <f>20000</f>
        <v>20000.0</v>
      </c>
      <c r="V36" s="32" t="n">
        <f>6353570290</f>
        <v>6.35357029E9</v>
      </c>
      <c r="W36" s="32" t="n">
        <f>678069000</f>
        <v>6.78069E8</v>
      </c>
      <c r="X36" s="36" t="n">
        <f>21</f>
        <v>21.0</v>
      </c>
    </row>
    <row r="37">
      <c r="A37" s="27" t="s">
        <v>42</v>
      </c>
      <c r="B37" s="27" t="s">
        <v>147</v>
      </c>
      <c r="C37" s="27" t="s">
        <v>148</v>
      </c>
      <c r="D37" s="27" t="s">
        <v>149</v>
      </c>
      <c r="E37" s="28" t="s">
        <v>46</v>
      </c>
      <c r="F37" s="29" t="s">
        <v>46</v>
      </c>
      <c r="G37" s="30" t="s">
        <v>46</v>
      </c>
      <c r="H37" s="31"/>
      <c r="I37" s="31" t="s">
        <v>47</v>
      </c>
      <c r="J37" s="32" t="n">
        <v>1.0</v>
      </c>
      <c r="K37" s="33" t="n">
        <f>33910</f>
        <v>33910.0</v>
      </c>
      <c r="L37" s="34" t="s">
        <v>48</v>
      </c>
      <c r="M37" s="33" t="n">
        <f>34120</f>
        <v>34120.0</v>
      </c>
      <c r="N37" s="34" t="s">
        <v>69</v>
      </c>
      <c r="O37" s="33" t="n">
        <f>32520</f>
        <v>32520.0</v>
      </c>
      <c r="P37" s="34" t="s">
        <v>73</v>
      </c>
      <c r="Q37" s="33" t="n">
        <f>33760</f>
        <v>33760.0</v>
      </c>
      <c r="R37" s="34" t="s">
        <v>51</v>
      </c>
      <c r="S37" s="35" t="n">
        <f>33423.81</f>
        <v>33423.81</v>
      </c>
      <c r="T37" s="32" t="n">
        <f>219290</f>
        <v>219290.0</v>
      </c>
      <c r="U37" s="32" t="n">
        <f>134924</f>
        <v>134924.0</v>
      </c>
      <c r="V37" s="32" t="n">
        <f>7384314189</f>
        <v>7.384314189E9</v>
      </c>
      <c r="W37" s="32" t="n">
        <f>4578654849</f>
        <v>4.578654849E9</v>
      </c>
      <c r="X37" s="36" t="n">
        <f>21</f>
        <v>21.0</v>
      </c>
    </row>
    <row r="38">
      <c r="A38" s="27" t="s">
        <v>42</v>
      </c>
      <c r="B38" s="27" t="s">
        <v>150</v>
      </c>
      <c r="C38" s="27" t="s">
        <v>151</v>
      </c>
      <c r="D38" s="27" t="s">
        <v>152</v>
      </c>
      <c r="E38" s="28" t="s">
        <v>46</v>
      </c>
      <c r="F38" s="29" t="s">
        <v>46</v>
      </c>
      <c r="G38" s="30" t="s">
        <v>46</v>
      </c>
      <c r="H38" s="31"/>
      <c r="I38" s="31" t="s">
        <v>47</v>
      </c>
      <c r="J38" s="32" t="n">
        <v>10.0</v>
      </c>
      <c r="K38" s="33" t="n">
        <f>1890</f>
        <v>1890.0</v>
      </c>
      <c r="L38" s="34" t="s">
        <v>48</v>
      </c>
      <c r="M38" s="33" t="n">
        <f>1890</f>
        <v>1890.0</v>
      </c>
      <c r="N38" s="34" t="s">
        <v>48</v>
      </c>
      <c r="O38" s="33" t="n">
        <f>1804</f>
        <v>1804.0</v>
      </c>
      <c r="P38" s="34" t="s">
        <v>103</v>
      </c>
      <c r="Q38" s="33" t="n">
        <f>1856.5</f>
        <v>1856.5</v>
      </c>
      <c r="R38" s="34" t="s">
        <v>51</v>
      </c>
      <c r="S38" s="35" t="n">
        <f>1843.62</f>
        <v>1843.62</v>
      </c>
      <c r="T38" s="32" t="n">
        <f>987370</f>
        <v>987370.0</v>
      </c>
      <c r="U38" s="32" t="n">
        <f>15360</f>
        <v>15360.0</v>
      </c>
      <c r="V38" s="32" t="n">
        <f>1833720380</f>
        <v>1.83372038E9</v>
      </c>
      <c r="W38" s="32" t="n">
        <f>28466400</f>
        <v>2.84664E7</v>
      </c>
      <c r="X38" s="36" t="n">
        <f>21</f>
        <v>21.0</v>
      </c>
    </row>
    <row r="39">
      <c r="A39" s="27" t="s">
        <v>42</v>
      </c>
      <c r="B39" s="27" t="s">
        <v>153</v>
      </c>
      <c r="C39" s="27" t="s">
        <v>154</v>
      </c>
      <c r="D39" s="27" t="s">
        <v>155</v>
      </c>
      <c r="E39" s="28" t="s">
        <v>46</v>
      </c>
      <c r="F39" s="29" t="s">
        <v>46</v>
      </c>
      <c r="G39" s="30" t="s">
        <v>46</v>
      </c>
      <c r="H39" s="31"/>
      <c r="I39" s="31" t="s">
        <v>47</v>
      </c>
      <c r="J39" s="32" t="n">
        <v>10.0</v>
      </c>
      <c r="K39" s="33" t="n">
        <f>1986.5</f>
        <v>1986.5</v>
      </c>
      <c r="L39" s="34" t="s">
        <v>48</v>
      </c>
      <c r="M39" s="33" t="n">
        <f>2177.5</f>
        <v>2177.5</v>
      </c>
      <c r="N39" s="34" t="s">
        <v>156</v>
      </c>
      <c r="O39" s="33" t="n">
        <f>1919</f>
        <v>1919.0</v>
      </c>
      <c r="P39" s="34" t="s">
        <v>157</v>
      </c>
      <c r="Q39" s="33" t="n">
        <f>2078</f>
        <v>2078.0</v>
      </c>
      <c r="R39" s="34" t="s">
        <v>51</v>
      </c>
      <c r="S39" s="35" t="n">
        <f>2000.53</f>
        <v>2000.53</v>
      </c>
      <c r="T39" s="32" t="n">
        <f>14140</f>
        <v>14140.0</v>
      </c>
      <c r="U39" s="32" t="str">
        <f>"－"</f>
        <v>－</v>
      </c>
      <c r="V39" s="32" t="n">
        <f>28057675</f>
        <v>2.8057675E7</v>
      </c>
      <c r="W39" s="32" t="str">
        <f>"－"</f>
        <v>－</v>
      </c>
      <c r="X39" s="36" t="n">
        <f>19</f>
        <v>19.0</v>
      </c>
    </row>
    <row r="40">
      <c r="A40" s="27" t="s">
        <v>42</v>
      </c>
      <c r="B40" s="27" t="s">
        <v>158</v>
      </c>
      <c r="C40" s="27" t="s">
        <v>159</v>
      </c>
      <c r="D40" s="27" t="s">
        <v>160</v>
      </c>
      <c r="E40" s="28" t="s">
        <v>46</v>
      </c>
      <c r="F40" s="29" t="s">
        <v>46</v>
      </c>
      <c r="G40" s="30" t="s">
        <v>46</v>
      </c>
      <c r="H40" s="31"/>
      <c r="I40" s="31" t="s">
        <v>47</v>
      </c>
      <c r="J40" s="32" t="n">
        <v>1.0</v>
      </c>
      <c r="K40" s="33" t="n">
        <f>3180</f>
        <v>3180.0</v>
      </c>
      <c r="L40" s="34" t="s">
        <v>48</v>
      </c>
      <c r="M40" s="33" t="n">
        <f>3315</f>
        <v>3315.0</v>
      </c>
      <c r="N40" s="34" t="s">
        <v>73</v>
      </c>
      <c r="O40" s="33" t="n">
        <f>3150</f>
        <v>3150.0</v>
      </c>
      <c r="P40" s="34" t="s">
        <v>69</v>
      </c>
      <c r="Q40" s="33" t="n">
        <f>3180</f>
        <v>3180.0</v>
      </c>
      <c r="R40" s="34" t="s">
        <v>51</v>
      </c>
      <c r="S40" s="35" t="n">
        <f>3222.14</f>
        <v>3222.14</v>
      </c>
      <c r="T40" s="32" t="n">
        <f>989026</f>
        <v>989026.0</v>
      </c>
      <c r="U40" s="32" t="n">
        <f>40000</f>
        <v>40000.0</v>
      </c>
      <c r="V40" s="32" t="n">
        <f>3195410450</f>
        <v>3.19541045E9</v>
      </c>
      <c r="W40" s="32" t="n">
        <f>132192000</f>
        <v>1.32192E8</v>
      </c>
      <c r="X40" s="36" t="n">
        <f>21</f>
        <v>21.0</v>
      </c>
    </row>
    <row r="41">
      <c r="A41" s="27" t="s">
        <v>42</v>
      </c>
      <c r="B41" s="27" t="s">
        <v>161</v>
      </c>
      <c r="C41" s="27" t="s">
        <v>162</v>
      </c>
      <c r="D41" s="27" t="s">
        <v>163</v>
      </c>
      <c r="E41" s="28" t="s">
        <v>46</v>
      </c>
      <c r="F41" s="29" t="s">
        <v>46</v>
      </c>
      <c r="G41" s="30" t="s">
        <v>46</v>
      </c>
      <c r="H41" s="31"/>
      <c r="I41" s="31" t="s">
        <v>47</v>
      </c>
      <c r="J41" s="32" t="n">
        <v>1.0</v>
      </c>
      <c r="K41" s="33" t="n">
        <f>3730</f>
        <v>3730.0</v>
      </c>
      <c r="L41" s="34" t="s">
        <v>48</v>
      </c>
      <c r="M41" s="33" t="n">
        <f>3870</f>
        <v>3870.0</v>
      </c>
      <c r="N41" s="34" t="s">
        <v>50</v>
      </c>
      <c r="O41" s="33" t="n">
        <f>3720</f>
        <v>3720.0</v>
      </c>
      <c r="P41" s="34" t="s">
        <v>49</v>
      </c>
      <c r="Q41" s="33" t="n">
        <f>3765</f>
        <v>3765.0</v>
      </c>
      <c r="R41" s="34" t="s">
        <v>51</v>
      </c>
      <c r="S41" s="35" t="n">
        <f>3783.33</f>
        <v>3783.33</v>
      </c>
      <c r="T41" s="32" t="n">
        <f>259353</f>
        <v>259353.0</v>
      </c>
      <c r="U41" s="32" t="n">
        <f>38000</f>
        <v>38000.0</v>
      </c>
      <c r="V41" s="32" t="n">
        <f>987086175</f>
        <v>9.87086175E8</v>
      </c>
      <c r="W41" s="32" t="n">
        <f>143553600</f>
        <v>1.435536E8</v>
      </c>
      <c r="X41" s="36" t="n">
        <f>21</f>
        <v>21.0</v>
      </c>
    </row>
    <row r="42">
      <c r="A42" s="27" t="s">
        <v>42</v>
      </c>
      <c r="B42" s="27" t="s">
        <v>164</v>
      </c>
      <c r="C42" s="27" t="s">
        <v>165</v>
      </c>
      <c r="D42" s="27" t="s">
        <v>166</v>
      </c>
      <c r="E42" s="28" t="s">
        <v>46</v>
      </c>
      <c r="F42" s="29" t="s">
        <v>46</v>
      </c>
      <c r="G42" s="30" t="s">
        <v>46</v>
      </c>
      <c r="H42" s="31"/>
      <c r="I42" s="31" t="s">
        <v>47</v>
      </c>
      <c r="J42" s="32" t="n">
        <v>1.0</v>
      </c>
      <c r="K42" s="33" t="n">
        <f>24985</f>
        <v>24985.0</v>
      </c>
      <c r="L42" s="34" t="s">
        <v>48</v>
      </c>
      <c r="M42" s="33" t="n">
        <f>25315</f>
        <v>25315.0</v>
      </c>
      <c r="N42" s="34" t="s">
        <v>69</v>
      </c>
      <c r="O42" s="33" t="n">
        <f>22960</f>
        <v>22960.0</v>
      </c>
      <c r="P42" s="34" t="s">
        <v>73</v>
      </c>
      <c r="Q42" s="33" t="n">
        <f>24745</f>
        <v>24745.0</v>
      </c>
      <c r="R42" s="34" t="s">
        <v>51</v>
      </c>
      <c r="S42" s="35" t="n">
        <f>24276.67</f>
        <v>24276.67</v>
      </c>
      <c r="T42" s="32" t="n">
        <f>8968921</f>
        <v>8968921.0</v>
      </c>
      <c r="U42" s="32" t="n">
        <f>98</f>
        <v>98.0</v>
      </c>
      <c r="V42" s="32" t="n">
        <f>217943263150</f>
        <v>2.1794326315E11</v>
      </c>
      <c r="W42" s="32" t="n">
        <f>2436920</f>
        <v>2436920.0</v>
      </c>
      <c r="X42" s="36" t="n">
        <f>21</f>
        <v>21.0</v>
      </c>
    </row>
    <row r="43">
      <c r="A43" s="27" t="s">
        <v>42</v>
      </c>
      <c r="B43" s="27" t="s">
        <v>167</v>
      </c>
      <c r="C43" s="27" t="s">
        <v>168</v>
      </c>
      <c r="D43" s="27" t="s">
        <v>169</v>
      </c>
      <c r="E43" s="28" t="s">
        <v>46</v>
      </c>
      <c r="F43" s="29" t="s">
        <v>46</v>
      </c>
      <c r="G43" s="30" t="s">
        <v>46</v>
      </c>
      <c r="H43" s="31"/>
      <c r="I43" s="31" t="s">
        <v>47</v>
      </c>
      <c r="J43" s="32" t="n">
        <v>1.0</v>
      </c>
      <c r="K43" s="33" t="n">
        <f>843</f>
        <v>843.0</v>
      </c>
      <c r="L43" s="34" t="s">
        <v>48</v>
      </c>
      <c r="M43" s="33" t="n">
        <f>913</f>
        <v>913.0</v>
      </c>
      <c r="N43" s="34" t="s">
        <v>73</v>
      </c>
      <c r="O43" s="33" t="n">
        <f>825</f>
        <v>825.0</v>
      </c>
      <c r="P43" s="34" t="s">
        <v>69</v>
      </c>
      <c r="Q43" s="33" t="n">
        <f>842</f>
        <v>842.0</v>
      </c>
      <c r="R43" s="34" t="s">
        <v>51</v>
      </c>
      <c r="S43" s="35" t="n">
        <f>863.1</f>
        <v>863.1</v>
      </c>
      <c r="T43" s="32" t="n">
        <f>215532414</f>
        <v>2.15532414E8</v>
      </c>
      <c r="U43" s="32" t="n">
        <f>363753</f>
        <v>363753.0</v>
      </c>
      <c r="V43" s="32" t="n">
        <f>186597112403</f>
        <v>1.86597112403E11</v>
      </c>
      <c r="W43" s="32" t="n">
        <f>314474307</f>
        <v>3.14474307E8</v>
      </c>
      <c r="X43" s="36" t="n">
        <f>21</f>
        <v>21.0</v>
      </c>
    </row>
    <row r="44">
      <c r="A44" s="27" t="s">
        <v>42</v>
      </c>
      <c r="B44" s="27" t="s">
        <v>170</v>
      </c>
      <c r="C44" s="27" t="s">
        <v>171</v>
      </c>
      <c r="D44" s="27" t="s">
        <v>172</v>
      </c>
      <c r="E44" s="28" t="s">
        <v>46</v>
      </c>
      <c r="F44" s="29" t="s">
        <v>46</v>
      </c>
      <c r="G44" s="30" t="s">
        <v>46</v>
      </c>
      <c r="H44" s="31"/>
      <c r="I44" s="31" t="s">
        <v>47</v>
      </c>
      <c r="J44" s="32" t="n">
        <v>1.0</v>
      </c>
      <c r="K44" s="33" t="n">
        <f>22830</f>
        <v>22830.0</v>
      </c>
      <c r="L44" s="34" t="s">
        <v>48</v>
      </c>
      <c r="M44" s="33" t="n">
        <f>23000</f>
        <v>23000.0</v>
      </c>
      <c r="N44" s="34" t="s">
        <v>49</v>
      </c>
      <c r="O44" s="33" t="n">
        <f>21230</f>
        <v>21230.0</v>
      </c>
      <c r="P44" s="34" t="s">
        <v>50</v>
      </c>
      <c r="Q44" s="33" t="n">
        <f>22600</f>
        <v>22600.0</v>
      </c>
      <c r="R44" s="34" t="s">
        <v>51</v>
      </c>
      <c r="S44" s="35" t="n">
        <f>22222.86</f>
        <v>22222.86</v>
      </c>
      <c r="T44" s="32" t="n">
        <f>2224</f>
        <v>2224.0</v>
      </c>
      <c r="U44" s="32" t="str">
        <f>"－"</f>
        <v>－</v>
      </c>
      <c r="V44" s="32" t="n">
        <f>49446960</f>
        <v>4.944696E7</v>
      </c>
      <c r="W44" s="32" t="str">
        <f>"－"</f>
        <v>－</v>
      </c>
      <c r="X44" s="36" t="n">
        <f>21</f>
        <v>21.0</v>
      </c>
    </row>
    <row r="45">
      <c r="A45" s="27" t="s">
        <v>42</v>
      </c>
      <c r="B45" s="27" t="s">
        <v>173</v>
      </c>
      <c r="C45" s="27" t="s">
        <v>174</v>
      </c>
      <c r="D45" s="27" t="s">
        <v>175</v>
      </c>
      <c r="E45" s="28" t="s">
        <v>46</v>
      </c>
      <c r="F45" s="29" t="s">
        <v>46</v>
      </c>
      <c r="G45" s="30" t="s">
        <v>46</v>
      </c>
      <c r="H45" s="31"/>
      <c r="I45" s="31" t="s">
        <v>47</v>
      </c>
      <c r="J45" s="32" t="n">
        <v>1.0</v>
      </c>
      <c r="K45" s="33" t="n">
        <f>3630</f>
        <v>3630.0</v>
      </c>
      <c r="L45" s="34" t="s">
        <v>48</v>
      </c>
      <c r="M45" s="33" t="n">
        <f>3675</f>
        <v>3675.0</v>
      </c>
      <c r="N45" s="34" t="s">
        <v>176</v>
      </c>
      <c r="O45" s="33" t="n">
        <f>3580</f>
        <v>3580.0</v>
      </c>
      <c r="P45" s="34" t="s">
        <v>156</v>
      </c>
      <c r="Q45" s="33" t="n">
        <f>3595</f>
        <v>3595.0</v>
      </c>
      <c r="R45" s="34" t="s">
        <v>177</v>
      </c>
      <c r="S45" s="35" t="n">
        <f>3615</f>
        <v>3615.0</v>
      </c>
      <c r="T45" s="32" t="n">
        <f>295</f>
        <v>295.0</v>
      </c>
      <c r="U45" s="32" t="str">
        <f>"－"</f>
        <v>－</v>
      </c>
      <c r="V45" s="32" t="n">
        <f>1068930</f>
        <v>1068930.0</v>
      </c>
      <c r="W45" s="32" t="str">
        <f>"－"</f>
        <v>－</v>
      </c>
      <c r="X45" s="36" t="n">
        <f>7</f>
        <v>7.0</v>
      </c>
    </row>
    <row r="46">
      <c r="A46" s="27" t="s">
        <v>42</v>
      </c>
      <c r="B46" s="27" t="s">
        <v>178</v>
      </c>
      <c r="C46" s="27" t="s">
        <v>179</v>
      </c>
      <c r="D46" s="27" t="s">
        <v>180</v>
      </c>
      <c r="E46" s="28" t="s">
        <v>46</v>
      </c>
      <c r="F46" s="29" t="s">
        <v>46</v>
      </c>
      <c r="G46" s="30" t="s">
        <v>46</v>
      </c>
      <c r="H46" s="31"/>
      <c r="I46" s="31" t="s">
        <v>47</v>
      </c>
      <c r="J46" s="32" t="n">
        <v>1.0</v>
      </c>
      <c r="K46" s="33" t="n">
        <f>1001</f>
        <v>1001.0</v>
      </c>
      <c r="L46" s="34" t="s">
        <v>48</v>
      </c>
      <c r="M46" s="33" t="n">
        <f>1069</f>
        <v>1069.0</v>
      </c>
      <c r="N46" s="34" t="s">
        <v>176</v>
      </c>
      <c r="O46" s="33" t="n">
        <f>989</f>
        <v>989.0</v>
      </c>
      <c r="P46" s="34" t="s">
        <v>48</v>
      </c>
      <c r="Q46" s="33" t="n">
        <f>1002</f>
        <v>1002.0</v>
      </c>
      <c r="R46" s="34" t="s">
        <v>51</v>
      </c>
      <c r="S46" s="35" t="n">
        <f>1027.1</f>
        <v>1027.1</v>
      </c>
      <c r="T46" s="32" t="n">
        <f>19022</f>
        <v>19022.0</v>
      </c>
      <c r="U46" s="32" t="str">
        <f>"－"</f>
        <v>－</v>
      </c>
      <c r="V46" s="32" t="n">
        <f>19489136</f>
        <v>1.9489136E7</v>
      </c>
      <c r="W46" s="32" t="str">
        <f>"－"</f>
        <v>－</v>
      </c>
      <c r="X46" s="36" t="n">
        <f>21</f>
        <v>21.0</v>
      </c>
    </row>
    <row r="47">
      <c r="A47" s="27" t="s">
        <v>42</v>
      </c>
      <c r="B47" s="27" t="s">
        <v>181</v>
      </c>
      <c r="C47" s="27" t="s">
        <v>182</v>
      </c>
      <c r="D47" s="27" t="s">
        <v>183</v>
      </c>
      <c r="E47" s="28" t="s">
        <v>46</v>
      </c>
      <c r="F47" s="29" t="s">
        <v>46</v>
      </c>
      <c r="G47" s="30" t="s">
        <v>46</v>
      </c>
      <c r="H47" s="31"/>
      <c r="I47" s="31" t="s">
        <v>47</v>
      </c>
      <c r="J47" s="32" t="n">
        <v>10.0</v>
      </c>
      <c r="K47" s="33" t="n">
        <f>984</f>
        <v>984.0</v>
      </c>
      <c r="L47" s="34" t="s">
        <v>48</v>
      </c>
      <c r="M47" s="33" t="n">
        <f>1053</f>
        <v>1053.0</v>
      </c>
      <c r="N47" s="34" t="s">
        <v>50</v>
      </c>
      <c r="O47" s="33" t="n">
        <f>975</f>
        <v>975.0</v>
      </c>
      <c r="P47" s="34" t="s">
        <v>73</v>
      </c>
      <c r="Q47" s="33" t="n">
        <f>991</f>
        <v>991.0</v>
      </c>
      <c r="R47" s="34" t="s">
        <v>51</v>
      </c>
      <c r="S47" s="35" t="n">
        <f>1003.8</f>
        <v>1003.8</v>
      </c>
      <c r="T47" s="32" t="n">
        <f>129950</f>
        <v>129950.0</v>
      </c>
      <c r="U47" s="32" t="str">
        <f>"－"</f>
        <v>－</v>
      </c>
      <c r="V47" s="32" t="n">
        <f>131546873</f>
        <v>1.31546873E8</v>
      </c>
      <c r="W47" s="32" t="str">
        <f>"－"</f>
        <v>－</v>
      </c>
      <c r="X47" s="36" t="n">
        <f>21</f>
        <v>21.0</v>
      </c>
    </row>
    <row r="48">
      <c r="A48" s="27" t="s">
        <v>42</v>
      </c>
      <c r="B48" s="27" t="s">
        <v>184</v>
      </c>
      <c r="C48" s="27" t="s">
        <v>185</v>
      </c>
      <c r="D48" s="27" t="s">
        <v>186</v>
      </c>
      <c r="E48" s="28" t="s">
        <v>46</v>
      </c>
      <c r="F48" s="29" t="s">
        <v>46</v>
      </c>
      <c r="G48" s="30" t="s">
        <v>46</v>
      </c>
      <c r="H48" s="31"/>
      <c r="I48" s="31" t="s">
        <v>47</v>
      </c>
      <c r="J48" s="32" t="n">
        <v>1.0</v>
      </c>
      <c r="K48" s="33" t="n">
        <f>402</f>
        <v>402.0</v>
      </c>
      <c r="L48" s="34" t="s">
        <v>48</v>
      </c>
      <c r="M48" s="33" t="n">
        <f>429</f>
        <v>429.0</v>
      </c>
      <c r="N48" s="34" t="s">
        <v>50</v>
      </c>
      <c r="O48" s="33" t="n">
        <f>396</f>
        <v>396.0</v>
      </c>
      <c r="P48" s="34" t="s">
        <v>187</v>
      </c>
      <c r="Q48" s="33" t="n">
        <f>406</f>
        <v>406.0</v>
      </c>
      <c r="R48" s="34" t="s">
        <v>51</v>
      </c>
      <c r="S48" s="35" t="n">
        <f>410.1</f>
        <v>410.1</v>
      </c>
      <c r="T48" s="32" t="n">
        <f>33266</f>
        <v>33266.0</v>
      </c>
      <c r="U48" s="32" t="str">
        <f>"－"</f>
        <v>－</v>
      </c>
      <c r="V48" s="32" t="n">
        <f>13661555</f>
        <v>1.3661555E7</v>
      </c>
      <c r="W48" s="32" t="str">
        <f>"－"</f>
        <v>－</v>
      </c>
      <c r="X48" s="36" t="n">
        <f>21</f>
        <v>21.0</v>
      </c>
    </row>
    <row r="49">
      <c r="A49" s="27" t="s">
        <v>42</v>
      </c>
      <c r="B49" s="27" t="s">
        <v>188</v>
      </c>
      <c r="C49" s="27" t="s">
        <v>189</v>
      </c>
      <c r="D49" s="27" t="s">
        <v>190</v>
      </c>
      <c r="E49" s="28" t="s">
        <v>46</v>
      </c>
      <c r="F49" s="29" t="s">
        <v>46</v>
      </c>
      <c r="G49" s="30" t="s">
        <v>46</v>
      </c>
      <c r="H49" s="31"/>
      <c r="I49" s="31" t="s">
        <v>47</v>
      </c>
      <c r="J49" s="32" t="n">
        <v>10.0</v>
      </c>
      <c r="K49" s="33" t="n">
        <f>2434</f>
        <v>2434.0</v>
      </c>
      <c r="L49" s="34" t="s">
        <v>48</v>
      </c>
      <c r="M49" s="33" t="n">
        <f>2449.5</f>
        <v>2449.5</v>
      </c>
      <c r="N49" s="34" t="s">
        <v>51</v>
      </c>
      <c r="O49" s="33" t="n">
        <f>2348</f>
        <v>2348.0</v>
      </c>
      <c r="P49" s="34" t="s">
        <v>50</v>
      </c>
      <c r="Q49" s="33" t="n">
        <f>2421.5</f>
        <v>2421.5</v>
      </c>
      <c r="R49" s="34" t="s">
        <v>51</v>
      </c>
      <c r="S49" s="35" t="n">
        <f>2404.48</f>
        <v>2404.48</v>
      </c>
      <c r="T49" s="32" t="n">
        <f>693660</f>
        <v>693660.0</v>
      </c>
      <c r="U49" s="32" t="n">
        <f>30100</f>
        <v>30100.0</v>
      </c>
      <c r="V49" s="32" t="n">
        <f>1659819975</f>
        <v>1.659819975E9</v>
      </c>
      <c r="W49" s="32" t="n">
        <f>73867680</f>
        <v>7.386768E7</v>
      </c>
      <c r="X49" s="36" t="n">
        <f>21</f>
        <v>21.0</v>
      </c>
    </row>
    <row r="50">
      <c r="A50" s="27" t="s">
        <v>42</v>
      </c>
      <c r="B50" s="27" t="s">
        <v>191</v>
      </c>
      <c r="C50" s="27" t="s">
        <v>192</v>
      </c>
      <c r="D50" s="27" t="s">
        <v>193</v>
      </c>
      <c r="E50" s="28" t="s">
        <v>46</v>
      </c>
      <c r="F50" s="29" t="s">
        <v>46</v>
      </c>
      <c r="G50" s="30" t="s">
        <v>46</v>
      </c>
      <c r="H50" s="31"/>
      <c r="I50" s="31" t="s">
        <v>47</v>
      </c>
      <c r="J50" s="32" t="n">
        <v>1.0</v>
      </c>
      <c r="K50" s="33" t="n">
        <f>21910</f>
        <v>21910.0</v>
      </c>
      <c r="L50" s="34" t="s">
        <v>48</v>
      </c>
      <c r="M50" s="33" t="n">
        <f>21910</f>
        <v>21910.0</v>
      </c>
      <c r="N50" s="34" t="s">
        <v>48</v>
      </c>
      <c r="O50" s="33" t="n">
        <f>21080</f>
        <v>21080.0</v>
      </c>
      <c r="P50" s="34" t="s">
        <v>50</v>
      </c>
      <c r="Q50" s="33" t="n">
        <f>21690</f>
        <v>21690.0</v>
      </c>
      <c r="R50" s="34" t="s">
        <v>51</v>
      </c>
      <c r="S50" s="35" t="n">
        <f>21565.95</f>
        <v>21565.95</v>
      </c>
      <c r="T50" s="32" t="n">
        <f>30719</f>
        <v>30719.0</v>
      </c>
      <c r="U50" s="32" t="n">
        <f>6041</f>
        <v>6041.0</v>
      </c>
      <c r="V50" s="32" t="n">
        <f>658700332</f>
        <v>6.58700332E8</v>
      </c>
      <c r="W50" s="32" t="n">
        <f>130067562</f>
        <v>1.30067562E8</v>
      </c>
      <c r="X50" s="36" t="n">
        <f>21</f>
        <v>21.0</v>
      </c>
    </row>
    <row r="51">
      <c r="A51" s="27" t="s">
        <v>42</v>
      </c>
      <c r="B51" s="27" t="s">
        <v>194</v>
      </c>
      <c r="C51" s="27" t="s">
        <v>195</v>
      </c>
      <c r="D51" s="27" t="s">
        <v>196</v>
      </c>
      <c r="E51" s="28" t="s">
        <v>46</v>
      </c>
      <c r="F51" s="29" t="s">
        <v>46</v>
      </c>
      <c r="G51" s="30" t="s">
        <v>46</v>
      </c>
      <c r="H51" s="31"/>
      <c r="I51" s="31" t="s">
        <v>47</v>
      </c>
      <c r="J51" s="32" t="n">
        <v>1.0</v>
      </c>
      <c r="K51" s="33" t="n">
        <f>2466</f>
        <v>2466.0</v>
      </c>
      <c r="L51" s="34" t="s">
        <v>48</v>
      </c>
      <c r="M51" s="33" t="n">
        <f>2467</f>
        <v>2467.0</v>
      </c>
      <c r="N51" s="34" t="s">
        <v>49</v>
      </c>
      <c r="O51" s="33" t="n">
        <f>2370</f>
        <v>2370.0</v>
      </c>
      <c r="P51" s="34" t="s">
        <v>50</v>
      </c>
      <c r="Q51" s="33" t="n">
        <f>2447</f>
        <v>2447.0</v>
      </c>
      <c r="R51" s="34" t="s">
        <v>51</v>
      </c>
      <c r="S51" s="35" t="n">
        <f>2424.86</f>
        <v>2424.86</v>
      </c>
      <c r="T51" s="32" t="n">
        <f>8922424</f>
        <v>8922424.0</v>
      </c>
      <c r="U51" s="32" t="n">
        <f>4354948</f>
        <v>4354948.0</v>
      </c>
      <c r="V51" s="32" t="n">
        <f>21584531456</f>
        <v>2.1584531456E10</v>
      </c>
      <c r="W51" s="32" t="n">
        <f>10531344599</f>
        <v>1.0531344599E10</v>
      </c>
      <c r="X51" s="36" t="n">
        <f>21</f>
        <v>21.0</v>
      </c>
    </row>
    <row r="52">
      <c r="A52" s="27" t="s">
        <v>42</v>
      </c>
      <c r="B52" s="27" t="s">
        <v>197</v>
      </c>
      <c r="C52" s="27" t="s">
        <v>198</v>
      </c>
      <c r="D52" s="27" t="s">
        <v>199</v>
      </c>
      <c r="E52" s="28" t="s">
        <v>46</v>
      </c>
      <c r="F52" s="29" t="s">
        <v>46</v>
      </c>
      <c r="G52" s="30" t="s">
        <v>46</v>
      </c>
      <c r="H52" s="31"/>
      <c r="I52" s="31" t="s">
        <v>47</v>
      </c>
      <c r="J52" s="32" t="n">
        <v>1.0</v>
      </c>
      <c r="K52" s="33" t="n">
        <f>1893</f>
        <v>1893.0</v>
      </c>
      <c r="L52" s="34" t="s">
        <v>48</v>
      </c>
      <c r="M52" s="33" t="n">
        <f>1893</f>
        <v>1893.0</v>
      </c>
      <c r="N52" s="34" t="s">
        <v>48</v>
      </c>
      <c r="O52" s="33" t="n">
        <f>1816</f>
        <v>1816.0</v>
      </c>
      <c r="P52" s="34" t="s">
        <v>103</v>
      </c>
      <c r="Q52" s="33" t="n">
        <f>1869</f>
        <v>1869.0</v>
      </c>
      <c r="R52" s="34" t="s">
        <v>51</v>
      </c>
      <c r="S52" s="35" t="n">
        <f>1856.71</f>
        <v>1856.71</v>
      </c>
      <c r="T52" s="32" t="n">
        <f>3419863</f>
        <v>3419863.0</v>
      </c>
      <c r="U52" s="32" t="n">
        <f>799374</f>
        <v>799374.0</v>
      </c>
      <c r="V52" s="32" t="n">
        <f>6353684741</f>
        <v>6.353684741E9</v>
      </c>
      <c r="W52" s="32" t="n">
        <f>1489499024</f>
        <v>1.489499024E9</v>
      </c>
      <c r="X52" s="36" t="n">
        <f>21</f>
        <v>21.0</v>
      </c>
    </row>
    <row r="53">
      <c r="A53" s="27" t="s">
        <v>42</v>
      </c>
      <c r="B53" s="27" t="s">
        <v>200</v>
      </c>
      <c r="C53" s="27" t="s">
        <v>201</v>
      </c>
      <c r="D53" s="27" t="s">
        <v>202</v>
      </c>
      <c r="E53" s="28" t="s">
        <v>46</v>
      </c>
      <c r="F53" s="29" t="s">
        <v>46</v>
      </c>
      <c r="G53" s="30" t="s">
        <v>46</v>
      </c>
      <c r="H53" s="31"/>
      <c r="I53" s="31" t="s">
        <v>47</v>
      </c>
      <c r="J53" s="32" t="n">
        <v>1.0</v>
      </c>
      <c r="K53" s="33" t="n">
        <f>2320</f>
        <v>2320.0</v>
      </c>
      <c r="L53" s="34" t="s">
        <v>48</v>
      </c>
      <c r="M53" s="33" t="n">
        <f>2341</f>
        <v>2341.0</v>
      </c>
      <c r="N53" s="34" t="s">
        <v>203</v>
      </c>
      <c r="O53" s="33" t="n">
        <f>2237</f>
        <v>2237.0</v>
      </c>
      <c r="P53" s="34" t="s">
        <v>50</v>
      </c>
      <c r="Q53" s="33" t="n">
        <f>2288</f>
        <v>2288.0</v>
      </c>
      <c r="R53" s="34" t="s">
        <v>51</v>
      </c>
      <c r="S53" s="35" t="n">
        <f>2290.38</f>
        <v>2290.38</v>
      </c>
      <c r="T53" s="32" t="n">
        <f>23847</f>
        <v>23847.0</v>
      </c>
      <c r="U53" s="32" t="n">
        <f>7093</f>
        <v>7093.0</v>
      </c>
      <c r="V53" s="32" t="n">
        <f>54638141</f>
        <v>5.4638141E7</v>
      </c>
      <c r="W53" s="32" t="n">
        <f>16245538</f>
        <v>1.6245538E7</v>
      </c>
      <c r="X53" s="36" t="n">
        <f>21</f>
        <v>21.0</v>
      </c>
    </row>
    <row r="54">
      <c r="A54" s="27" t="s">
        <v>42</v>
      </c>
      <c r="B54" s="27" t="s">
        <v>204</v>
      </c>
      <c r="C54" s="27" t="s">
        <v>205</v>
      </c>
      <c r="D54" s="27" t="s">
        <v>206</v>
      </c>
      <c r="E54" s="28" t="s">
        <v>46</v>
      </c>
      <c r="F54" s="29" t="s">
        <v>46</v>
      </c>
      <c r="G54" s="30" t="s">
        <v>46</v>
      </c>
      <c r="H54" s="31"/>
      <c r="I54" s="31" t="s">
        <v>47</v>
      </c>
      <c r="J54" s="32" t="n">
        <v>1.0</v>
      </c>
      <c r="K54" s="33" t="n">
        <f>3195</f>
        <v>3195.0</v>
      </c>
      <c r="L54" s="34" t="s">
        <v>48</v>
      </c>
      <c r="M54" s="33" t="n">
        <f>3205</f>
        <v>3205.0</v>
      </c>
      <c r="N54" s="34" t="s">
        <v>49</v>
      </c>
      <c r="O54" s="33" t="n">
        <f>3035</f>
        <v>3035.0</v>
      </c>
      <c r="P54" s="34" t="s">
        <v>50</v>
      </c>
      <c r="Q54" s="33" t="n">
        <f>3150</f>
        <v>3150.0</v>
      </c>
      <c r="R54" s="34" t="s">
        <v>51</v>
      </c>
      <c r="S54" s="35" t="n">
        <f>3130.71</f>
        <v>3130.71</v>
      </c>
      <c r="T54" s="32" t="n">
        <f>2634564</f>
        <v>2634564.0</v>
      </c>
      <c r="U54" s="32" t="n">
        <f>1981003</f>
        <v>1981003.0</v>
      </c>
      <c r="V54" s="32" t="n">
        <f>8255175245</f>
        <v>8.255175245E9</v>
      </c>
      <c r="W54" s="32" t="n">
        <f>6208609035</f>
        <v>6.208609035E9</v>
      </c>
      <c r="X54" s="36" t="n">
        <f>21</f>
        <v>21.0</v>
      </c>
    </row>
    <row r="55">
      <c r="A55" s="27" t="s">
        <v>42</v>
      </c>
      <c r="B55" s="27" t="s">
        <v>207</v>
      </c>
      <c r="C55" s="27" t="s">
        <v>208</v>
      </c>
      <c r="D55" s="27" t="s">
        <v>209</v>
      </c>
      <c r="E55" s="28" t="s">
        <v>46</v>
      </c>
      <c r="F55" s="29" t="s">
        <v>46</v>
      </c>
      <c r="G55" s="30" t="s">
        <v>46</v>
      </c>
      <c r="H55" s="31"/>
      <c r="I55" s="31" t="s">
        <v>47</v>
      </c>
      <c r="J55" s="32" t="n">
        <v>1.0</v>
      </c>
      <c r="K55" s="33" t="n">
        <f>30100</f>
        <v>30100.0</v>
      </c>
      <c r="L55" s="34" t="s">
        <v>89</v>
      </c>
      <c r="M55" s="33" t="n">
        <f>30100</f>
        <v>30100.0</v>
      </c>
      <c r="N55" s="34" t="s">
        <v>89</v>
      </c>
      <c r="O55" s="33" t="n">
        <f>29620</f>
        <v>29620.0</v>
      </c>
      <c r="P55" s="34" t="s">
        <v>187</v>
      </c>
      <c r="Q55" s="33" t="n">
        <f>29630</f>
        <v>29630.0</v>
      </c>
      <c r="R55" s="34" t="s">
        <v>68</v>
      </c>
      <c r="S55" s="35" t="n">
        <f>29783.33</f>
        <v>29783.33</v>
      </c>
      <c r="T55" s="32" t="n">
        <f>304</f>
        <v>304.0</v>
      </c>
      <c r="U55" s="32" t="str">
        <f>"－"</f>
        <v>－</v>
      </c>
      <c r="V55" s="32" t="n">
        <f>9008740</f>
        <v>9008740.0</v>
      </c>
      <c r="W55" s="32" t="str">
        <f>"－"</f>
        <v>－</v>
      </c>
      <c r="X55" s="36" t="n">
        <f>3</f>
        <v>3.0</v>
      </c>
    </row>
    <row r="56">
      <c r="A56" s="27" t="s">
        <v>42</v>
      </c>
      <c r="B56" s="27" t="s">
        <v>210</v>
      </c>
      <c r="C56" s="27" t="s">
        <v>211</v>
      </c>
      <c r="D56" s="27" t="s">
        <v>212</v>
      </c>
      <c r="E56" s="28" t="s">
        <v>46</v>
      </c>
      <c r="F56" s="29" t="s">
        <v>46</v>
      </c>
      <c r="G56" s="30" t="s">
        <v>46</v>
      </c>
      <c r="H56" s="31"/>
      <c r="I56" s="31" t="s">
        <v>47</v>
      </c>
      <c r="J56" s="32" t="n">
        <v>1.0</v>
      </c>
      <c r="K56" s="33" t="n">
        <f>23810</f>
        <v>23810.0</v>
      </c>
      <c r="L56" s="34" t="s">
        <v>89</v>
      </c>
      <c r="M56" s="33" t="n">
        <f>23900</f>
        <v>23900.0</v>
      </c>
      <c r="N56" s="34" t="s">
        <v>156</v>
      </c>
      <c r="O56" s="33" t="n">
        <f>23010</f>
        <v>23010.0</v>
      </c>
      <c r="P56" s="34" t="s">
        <v>61</v>
      </c>
      <c r="Q56" s="33" t="n">
        <f>23640</f>
        <v>23640.0</v>
      </c>
      <c r="R56" s="34" t="s">
        <v>51</v>
      </c>
      <c r="S56" s="35" t="n">
        <f>23447.73</f>
        <v>23447.73</v>
      </c>
      <c r="T56" s="32" t="n">
        <f>309</f>
        <v>309.0</v>
      </c>
      <c r="U56" s="32" t="str">
        <f>"－"</f>
        <v>－</v>
      </c>
      <c r="V56" s="32" t="n">
        <f>7265230</f>
        <v>7265230.0</v>
      </c>
      <c r="W56" s="32" t="str">
        <f>"－"</f>
        <v>－</v>
      </c>
      <c r="X56" s="36" t="n">
        <f>11</f>
        <v>11.0</v>
      </c>
    </row>
    <row r="57">
      <c r="A57" s="27" t="s">
        <v>42</v>
      </c>
      <c r="B57" s="27" t="s">
        <v>213</v>
      </c>
      <c r="C57" s="27" t="s">
        <v>214</v>
      </c>
      <c r="D57" s="27" t="s">
        <v>215</v>
      </c>
      <c r="E57" s="28" t="s">
        <v>46</v>
      </c>
      <c r="F57" s="29" t="s">
        <v>46</v>
      </c>
      <c r="G57" s="30" t="s">
        <v>46</v>
      </c>
      <c r="H57" s="31"/>
      <c r="I57" s="31" t="s">
        <v>47</v>
      </c>
      <c r="J57" s="32" t="n">
        <v>1.0</v>
      </c>
      <c r="K57" s="33" t="n">
        <f>2468</f>
        <v>2468.0</v>
      </c>
      <c r="L57" s="34" t="s">
        <v>48</v>
      </c>
      <c r="M57" s="33" t="n">
        <f>2500</f>
        <v>2500.0</v>
      </c>
      <c r="N57" s="34" t="s">
        <v>156</v>
      </c>
      <c r="O57" s="33" t="n">
        <f>2388</f>
        <v>2388.0</v>
      </c>
      <c r="P57" s="34" t="s">
        <v>50</v>
      </c>
      <c r="Q57" s="33" t="n">
        <f>2422</f>
        <v>2422.0</v>
      </c>
      <c r="R57" s="34" t="s">
        <v>51</v>
      </c>
      <c r="S57" s="35" t="n">
        <f>2428.55</f>
        <v>2428.55</v>
      </c>
      <c r="T57" s="32" t="n">
        <f>1361</f>
        <v>1361.0</v>
      </c>
      <c r="U57" s="32" t="str">
        <f>"－"</f>
        <v>－</v>
      </c>
      <c r="V57" s="32" t="n">
        <f>3297130</f>
        <v>3297130.0</v>
      </c>
      <c r="W57" s="32" t="str">
        <f>"－"</f>
        <v>－</v>
      </c>
      <c r="X57" s="36" t="n">
        <f>20</f>
        <v>20.0</v>
      </c>
    </row>
    <row r="58">
      <c r="A58" s="27" t="s">
        <v>42</v>
      </c>
      <c r="B58" s="27" t="s">
        <v>216</v>
      </c>
      <c r="C58" s="27" t="s">
        <v>217</v>
      </c>
      <c r="D58" s="27" t="s">
        <v>218</v>
      </c>
      <c r="E58" s="28" t="s">
        <v>46</v>
      </c>
      <c r="F58" s="29" t="s">
        <v>46</v>
      </c>
      <c r="G58" s="30" t="s">
        <v>46</v>
      </c>
      <c r="H58" s="31"/>
      <c r="I58" s="31" t="s">
        <v>47</v>
      </c>
      <c r="J58" s="32" t="n">
        <v>1.0</v>
      </c>
      <c r="K58" s="33" t="n">
        <f>1758</f>
        <v>1758.0</v>
      </c>
      <c r="L58" s="34" t="s">
        <v>48</v>
      </c>
      <c r="M58" s="33" t="n">
        <f>1823</f>
        <v>1823.0</v>
      </c>
      <c r="N58" s="34" t="s">
        <v>177</v>
      </c>
      <c r="O58" s="33" t="n">
        <f>1755</f>
        <v>1755.0</v>
      </c>
      <c r="P58" s="34" t="s">
        <v>48</v>
      </c>
      <c r="Q58" s="33" t="n">
        <f>1817</f>
        <v>1817.0</v>
      </c>
      <c r="R58" s="34" t="s">
        <v>51</v>
      </c>
      <c r="S58" s="35" t="n">
        <f>1794.1</f>
        <v>1794.1</v>
      </c>
      <c r="T58" s="32" t="n">
        <f>7334819</f>
        <v>7334819.0</v>
      </c>
      <c r="U58" s="32" t="n">
        <f>3020813</f>
        <v>3020813.0</v>
      </c>
      <c r="V58" s="32" t="n">
        <f>13175999695</f>
        <v>1.3175999695E10</v>
      </c>
      <c r="W58" s="32" t="n">
        <f>5438867068</f>
        <v>5.438867068E9</v>
      </c>
      <c r="X58" s="36" t="n">
        <f>21</f>
        <v>21.0</v>
      </c>
    </row>
    <row r="59">
      <c r="A59" s="27" t="s">
        <v>42</v>
      </c>
      <c r="B59" s="27" t="s">
        <v>219</v>
      </c>
      <c r="C59" s="27" t="s">
        <v>220</v>
      </c>
      <c r="D59" s="27" t="s">
        <v>221</v>
      </c>
      <c r="E59" s="28" t="s">
        <v>46</v>
      </c>
      <c r="F59" s="29" t="s">
        <v>46</v>
      </c>
      <c r="G59" s="30" t="s">
        <v>46</v>
      </c>
      <c r="H59" s="31"/>
      <c r="I59" s="31" t="s">
        <v>47</v>
      </c>
      <c r="J59" s="32" t="n">
        <v>1.0</v>
      </c>
      <c r="K59" s="33" t="n">
        <f>2511</f>
        <v>2511.0</v>
      </c>
      <c r="L59" s="34" t="s">
        <v>48</v>
      </c>
      <c r="M59" s="33" t="n">
        <f>2511</f>
        <v>2511.0</v>
      </c>
      <c r="N59" s="34" t="s">
        <v>48</v>
      </c>
      <c r="O59" s="33" t="n">
        <f>2367</f>
        <v>2367.0</v>
      </c>
      <c r="P59" s="34" t="s">
        <v>50</v>
      </c>
      <c r="Q59" s="33" t="n">
        <f>2426</f>
        <v>2426.0</v>
      </c>
      <c r="R59" s="34" t="s">
        <v>51</v>
      </c>
      <c r="S59" s="35" t="n">
        <f>2421.9</f>
        <v>2421.9</v>
      </c>
      <c r="T59" s="32" t="n">
        <f>720</f>
        <v>720.0</v>
      </c>
      <c r="U59" s="32" t="str">
        <f>"－"</f>
        <v>－</v>
      </c>
      <c r="V59" s="32" t="n">
        <f>1739081</f>
        <v>1739081.0</v>
      </c>
      <c r="W59" s="32" t="str">
        <f>"－"</f>
        <v>－</v>
      </c>
      <c r="X59" s="36" t="n">
        <f>20</f>
        <v>20.0</v>
      </c>
    </row>
    <row r="60">
      <c r="A60" s="27" t="s">
        <v>42</v>
      </c>
      <c r="B60" s="27" t="s">
        <v>222</v>
      </c>
      <c r="C60" s="27" t="s">
        <v>223</v>
      </c>
      <c r="D60" s="27" t="s">
        <v>224</v>
      </c>
      <c r="E60" s="28" t="s">
        <v>46</v>
      </c>
      <c r="F60" s="29" t="s">
        <v>46</v>
      </c>
      <c r="G60" s="30" t="s">
        <v>46</v>
      </c>
      <c r="H60" s="31"/>
      <c r="I60" s="31" t="s">
        <v>47</v>
      </c>
      <c r="J60" s="32" t="n">
        <v>10.0</v>
      </c>
      <c r="K60" s="33" t="n">
        <f>2426</f>
        <v>2426.0</v>
      </c>
      <c r="L60" s="34" t="s">
        <v>48</v>
      </c>
      <c r="M60" s="33" t="n">
        <f>2455.5</f>
        <v>2455.5</v>
      </c>
      <c r="N60" s="34" t="s">
        <v>90</v>
      </c>
      <c r="O60" s="33" t="n">
        <f>2344</f>
        <v>2344.0</v>
      </c>
      <c r="P60" s="34" t="s">
        <v>156</v>
      </c>
      <c r="Q60" s="33" t="n">
        <f>2391</f>
        <v>2391.0</v>
      </c>
      <c r="R60" s="34" t="s">
        <v>51</v>
      </c>
      <c r="S60" s="35" t="n">
        <f>2389.9</f>
        <v>2389.9</v>
      </c>
      <c r="T60" s="32" t="n">
        <f>190300</f>
        <v>190300.0</v>
      </c>
      <c r="U60" s="32" t="str">
        <f>"－"</f>
        <v>－</v>
      </c>
      <c r="V60" s="32" t="n">
        <f>455260085</f>
        <v>4.55260085E8</v>
      </c>
      <c r="W60" s="32" t="str">
        <f>"－"</f>
        <v>－</v>
      </c>
      <c r="X60" s="36" t="n">
        <f>21</f>
        <v>21.0</v>
      </c>
    </row>
    <row r="61">
      <c r="A61" s="27" t="s">
        <v>42</v>
      </c>
      <c r="B61" s="27" t="s">
        <v>225</v>
      </c>
      <c r="C61" s="27" t="s">
        <v>226</v>
      </c>
      <c r="D61" s="27" t="s">
        <v>227</v>
      </c>
      <c r="E61" s="28" t="s">
        <v>46</v>
      </c>
      <c r="F61" s="29" t="s">
        <v>46</v>
      </c>
      <c r="G61" s="30" t="s">
        <v>46</v>
      </c>
      <c r="H61" s="31"/>
      <c r="I61" s="31" t="s">
        <v>47</v>
      </c>
      <c r="J61" s="32" t="n">
        <v>1.0</v>
      </c>
      <c r="K61" s="33" t="n">
        <f>35970</f>
        <v>35970.0</v>
      </c>
      <c r="L61" s="34" t="s">
        <v>187</v>
      </c>
      <c r="M61" s="33" t="n">
        <f>37290</f>
        <v>37290.0</v>
      </c>
      <c r="N61" s="34" t="s">
        <v>176</v>
      </c>
      <c r="O61" s="33" t="n">
        <f>35840</f>
        <v>35840.0</v>
      </c>
      <c r="P61" s="34" t="s">
        <v>176</v>
      </c>
      <c r="Q61" s="33" t="n">
        <f>36500</f>
        <v>36500.0</v>
      </c>
      <c r="R61" s="34" t="s">
        <v>51</v>
      </c>
      <c r="S61" s="35" t="n">
        <f>36227.5</f>
        <v>36227.5</v>
      </c>
      <c r="T61" s="32" t="n">
        <f>22</f>
        <v>22.0</v>
      </c>
      <c r="U61" s="32" t="str">
        <f>"－"</f>
        <v>－</v>
      </c>
      <c r="V61" s="32" t="n">
        <f>798950</f>
        <v>798950.0</v>
      </c>
      <c r="W61" s="32" t="str">
        <f>"－"</f>
        <v>－</v>
      </c>
      <c r="X61" s="36" t="n">
        <f>4</f>
        <v>4.0</v>
      </c>
    </row>
    <row r="62">
      <c r="A62" s="27" t="s">
        <v>42</v>
      </c>
      <c r="B62" s="27" t="s">
        <v>228</v>
      </c>
      <c r="C62" s="27" t="s">
        <v>229</v>
      </c>
      <c r="D62" s="27" t="s">
        <v>230</v>
      </c>
      <c r="E62" s="28" t="s">
        <v>46</v>
      </c>
      <c r="F62" s="29" t="s">
        <v>46</v>
      </c>
      <c r="G62" s="30" t="s">
        <v>46</v>
      </c>
      <c r="H62" s="31"/>
      <c r="I62" s="31" t="s">
        <v>47</v>
      </c>
      <c r="J62" s="32" t="n">
        <v>1.0</v>
      </c>
      <c r="K62" s="33" t="n">
        <f>22975</f>
        <v>22975.0</v>
      </c>
      <c r="L62" s="34" t="s">
        <v>48</v>
      </c>
      <c r="M62" s="33" t="n">
        <f>23200</f>
        <v>23200.0</v>
      </c>
      <c r="N62" s="34" t="s">
        <v>231</v>
      </c>
      <c r="O62" s="33" t="n">
        <f>22455</f>
        <v>22455.0</v>
      </c>
      <c r="P62" s="34" t="s">
        <v>73</v>
      </c>
      <c r="Q62" s="33" t="n">
        <f>22805</f>
        <v>22805.0</v>
      </c>
      <c r="R62" s="34" t="s">
        <v>51</v>
      </c>
      <c r="S62" s="35" t="n">
        <f>22874.52</f>
        <v>22874.52</v>
      </c>
      <c r="T62" s="32" t="n">
        <f>741256</f>
        <v>741256.0</v>
      </c>
      <c r="U62" s="32" t="n">
        <f>676200</f>
        <v>676200.0</v>
      </c>
      <c r="V62" s="32" t="n">
        <f>16987249630</f>
        <v>1.698724963E10</v>
      </c>
      <c r="W62" s="32" t="n">
        <f>15495489260</f>
        <v>1.549548926E10</v>
      </c>
      <c r="X62" s="36" t="n">
        <f>21</f>
        <v>21.0</v>
      </c>
    </row>
    <row r="63">
      <c r="A63" s="27" t="s">
        <v>42</v>
      </c>
      <c r="B63" s="27" t="s">
        <v>232</v>
      </c>
      <c r="C63" s="27" t="s">
        <v>233</v>
      </c>
      <c r="D63" s="27" t="s">
        <v>234</v>
      </c>
      <c r="E63" s="28" t="s">
        <v>46</v>
      </c>
      <c r="F63" s="29" t="s">
        <v>46</v>
      </c>
      <c r="G63" s="30" t="s">
        <v>46</v>
      </c>
      <c r="H63" s="31"/>
      <c r="I63" s="31" t="s">
        <v>47</v>
      </c>
      <c r="J63" s="32" t="n">
        <v>1.0</v>
      </c>
      <c r="K63" s="33" t="n">
        <f>13565</f>
        <v>13565.0</v>
      </c>
      <c r="L63" s="34" t="s">
        <v>48</v>
      </c>
      <c r="M63" s="33" t="n">
        <f>14100</f>
        <v>14100.0</v>
      </c>
      <c r="N63" s="34" t="s">
        <v>116</v>
      </c>
      <c r="O63" s="33" t="n">
        <f>13525</f>
        <v>13525.0</v>
      </c>
      <c r="P63" s="34" t="s">
        <v>48</v>
      </c>
      <c r="Q63" s="33" t="n">
        <f>13995</f>
        <v>13995.0</v>
      </c>
      <c r="R63" s="34" t="s">
        <v>51</v>
      </c>
      <c r="S63" s="35" t="n">
        <f>13825.95</f>
        <v>13825.95</v>
      </c>
      <c r="T63" s="32" t="n">
        <f>876994</f>
        <v>876994.0</v>
      </c>
      <c r="U63" s="32" t="n">
        <f>524193</f>
        <v>524193.0</v>
      </c>
      <c r="V63" s="32" t="n">
        <f>12139489130</f>
        <v>1.213948913E10</v>
      </c>
      <c r="W63" s="32" t="n">
        <f>7272857110</f>
        <v>7.27285711E9</v>
      </c>
      <c r="X63" s="36" t="n">
        <f>21</f>
        <v>21.0</v>
      </c>
    </row>
    <row r="64">
      <c r="A64" s="27" t="s">
        <v>42</v>
      </c>
      <c r="B64" s="27" t="s">
        <v>235</v>
      </c>
      <c r="C64" s="27" t="s">
        <v>236</v>
      </c>
      <c r="D64" s="27" t="s">
        <v>237</v>
      </c>
      <c r="E64" s="28" t="s">
        <v>46</v>
      </c>
      <c r="F64" s="29" t="s">
        <v>46</v>
      </c>
      <c r="G64" s="30" t="s">
        <v>46</v>
      </c>
      <c r="H64" s="31"/>
      <c r="I64" s="31" t="s">
        <v>47</v>
      </c>
      <c r="J64" s="32" t="n">
        <v>10.0</v>
      </c>
      <c r="K64" s="33" t="n">
        <f>1887</f>
        <v>1887.0</v>
      </c>
      <c r="L64" s="34" t="s">
        <v>48</v>
      </c>
      <c r="M64" s="33" t="n">
        <f>1892</f>
        <v>1892.0</v>
      </c>
      <c r="N64" s="34" t="s">
        <v>48</v>
      </c>
      <c r="O64" s="33" t="n">
        <f>1812.5</f>
        <v>1812.5</v>
      </c>
      <c r="P64" s="34" t="s">
        <v>103</v>
      </c>
      <c r="Q64" s="33" t="n">
        <f>1866.5</f>
        <v>1866.5</v>
      </c>
      <c r="R64" s="34" t="s">
        <v>51</v>
      </c>
      <c r="S64" s="35" t="n">
        <f>1854.38</f>
        <v>1854.38</v>
      </c>
      <c r="T64" s="32" t="n">
        <f>3453110</f>
        <v>3453110.0</v>
      </c>
      <c r="U64" s="32" t="n">
        <f>900080</f>
        <v>900080.0</v>
      </c>
      <c r="V64" s="32" t="n">
        <f>6390036988</f>
        <v>6.390036988E9</v>
      </c>
      <c r="W64" s="32" t="n">
        <f>1669144398</f>
        <v>1.669144398E9</v>
      </c>
      <c r="X64" s="36" t="n">
        <f>21</f>
        <v>21.0</v>
      </c>
    </row>
    <row r="65">
      <c r="A65" s="27" t="s">
        <v>42</v>
      </c>
      <c r="B65" s="27" t="s">
        <v>238</v>
      </c>
      <c r="C65" s="27" t="s">
        <v>239</v>
      </c>
      <c r="D65" s="27" t="s">
        <v>240</v>
      </c>
      <c r="E65" s="28" t="s">
        <v>46</v>
      </c>
      <c r="F65" s="29" t="s">
        <v>46</v>
      </c>
      <c r="G65" s="30" t="s">
        <v>46</v>
      </c>
      <c r="H65" s="31"/>
      <c r="I65" s="31" t="s">
        <v>47</v>
      </c>
      <c r="J65" s="32" t="n">
        <v>1.0</v>
      </c>
      <c r="K65" s="33" t="n">
        <f>58550</f>
        <v>58550.0</v>
      </c>
      <c r="L65" s="34" t="s">
        <v>48</v>
      </c>
      <c r="M65" s="33" t="n">
        <f>58770</f>
        <v>58770.0</v>
      </c>
      <c r="N65" s="34" t="s">
        <v>48</v>
      </c>
      <c r="O65" s="33" t="n">
        <f>55700</f>
        <v>55700.0</v>
      </c>
      <c r="P65" s="34" t="s">
        <v>50</v>
      </c>
      <c r="Q65" s="33" t="n">
        <f>57840</f>
        <v>57840.0</v>
      </c>
      <c r="R65" s="34" t="s">
        <v>51</v>
      </c>
      <c r="S65" s="35" t="n">
        <f>57533.81</f>
        <v>57533.81</v>
      </c>
      <c r="T65" s="32" t="n">
        <f>599469</f>
        <v>599469.0</v>
      </c>
      <c r="U65" s="32" t="n">
        <f>28836</f>
        <v>28836.0</v>
      </c>
      <c r="V65" s="32" t="n">
        <f>34410116388</f>
        <v>3.4410116388E10</v>
      </c>
      <c r="W65" s="32" t="n">
        <f>1648325618</f>
        <v>1.648325618E9</v>
      </c>
      <c r="X65" s="36" t="n">
        <f>21</f>
        <v>21.0</v>
      </c>
    </row>
    <row r="66">
      <c r="A66" s="27" t="s">
        <v>42</v>
      </c>
      <c r="B66" s="27" t="s">
        <v>241</v>
      </c>
      <c r="C66" s="27" t="s">
        <v>242</v>
      </c>
      <c r="D66" s="27" t="s">
        <v>243</v>
      </c>
      <c r="E66" s="28" t="s">
        <v>46</v>
      </c>
      <c r="F66" s="29" t="s">
        <v>46</v>
      </c>
      <c r="G66" s="30" t="s">
        <v>46</v>
      </c>
      <c r="H66" s="31"/>
      <c r="I66" s="31" t="s">
        <v>47</v>
      </c>
      <c r="J66" s="32" t="n">
        <v>10.0</v>
      </c>
      <c r="K66" s="33" t="n">
        <f>7740</f>
        <v>7740.0</v>
      </c>
      <c r="L66" s="34" t="s">
        <v>48</v>
      </c>
      <c r="M66" s="33" t="n">
        <f>7884</f>
        <v>7884.0</v>
      </c>
      <c r="N66" s="34" t="s">
        <v>48</v>
      </c>
      <c r="O66" s="33" t="n">
        <f>7740</f>
        <v>7740.0</v>
      </c>
      <c r="P66" s="34" t="s">
        <v>48</v>
      </c>
      <c r="Q66" s="33" t="n">
        <f>7860</f>
        <v>7860.0</v>
      </c>
      <c r="R66" s="34" t="s">
        <v>156</v>
      </c>
      <c r="S66" s="35" t="n">
        <f>7841.5</f>
        <v>7841.5</v>
      </c>
      <c r="T66" s="32" t="n">
        <f>5610</f>
        <v>5610.0</v>
      </c>
      <c r="U66" s="32" t="str">
        <f>"－"</f>
        <v>－</v>
      </c>
      <c r="V66" s="32" t="n">
        <f>44196080</f>
        <v>4.419608E7</v>
      </c>
      <c r="W66" s="32" t="str">
        <f>"－"</f>
        <v>－</v>
      </c>
      <c r="X66" s="36" t="n">
        <f>4</f>
        <v>4.0</v>
      </c>
    </row>
    <row r="67">
      <c r="A67" s="27" t="s">
        <v>42</v>
      </c>
      <c r="B67" s="27" t="s">
        <v>244</v>
      </c>
      <c r="C67" s="27" t="s">
        <v>245</v>
      </c>
      <c r="D67" s="27" t="s">
        <v>246</v>
      </c>
      <c r="E67" s="28" t="s">
        <v>46</v>
      </c>
      <c r="F67" s="29" t="s">
        <v>46</v>
      </c>
      <c r="G67" s="30" t="s">
        <v>46</v>
      </c>
      <c r="H67" s="31" t="s">
        <v>247</v>
      </c>
      <c r="I67" s="31" t="s">
        <v>47</v>
      </c>
      <c r="J67" s="32" t="n">
        <v>1.0</v>
      </c>
      <c r="K67" s="33" t="n">
        <f>17555</f>
        <v>17555.0</v>
      </c>
      <c r="L67" s="34" t="s">
        <v>48</v>
      </c>
      <c r="M67" s="33" t="n">
        <f>17575</f>
        <v>17575.0</v>
      </c>
      <c r="N67" s="34" t="s">
        <v>48</v>
      </c>
      <c r="O67" s="33" t="n">
        <f>16275</f>
        <v>16275.0</v>
      </c>
      <c r="P67" s="34" t="s">
        <v>73</v>
      </c>
      <c r="Q67" s="33" t="n">
        <f>17515</f>
        <v>17515.0</v>
      </c>
      <c r="R67" s="34" t="s">
        <v>51</v>
      </c>
      <c r="S67" s="35" t="n">
        <f>17289</f>
        <v>17289.0</v>
      </c>
      <c r="T67" s="32" t="n">
        <f>1437</f>
        <v>1437.0</v>
      </c>
      <c r="U67" s="32" t="str">
        <f>"－"</f>
        <v>－</v>
      </c>
      <c r="V67" s="32" t="n">
        <f>24971060</f>
        <v>2.497106E7</v>
      </c>
      <c r="W67" s="32" t="str">
        <f>"－"</f>
        <v>－</v>
      </c>
      <c r="X67" s="36" t="n">
        <f>20</f>
        <v>20.0</v>
      </c>
    </row>
    <row r="68">
      <c r="A68" s="27" t="s">
        <v>42</v>
      </c>
      <c r="B68" s="27" t="s">
        <v>248</v>
      </c>
      <c r="C68" s="27" t="s">
        <v>249</v>
      </c>
      <c r="D68" s="27" t="s">
        <v>250</v>
      </c>
      <c r="E68" s="28" t="s">
        <v>46</v>
      </c>
      <c r="F68" s="29" t="s">
        <v>46</v>
      </c>
      <c r="G68" s="30" t="s">
        <v>46</v>
      </c>
      <c r="H68" s="31"/>
      <c r="I68" s="31" t="s">
        <v>47</v>
      </c>
      <c r="J68" s="32" t="n">
        <v>1.0</v>
      </c>
      <c r="K68" s="33" t="n">
        <f>17500</f>
        <v>17500.0</v>
      </c>
      <c r="L68" s="34" t="s">
        <v>48</v>
      </c>
      <c r="M68" s="33" t="n">
        <f>17670</f>
        <v>17670.0</v>
      </c>
      <c r="N68" s="34" t="s">
        <v>51</v>
      </c>
      <c r="O68" s="33" t="n">
        <f>16885</f>
        <v>16885.0</v>
      </c>
      <c r="P68" s="34" t="s">
        <v>73</v>
      </c>
      <c r="Q68" s="33" t="n">
        <f>17660</f>
        <v>17660.0</v>
      </c>
      <c r="R68" s="34" t="s">
        <v>51</v>
      </c>
      <c r="S68" s="35" t="n">
        <f>17301.19</f>
        <v>17301.19</v>
      </c>
      <c r="T68" s="32" t="n">
        <f>6088</f>
        <v>6088.0</v>
      </c>
      <c r="U68" s="32" t="str">
        <f>"－"</f>
        <v>－</v>
      </c>
      <c r="V68" s="32" t="n">
        <f>104879335</f>
        <v>1.04879335E8</v>
      </c>
      <c r="W68" s="32" t="str">
        <f>"－"</f>
        <v>－</v>
      </c>
      <c r="X68" s="36" t="n">
        <f>21</f>
        <v>21.0</v>
      </c>
    </row>
    <row r="69">
      <c r="A69" s="27" t="s">
        <v>42</v>
      </c>
      <c r="B69" s="27" t="s">
        <v>251</v>
      </c>
      <c r="C69" s="27" t="s">
        <v>252</v>
      </c>
      <c r="D69" s="27" t="s">
        <v>253</v>
      </c>
      <c r="E69" s="28" t="s">
        <v>46</v>
      </c>
      <c r="F69" s="29" t="s">
        <v>46</v>
      </c>
      <c r="G69" s="30" t="s">
        <v>46</v>
      </c>
      <c r="H69" s="31"/>
      <c r="I69" s="31" t="s">
        <v>47</v>
      </c>
      <c r="J69" s="32" t="n">
        <v>1.0</v>
      </c>
      <c r="K69" s="33" t="n">
        <f>27000</f>
        <v>27000.0</v>
      </c>
      <c r="L69" s="34" t="s">
        <v>48</v>
      </c>
      <c r="M69" s="33" t="n">
        <f>27085</f>
        <v>27085.0</v>
      </c>
      <c r="N69" s="34" t="s">
        <v>254</v>
      </c>
      <c r="O69" s="33" t="n">
        <f>25660</f>
        <v>25660.0</v>
      </c>
      <c r="P69" s="34" t="s">
        <v>50</v>
      </c>
      <c r="Q69" s="33" t="n">
        <f>26535</f>
        <v>26535.0</v>
      </c>
      <c r="R69" s="34" t="s">
        <v>51</v>
      </c>
      <c r="S69" s="35" t="n">
        <f>26479.76</f>
        <v>26479.76</v>
      </c>
      <c r="T69" s="32" t="n">
        <f>9935</f>
        <v>9935.0</v>
      </c>
      <c r="U69" s="32" t="n">
        <f>7</f>
        <v>7.0</v>
      </c>
      <c r="V69" s="32" t="n">
        <f>263688185</f>
        <v>2.63688185E8</v>
      </c>
      <c r="W69" s="32" t="n">
        <f>184940</f>
        <v>184940.0</v>
      </c>
      <c r="X69" s="36" t="n">
        <f>21</f>
        <v>21.0</v>
      </c>
    </row>
    <row r="70">
      <c r="A70" s="27" t="s">
        <v>42</v>
      </c>
      <c r="B70" s="27" t="s">
        <v>255</v>
      </c>
      <c r="C70" s="27" t="s">
        <v>256</v>
      </c>
      <c r="D70" s="27" t="s">
        <v>257</v>
      </c>
      <c r="E70" s="28" t="s">
        <v>46</v>
      </c>
      <c r="F70" s="29" t="s">
        <v>46</v>
      </c>
      <c r="G70" s="30" t="s">
        <v>46</v>
      </c>
      <c r="H70" s="31"/>
      <c r="I70" s="31" t="s">
        <v>47</v>
      </c>
      <c r="J70" s="32" t="n">
        <v>10.0</v>
      </c>
      <c r="K70" s="33" t="n">
        <f>10105</f>
        <v>10105.0</v>
      </c>
      <c r="L70" s="34" t="s">
        <v>48</v>
      </c>
      <c r="M70" s="33" t="n">
        <f>10600</f>
        <v>10600.0</v>
      </c>
      <c r="N70" s="34" t="s">
        <v>51</v>
      </c>
      <c r="O70" s="33" t="n">
        <f>10020</f>
        <v>10020.0</v>
      </c>
      <c r="P70" s="34" t="s">
        <v>61</v>
      </c>
      <c r="Q70" s="33" t="n">
        <f>10600</f>
        <v>10600.0</v>
      </c>
      <c r="R70" s="34" t="s">
        <v>51</v>
      </c>
      <c r="S70" s="35" t="n">
        <f>10270.71</f>
        <v>10270.71</v>
      </c>
      <c r="T70" s="32" t="n">
        <f>10160</f>
        <v>10160.0</v>
      </c>
      <c r="U70" s="32" t="str">
        <f>"－"</f>
        <v>－</v>
      </c>
      <c r="V70" s="32" t="n">
        <f>104641000</f>
        <v>1.04641E8</v>
      </c>
      <c r="W70" s="32" t="str">
        <f>"－"</f>
        <v>－</v>
      </c>
      <c r="X70" s="36" t="n">
        <f>21</f>
        <v>21.0</v>
      </c>
    </row>
    <row r="71">
      <c r="A71" s="27" t="s">
        <v>42</v>
      </c>
      <c r="B71" s="27" t="s">
        <v>258</v>
      </c>
      <c r="C71" s="27" t="s">
        <v>259</v>
      </c>
      <c r="D71" s="27" t="s">
        <v>260</v>
      </c>
      <c r="E71" s="28" t="s">
        <v>46</v>
      </c>
      <c r="F71" s="29" t="s">
        <v>46</v>
      </c>
      <c r="G71" s="30" t="s">
        <v>46</v>
      </c>
      <c r="H71" s="31"/>
      <c r="I71" s="31" t="s">
        <v>47</v>
      </c>
      <c r="J71" s="32" t="n">
        <v>1.0</v>
      </c>
      <c r="K71" s="33" t="n">
        <f>1879</f>
        <v>1879.0</v>
      </c>
      <c r="L71" s="34" t="s">
        <v>48</v>
      </c>
      <c r="M71" s="33" t="n">
        <f>1958</f>
        <v>1958.0</v>
      </c>
      <c r="N71" s="34" t="s">
        <v>177</v>
      </c>
      <c r="O71" s="33" t="n">
        <f>1867</f>
        <v>1867.0</v>
      </c>
      <c r="P71" s="34" t="s">
        <v>48</v>
      </c>
      <c r="Q71" s="33" t="n">
        <f>1953</f>
        <v>1953.0</v>
      </c>
      <c r="R71" s="34" t="s">
        <v>51</v>
      </c>
      <c r="S71" s="35" t="n">
        <f>1920.62</f>
        <v>1920.62</v>
      </c>
      <c r="T71" s="32" t="n">
        <f>1358860</f>
        <v>1358860.0</v>
      </c>
      <c r="U71" s="32" t="n">
        <f>812263</f>
        <v>812263.0</v>
      </c>
      <c r="V71" s="32" t="n">
        <f>2619078950</f>
        <v>2.61907895E9</v>
      </c>
      <c r="W71" s="32" t="n">
        <f>1570704067</f>
        <v>1.570704067E9</v>
      </c>
      <c r="X71" s="36" t="n">
        <f>21</f>
        <v>21.0</v>
      </c>
    </row>
    <row r="72">
      <c r="A72" s="27" t="s">
        <v>42</v>
      </c>
      <c r="B72" s="27" t="s">
        <v>261</v>
      </c>
      <c r="C72" s="27" t="s">
        <v>262</v>
      </c>
      <c r="D72" s="27" t="s">
        <v>263</v>
      </c>
      <c r="E72" s="28" t="s">
        <v>46</v>
      </c>
      <c r="F72" s="29" t="s">
        <v>46</v>
      </c>
      <c r="G72" s="30" t="s">
        <v>46</v>
      </c>
      <c r="H72" s="31"/>
      <c r="I72" s="31" t="s">
        <v>47</v>
      </c>
      <c r="J72" s="32" t="n">
        <v>1.0</v>
      </c>
      <c r="K72" s="33" t="n">
        <f>1879</f>
        <v>1879.0</v>
      </c>
      <c r="L72" s="34" t="s">
        <v>48</v>
      </c>
      <c r="M72" s="33" t="n">
        <f>1942</f>
        <v>1942.0</v>
      </c>
      <c r="N72" s="34" t="s">
        <v>177</v>
      </c>
      <c r="O72" s="33" t="n">
        <f>1873</f>
        <v>1873.0</v>
      </c>
      <c r="P72" s="34" t="s">
        <v>48</v>
      </c>
      <c r="Q72" s="33" t="n">
        <f>1933</f>
        <v>1933.0</v>
      </c>
      <c r="R72" s="34" t="s">
        <v>51</v>
      </c>
      <c r="S72" s="35" t="n">
        <f>1908.38</f>
        <v>1908.38</v>
      </c>
      <c r="T72" s="32" t="n">
        <f>727401</f>
        <v>727401.0</v>
      </c>
      <c r="U72" s="32" t="n">
        <f>106</f>
        <v>106.0</v>
      </c>
      <c r="V72" s="32" t="n">
        <f>1386425156</f>
        <v>1.386425156E9</v>
      </c>
      <c r="W72" s="32" t="n">
        <f>193048</f>
        <v>193048.0</v>
      </c>
      <c r="X72" s="36" t="n">
        <f>21</f>
        <v>21.0</v>
      </c>
    </row>
    <row r="73">
      <c r="A73" s="27" t="s">
        <v>42</v>
      </c>
      <c r="B73" s="27" t="s">
        <v>264</v>
      </c>
      <c r="C73" s="27" t="s">
        <v>265</v>
      </c>
      <c r="D73" s="27" t="s">
        <v>266</v>
      </c>
      <c r="E73" s="28" t="s">
        <v>46</v>
      </c>
      <c r="F73" s="29" t="s">
        <v>46</v>
      </c>
      <c r="G73" s="30" t="s">
        <v>46</v>
      </c>
      <c r="H73" s="31"/>
      <c r="I73" s="31" t="s">
        <v>47</v>
      </c>
      <c r="J73" s="32" t="n">
        <v>1.0</v>
      </c>
      <c r="K73" s="33" t="n">
        <f>18765</f>
        <v>18765.0</v>
      </c>
      <c r="L73" s="34" t="s">
        <v>48</v>
      </c>
      <c r="M73" s="33" t="n">
        <f>18880</f>
        <v>18880.0</v>
      </c>
      <c r="N73" s="34" t="s">
        <v>68</v>
      </c>
      <c r="O73" s="33" t="n">
        <f>18035</f>
        <v>18035.0</v>
      </c>
      <c r="P73" s="34" t="s">
        <v>50</v>
      </c>
      <c r="Q73" s="33" t="n">
        <f>18490</f>
        <v>18490.0</v>
      </c>
      <c r="R73" s="34" t="s">
        <v>51</v>
      </c>
      <c r="S73" s="35" t="n">
        <f>18417.86</f>
        <v>18417.86</v>
      </c>
      <c r="T73" s="32" t="n">
        <f>9163</f>
        <v>9163.0</v>
      </c>
      <c r="U73" s="32" t="str">
        <f>"－"</f>
        <v>－</v>
      </c>
      <c r="V73" s="32" t="n">
        <f>169368140</f>
        <v>1.6936814E8</v>
      </c>
      <c r="W73" s="32" t="str">
        <f>"－"</f>
        <v>－</v>
      </c>
      <c r="X73" s="36" t="n">
        <f>21</f>
        <v>21.0</v>
      </c>
    </row>
    <row r="74">
      <c r="A74" s="27" t="s">
        <v>42</v>
      </c>
      <c r="B74" s="27" t="s">
        <v>267</v>
      </c>
      <c r="C74" s="27" t="s">
        <v>268</v>
      </c>
      <c r="D74" s="27" t="s">
        <v>269</v>
      </c>
      <c r="E74" s="28" t="s">
        <v>46</v>
      </c>
      <c r="F74" s="29" t="s">
        <v>46</v>
      </c>
      <c r="G74" s="30" t="s">
        <v>46</v>
      </c>
      <c r="H74" s="31"/>
      <c r="I74" s="31" t="s">
        <v>47</v>
      </c>
      <c r="J74" s="32" t="n">
        <v>1.0</v>
      </c>
      <c r="K74" s="33" t="n">
        <f>9537</f>
        <v>9537.0</v>
      </c>
      <c r="L74" s="34" t="s">
        <v>48</v>
      </c>
      <c r="M74" s="33" t="n">
        <f>9720</f>
        <v>9720.0</v>
      </c>
      <c r="N74" s="34" t="s">
        <v>48</v>
      </c>
      <c r="O74" s="33" t="n">
        <f>9281</f>
        <v>9281.0</v>
      </c>
      <c r="P74" s="34" t="s">
        <v>50</v>
      </c>
      <c r="Q74" s="33" t="n">
        <f>9334</f>
        <v>9334.0</v>
      </c>
      <c r="R74" s="34" t="s">
        <v>51</v>
      </c>
      <c r="S74" s="35" t="n">
        <f>9440.38</f>
        <v>9440.38</v>
      </c>
      <c r="T74" s="32" t="n">
        <f>3824</f>
        <v>3824.0</v>
      </c>
      <c r="U74" s="32" t="str">
        <f>"－"</f>
        <v>－</v>
      </c>
      <c r="V74" s="32" t="n">
        <f>35925897</f>
        <v>3.5925897E7</v>
      </c>
      <c r="W74" s="32" t="str">
        <f>"－"</f>
        <v>－</v>
      </c>
      <c r="X74" s="36" t="n">
        <f>21</f>
        <v>21.0</v>
      </c>
    </row>
    <row r="75">
      <c r="A75" s="27" t="s">
        <v>42</v>
      </c>
      <c r="B75" s="27" t="s">
        <v>270</v>
      </c>
      <c r="C75" s="27" t="s">
        <v>271</v>
      </c>
      <c r="D75" s="27" t="s">
        <v>272</v>
      </c>
      <c r="E75" s="28" t="s">
        <v>46</v>
      </c>
      <c r="F75" s="29" t="s">
        <v>46</v>
      </c>
      <c r="G75" s="30" t="s">
        <v>46</v>
      </c>
      <c r="H75" s="31"/>
      <c r="I75" s="31" t="s">
        <v>47</v>
      </c>
      <c r="J75" s="32" t="n">
        <v>1.0</v>
      </c>
      <c r="K75" s="33" t="n">
        <f>9170</f>
        <v>9170.0</v>
      </c>
      <c r="L75" s="34" t="s">
        <v>48</v>
      </c>
      <c r="M75" s="33" t="n">
        <f>9393</f>
        <v>9393.0</v>
      </c>
      <c r="N75" s="34" t="s">
        <v>89</v>
      </c>
      <c r="O75" s="33" t="n">
        <f>8730</f>
        <v>8730.0</v>
      </c>
      <c r="P75" s="34" t="s">
        <v>90</v>
      </c>
      <c r="Q75" s="33" t="n">
        <f>8933</f>
        <v>8933.0</v>
      </c>
      <c r="R75" s="34" t="s">
        <v>51</v>
      </c>
      <c r="S75" s="35" t="n">
        <f>8931.48</f>
        <v>8931.48</v>
      </c>
      <c r="T75" s="32" t="n">
        <f>3434090</f>
        <v>3434090.0</v>
      </c>
      <c r="U75" s="32" t="n">
        <f>326035</f>
        <v>326035.0</v>
      </c>
      <c r="V75" s="32" t="n">
        <f>30631522331</f>
        <v>3.0631522331E10</v>
      </c>
      <c r="W75" s="32" t="n">
        <f>2894166358</f>
        <v>2.894166358E9</v>
      </c>
      <c r="X75" s="36" t="n">
        <f>21</f>
        <v>21.0</v>
      </c>
    </row>
    <row r="76">
      <c r="A76" s="27" t="s">
        <v>42</v>
      </c>
      <c r="B76" s="27" t="s">
        <v>273</v>
      </c>
      <c r="C76" s="27" t="s">
        <v>274</v>
      </c>
      <c r="D76" s="27" t="s">
        <v>275</v>
      </c>
      <c r="E76" s="28" t="s">
        <v>46</v>
      </c>
      <c r="F76" s="29" t="s">
        <v>46</v>
      </c>
      <c r="G76" s="30" t="s">
        <v>46</v>
      </c>
      <c r="H76" s="31"/>
      <c r="I76" s="31" t="s">
        <v>47</v>
      </c>
      <c r="J76" s="32" t="n">
        <v>1.0</v>
      </c>
      <c r="K76" s="33" t="n">
        <f>4045</f>
        <v>4045.0</v>
      </c>
      <c r="L76" s="34" t="s">
        <v>48</v>
      </c>
      <c r="M76" s="33" t="n">
        <f>4130</f>
        <v>4130.0</v>
      </c>
      <c r="N76" s="34" t="s">
        <v>51</v>
      </c>
      <c r="O76" s="33" t="n">
        <f>3880</f>
        <v>3880.0</v>
      </c>
      <c r="P76" s="34" t="s">
        <v>231</v>
      </c>
      <c r="Q76" s="33" t="n">
        <f>4115</f>
        <v>4115.0</v>
      </c>
      <c r="R76" s="34" t="s">
        <v>51</v>
      </c>
      <c r="S76" s="35" t="n">
        <f>3988.57</f>
        <v>3988.57</v>
      </c>
      <c r="T76" s="32" t="n">
        <f>604696</f>
        <v>604696.0</v>
      </c>
      <c r="U76" s="32" t="n">
        <f>10374</f>
        <v>10374.0</v>
      </c>
      <c r="V76" s="32" t="n">
        <f>2415572465</f>
        <v>2.415572465E9</v>
      </c>
      <c r="W76" s="32" t="n">
        <f>41189110</f>
        <v>4.118911E7</v>
      </c>
      <c r="X76" s="36" t="n">
        <f>21</f>
        <v>21.0</v>
      </c>
    </row>
    <row r="77">
      <c r="A77" s="27" t="s">
        <v>42</v>
      </c>
      <c r="B77" s="27" t="s">
        <v>276</v>
      </c>
      <c r="C77" s="27" t="s">
        <v>277</v>
      </c>
      <c r="D77" s="27" t="s">
        <v>278</v>
      </c>
      <c r="E77" s="28" t="s">
        <v>46</v>
      </c>
      <c r="F77" s="29" t="s">
        <v>46</v>
      </c>
      <c r="G77" s="30" t="s">
        <v>46</v>
      </c>
      <c r="H77" s="31"/>
      <c r="I77" s="31" t="s">
        <v>47</v>
      </c>
      <c r="J77" s="32" t="n">
        <v>1.0</v>
      </c>
      <c r="K77" s="33" t="n">
        <f>10695</f>
        <v>10695.0</v>
      </c>
      <c r="L77" s="34" t="s">
        <v>48</v>
      </c>
      <c r="M77" s="33" t="n">
        <f>10760</f>
        <v>10760.0</v>
      </c>
      <c r="N77" s="34" t="s">
        <v>89</v>
      </c>
      <c r="O77" s="33" t="n">
        <f>9641</f>
        <v>9641.0</v>
      </c>
      <c r="P77" s="34" t="s">
        <v>203</v>
      </c>
      <c r="Q77" s="33" t="n">
        <f>9815</f>
        <v>9815.0</v>
      </c>
      <c r="R77" s="34" t="s">
        <v>51</v>
      </c>
      <c r="S77" s="35" t="n">
        <f>10052.14</f>
        <v>10052.14</v>
      </c>
      <c r="T77" s="32" t="n">
        <f>178929</f>
        <v>178929.0</v>
      </c>
      <c r="U77" s="32" t="n">
        <f>470</f>
        <v>470.0</v>
      </c>
      <c r="V77" s="32" t="n">
        <f>1792140807</f>
        <v>1.792140807E9</v>
      </c>
      <c r="W77" s="32" t="n">
        <f>4767115</f>
        <v>4767115.0</v>
      </c>
      <c r="X77" s="36" t="n">
        <f>21</f>
        <v>21.0</v>
      </c>
    </row>
    <row r="78">
      <c r="A78" s="27" t="s">
        <v>42</v>
      </c>
      <c r="B78" s="27" t="s">
        <v>279</v>
      </c>
      <c r="C78" s="27" t="s">
        <v>280</v>
      </c>
      <c r="D78" s="27" t="s">
        <v>281</v>
      </c>
      <c r="E78" s="28" t="s">
        <v>46</v>
      </c>
      <c r="F78" s="29" t="s">
        <v>46</v>
      </c>
      <c r="G78" s="30" t="s">
        <v>46</v>
      </c>
      <c r="H78" s="31"/>
      <c r="I78" s="31" t="s">
        <v>47</v>
      </c>
      <c r="J78" s="32" t="n">
        <v>1.0</v>
      </c>
      <c r="K78" s="33" t="n">
        <f>45710</f>
        <v>45710.0</v>
      </c>
      <c r="L78" s="34" t="s">
        <v>48</v>
      </c>
      <c r="M78" s="33" t="n">
        <f>51400</f>
        <v>51400.0</v>
      </c>
      <c r="N78" s="34" t="s">
        <v>69</v>
      </c>
      <c r="O78" s="33" t="n">
        <f>41400</f>
        <v>41400.0</v>
      </c>
      <c r="P78" s="34" t="s">
        <v>73</v>
      </c>
      <c r="Q78" s="33" t="n">
        <f>45270</f>
        <v>45270.0</v>
      </c>
      <c r="R78" s="34" t="s">
        <v>51</v>
      </c>
      <c r="S78" s="35" t="n">
        <f>45789.52</f>
        <v>45789.52</v>
      </c>
      <c r="T78" s="32" t="n">
        <f>24031</f>
        <v>24031.0</v>
      </c>
      <c r="U78" s="32" t="n">
        <f>45</f>
        <v>45.0</v>
      </c>
      <c r="V78" s="32" t="n">
        <f>1107516440</f>
        <v>1.10751644E9</v>
      </c>
      <c r="W78" s="32" t="n">
        <f>1967110</f>
        <v>1967110.0</v>
      </c>
      <c r="X78" s="36" t="n">
        <f>21</f>
        <v>21.0</v>
      </c>
    </row>
    <row r="79">
      <c r="A79" s="27" t="s">
        <v>42</v>
      </c>
      <c r="B79" s="27" t="s">
        <v>282</v>
      </c>
      <c r="C79" s="27" t="s">
        <v>283</v>
      </c>
      <c r="D79" s="27" t="s">
        <v>284</v>
      </c>
      <c r="E79" s="28" t="s">
        <v>46</v>
      </c>
      <c r="F79" s="29" t="s">
        <v>46</v>
      </c>
      <c r="G79" s="30" t="s">
        <v>46</v>
      </c>
      <c r="H79" s="31"/>
      <c r="I79" s="31" t="s">
        <v>47</v>
      </c>
      <c r="J79" s="32" t="n">
        <v>1.0</v>
      </c>
      <c r="K79" s="33" t="n">
        <f>23875</f>
        <v>23875.0</v>
      </c>
      <c r="L79" s="34" t="s">
        <v>48</v>
      </c>
      <c r="M79" s="33" t="n">
        <f>24545</f>
        <v>24545.0</v>
      </c>
      <c r="N79" s="34" t="s">
        <v>69</v>
      </c>
      <c r="O79" s="33" t="n">
        <f>23095</f>
        <v>23095.0</v>
      </c>
      <c r="P79" s="34" t="s">
        <v>73</v>
      </c>
      <c r="Q79" s="33" t="n">
        <f>24215</f>
        <v>24215.0</v>
      </c>
      <c r="R79" s="34" t="s">
        <v>51</v>
      </c>
      <c r="S79" s="35" t="n">
        <f>23960</f>
        <v>23960.0</v>
      </c>
      <c r="T79" s="32" t="n">
        <f>1358182</f>
        <v>1358182.0</v>
      </c>
      <c r="U79" s="32" t="n">
        <f>26625</f>
        <v>26625.0</v>
      </c>
      <c r="V79" s="32" t="n">
        <f>32454138513</f>
        <v>3.2454138513E10</v>
      </c>
      <c r="W79" s="32" t="n">
        <f>630958123</f>
        <v>6.30958123E8</v>
      </c>
      <c r="X79" s="36" t="n">
        <f>21</f>
        <v>21.0</v>
      </c>
    </row>
    <row r="80">
      <c r="A80" s="27" t="s">
        <v>42</v>
      </c>
      <c r="B80" s="27" t="s">
        <v>285</v>
      </c>
      <c r="C80" s="27" t="s">
        <v>286</v>
      </c>
      <c r="D80" s="27" t="s">
        <v>287</v>
      </c>
      <c r="E80" s="28" t="s">
        <v>46</v>
      </c>
      <c r="F80" s="29" t="s">
        <v>46</v>
      </c>
      <c r="G80" s="30" t="s">
        <v>46</v>
      </c>
      <c r="H80" s="31"/>
      <c r="I80" s="31" t="s">
        <v>47</v>
      </c>
      <c r="J80" s="32" t="n">
        <v>1.0</v>
      </c>
      <c r="K80" s="33" t="n">
        <f>51840</f>
        <v>51840.0</v>
      </c>
      <c r="L80" s="34" t="s">
        <v>48</v>
      </c>
      <c r="M80" s="33" t="n">
        <f>52740</f>
        <v>52740.0</v>
      </c>
      <c r="N80" s="34" t="s">
        <v>69</v>
      </c>
      <c r="O80" s="33" t="n">
        <f>50210</f>
        <v>50210.0</v>
      </c>
      <c r="P80" s="34" t="s">
        <v>73</v>
      </c>
      <c r="Q80" s="33" t="n">
        <f>52040</f>
        <v>52040.0</v>
      </c>
      <c r="R80" s="34" t="s">
        <v>51</v>
      </c>
      <c r="S80" s="35" t="n">
        <f>51800.95</f>
        <v>51800.95</v>
      </c>
      <c r="T80" s="32" t="n">
        <f>76545</f>
        <v>76545.0</v>
      </c>
      <c r="U80" s="32" t="n">
        <f>1902</f>
        <v>1902.0</v>
      </c>
      <c r="V80" s="32" t="n">
        <f>3954215095</f>
        <v>3.954215095E9</v>
      </c>
      <c r="W80" s="32" t="n">
        <f>98545495</f>
        <v>9.8545495E7</v>
      </c>
      <c r="X80" s="36" t="n">
        <f>21</f>
        <v>21.0</v>
      </c>
    </row>
    <row r="81">
      <c r="A81" s="27" t="s">
        <v>42</v>
      </c>
      <c r="B81" s="27" t="s">
        <v>288</v>
      </c>
      <c r="C81" s="27" t="s">
        <v>289</v>
      </c>
      <c r="D81" s="27" t="s">
        <v>290</v>
      </c>
      <c r="E81" s="28" t="s">
        <v>46</v>
      </c>
      <c r="F81" s="29" t="s">
        <v>46</v>
      </c>
      <c r="G81" s="30" t="s">
        <v>46</v>
      </c>
      <c r="H81" s="31"/>
      <c r="I81" s="31" t="s">
        <v>47</v>
      </c>
      <c r="J81" s="32" t="n">
        <v>10.0</v>
      </c>
      <c r="K81" s="33" t="n">
        <f>7403</f>
        <v>7403.0</v>
      </c>
      <c r="L81" s="34" t="s">
        <v>48</v>
      </c>
      <c r="M81" s="33" t="n">
        <f>7529</f>
        <v>7529.0</v>
      </c>
      <c r="N81" s="34" t="s">
        <v>69</v>
      </c>
      <c r="O81" s="33" t="n">
        <f>7163</f>
        <v>7163.0</v>
      </c>
      <c r="P81" s="34" t="s">
        <v>73</v>
      </c>
      <c r="Q81" s="33" t="n">
        <f>7428</f>
        <v>7428.0</v>
      </c>
      <c r="R81" s="34" t="s">
        <v>51</v>
      </c>
      <c r="S81" s="35" t="n">
        <f>7388.95</f>
        <v>7388.95</v>
      </c>
      <c r="T81" s="32" t="n">
        <f>1889240</f>
        <v>1889240.0</v>
      </c>
      <c r="U81" s="32" t="n">
        <f>104520</f>
        <v>104520.0</v>
      </c>
      <c r="V81" s="32" t="n">
        <f>13918995190</f>
        <v>1.391899519E10</v>
      </c>
      <c r="W81" s="32" t="n">
        <f>774547730</f>
        <v>7.7454773E8</v>
      </c>
      <c r="X81" s="36" t="n">
        <f>21</f>
        <v>21.0</v>
      </c>
    </row>
    <row r="82">
      <c r="A82" s="27" t="s">
        <v>42</v>
      </c>
      <c r="B82" s="27" t="s">
        <v>291</v>
      </c>
      <c r="C82" s="27" t="s">
        <v>292</v>
      </c>
      <c r="D82" s="27" t="s">
        <v>293</v>
      </c>
      <c r="E82" s="28" t="s">
        <v>46</v>
      </c>
      <c r="F82" s="29" t="s">
        <v>46</v>
      </c>
      <c r="G82" s="30" t="s">
        <v>46</v>
      </c>
      <c r="H82" s="31"/>
      <c r="I82" s="31" t="s">
        <v>47</v>
      </c>
      <c r="J82" s="32" t="n">
        <v>10.0</v>
      </c>
      <c r="K82" s="33" t="n">
        <f>4655</f>
        <v>4655.0</v>
      </c>
      <c r="L82" s="34" t="s">
        <v>48</v>
      </c>
      <c r="M82" s="33" t="n">
        <f>4716</f>
        <v>4716.0</v>
      </c>
      <c r="N82" s="34" t="s">
        <v>187</v>
      </c>
      <c r="O82" s="33" t="n">
        <f>4489</f>
        <v>4489.0</v>
      </c>
      <c r="P82" s="34" t="s">
        <v>73</v>
      </c>
      <c r="Q82" s="33" t="n">
        <f>4647</f>
        <v>4647.0</v>
      </c>
      <c r="R82" s="34" t="s">
        <v>51</v>
      </c>
      <c r="S82" s="35" t="n">
        <f>4632.81</f>
        <v>4632.81</v>
      </c>
      <c r="T82" s="32" t="n">
        <f>210970</f>
        <v>210970.0</v>
      </c>
      <c r="U82" s="32" t="str">
        <f>"－"</f>
        <v>－</v>
      </c>
      <c r="V82" s="32" t="n">
        <f>978322860</f>
        <v>9.7832286E8</v>
      </c>
      <c r="W82" s="32" t="str">
        <f>"－"</f>
        <v>－</v>
      </c>
      <c r="X82" s="36" t="n">
        <f>21</f>
        <v>21.0</v>
      </c>
    </row>
    <row r="83">
      <c r="A83" s="27" t="s">
        <v>42</v>
      </c>
      <c r="B83" s="27" t="s">
        <v>294</v>
      </c>
      <c r="C83" s="27" t="s">
        <v>295</v>
      </c>
      <c r="D83" s="27" t="s">
        <v>296</v>
      </c>
      <c r="E83" s="28" t="s">
        <v>46</v>
      </c>
      <c r="F83" s="29" t="s">
        <v>46</v>
      </c>
      <c r="G83" s="30" t="s">
        <v>46</v>
      </c>
      <c r="H83" s="31"/>
      <c r="I83" s="31" t="s">
        <v>47</v>
      </c>
      <c r="J83" s="32" t="n">
        <v>10.0</v>
      </c>
      <c r="K83" s="33" t="n">
        <f>4850</f>
        <v>4850.0</v>
      </c>
      <c r="L83" s="34" t="s">
        <v>48</v>
      </c>
      <c r="M83" s="33" t="n">
        <f>4888</f>
        <v>4888.0</v>
      </c>
      <c r="N83" s="34" t="s">
        <v>51</v>
      </c>
      <c r="O83" s="33" t="n">
        <f>4703</f>
        <v>4703.0</v>
      </c>
      <c r="P83" s="34" t="s">
        <v>49</v>
      </c>
      <c r="Q83" s="33" t="n">
        <f>4870</f>
        <v>4870.0</v>
      </c>
      <c r="R83" s="34" t="s">
        <v>51</v>
      </c>
      <c r="S83" s="35" t="n">
        <f>4821.86</f>
        <v>4821.86</v>
      </c>
      <c r="T83" s="32" t="n">
        <f>5840</f>
        <v>5840.0</v>
      </c>
      <c r="U83" s="32" t="str">
        <f>"－"</f>
        <v>－</v>
      </c>
      <c r="V83" s="32" t="n">
        <f>28143580</f>
        <v>2.814358E7</v>
      </c>
      <c r="W83" s="32" t="str">
        <f>"－"</f>
        <v>－</v>
      </c>
      <c r="X83" s="36" t="n">
        <f>21</f>
        <v>21.0</v>
      </c>
    </row>
    <row r="84">
      <c r="A84" s="27" t="s">
        <v>42</v>
      </c>
      <c r="B84" s="27" t="s">
        <v>297</v>
      </c>
      <c r="C84" s="27" t="s">
        <v>298</v>
      </c>
      <c r="D84" s="27" t="s">
        <v>299</v>
      </c>
      <c r="E84" s="28" t="s">
        <v>46</v>
      </c>
      <c r="F84" s="29" t="s">
        <v>46</v>
      </c>
      <c r="G84" s="30" t="s">
        <v>46</v>
      </c>
      <c r="H84" s="31" t="s">
        <v>247</v>
      </c>
      <c r="I84" s="31" t="s">
        <v>47</v>
      </c>
      <c r="J84" s="32" t="n">
        <v>1.0</v>
      </c>
      <c r="K84" s="33" t="n">
        <f>465</f>
        <v>465.0</v>
      </c>
      <c r="L84" s="34" t="s">
        <v>48</v>
      </c>
      <c r="M84" s="33" t="n">
        <f>470</f>
        <v>470.0</v>
      </c>
      <c r="N84" s="34" t="s">
        <v>187</v>
      </c>
      <c r="O84" s="33" t="n">
        <f>396</f>
        <v>396.0</v>
      </c>
      <c r="P84" s="34" t="s">
        <v>51</v>
      </c>
      <c r="Q84" s="33" t="n">
        <f>397</f>
        <v>397.0</v>
      </c>
      <c r="R84" s="34" t="s">
        <v>51</v>
      </c>
      <c r="S84" s="35" t="n">
        <f>432.29</f>
        <v>432.29</v>
      </c>
      <c r="T84" s="32" t="n">
        <f>37692471</f>
        <v>3.7692471E7</v>
      </c>
      <c r="U84" s="32" t="n">
        <f>137817</f>
        <v>137817.0</v>
      </c>
      <c r="V84" s="32" t="n">
        <f>16324864560</f>
        <v>1.632486456E10</v>
      </c>
      <c r="W84" s="32" t="n">
        <f>57900846</f>
        <v>5.7900846E7</v>
      </c>
      <c r="X84" s="36" t="n">
        <f>21</f>
        <v>21.0</v>
      </c>
    </row>
    <row r="85">
      <c r="A85" s="27" t="s">
        <v>42</v>
      </c>
      <c r="B85" s="27" t="s">
        <v>300</v>
      </c>
      <c r="C85" s="27" t="s">
        <v>301</v>
      </c>
      <c r="D85" s="27" t="s">
        <v>302</v>
      </c>
      <c r="E85" s="28" t="s">
        <v>46</v>
      </c>
      <c r="F85" s="29" t="s">
        <v>46</v>
      </c>
      <c r="G85" s="30" t="s">
        <v>46</v>
      </c>
      <c r="H85" s="31"/>
      <c r="I85" s="31" t="s">
        <v>47</v>
      </c>
      <c r="J85" s="32" t="n">
        <v>10.0</v>
      </c>
      <c r="K85" s="33" t="n">
        <f>3875</f>
        <v>3875.0</v>
      </c>
      <c r="L85" s="34" t="s">
        <v>48</v>
      </c>
      <c r="M85" s="33" t="n">
        <f>3937</f>
        <v>3937.0</v>
      </c>
      <c r="N85" s="34" t="s">
        <v>69</v>
      </c>
      <c r="O85" s="33" t="n">
        <f>3750</f>
        <v>3750.0</v>
      </c>
      <c r="P85" s="34" t="s">
        <v>73</v>
      </c>
      <c r="Q85" s="33" t="n">
        <f>3897</f>
        <v>3897.0</v>
      </c>
      <c r="R85" s="34" t="s">
        <v>51</v>
      </c>
      <c r="S85" s="35" t="n">
        <f>3864.48</f>
        <v>3864.48</v>
      </c>
      <c r="T85" s="32" t="n">
        <f>108560</f>
        <v>108560.0</v>
      </c>
      <c r="U85" s="32" t="str">
        <f>"－"</f>
        <v>－</v>
      </c>
      <c r="V85" s="32" t="n">
        <f>419377780</f>
        <v>4.1937778E8</v>
      </c>
      <c r="W85" s="32" t="str">
        <f>"－"</f>
        <v>－</v>
      </c>
      <c r="X85" s="36" t="n">
        <f>21</f>
        <v>21.0</v>
      </c>
    </row>
    <row r="86">
      <c r="A86" s="27" t="s">
        <v>42</v>
      </c>
      <c r="B86" s="27" t="s">
        <v>303</v>
      </c>
      <c r="C86" s="27" t="s">
        <v>304</v>
      </c>
      <c r="D86" s="27" t="s">
        <v>305</v>
      </c>
      <c r="E86" s="28" t="s">
        <v>46</v>
      </c>
      <c r="F86" s="29" t="s">
        <v>46</v>
      </c>
      <c r="G86" s="30" t="s">
        <v>46</v>
      </c>
      <c r="H86" s="31"/>
      <c r="I86" s="31" t="s">
        <v>47</v>
      </c>
      <c r="J86" s="32" t="n">
        <v>10.0</v>
      </c>
      <c r="K86" s="33" t="n">
        <f>1756</f>
        <v>1756.0</v>
      </c>
      <c r="L86" s="34" t="s">
        <v>48</v>
      </c>
      <c r="M86" s="33" t="n">
        <f>1950</f>
        <v>1950.0</v>
      </c>
      <c r="N86" s="34" t="s">
        <v>51</v>
      </c>
      <c r="O86" s="33" t="n">
        <f>1747</f>
        <v>1747.0</v>
      </c>
      <c r="P86" s="34" t="s">
        <v>73</v>
      </c>
      <c r="Q86" s="33" t="n">
        <f>1940</f>
        <v>1940.0</v>
      </c>
      <c r="R86" s="34" t="s">
        <v>51</v>
      </c>
      <c r="S86" s="35" t="n">
        <f>1847.26</f>
        <v>1847.26</v>
      </c>
      <c r="T86" s="32" t="n">
        <f>167650</f>
        <v>167650.0</v>
      </c>
      <c r="U86" s="32" t="n">
        <f>730</f>
        <v>730.0</v>
      </c>
      <c r="V86" s="32" t="n">
        <f>310745790</f>
        <v>3.1074579E8</v>
      </c>
      <c r="W86" s="32" t="n">
        <f>1417880</f>
        <v>1417880.0</v>
      </c>
      <c r="X86" s="36" t="n">
        <f>21</f>
        <v>21.0</v>
      </c>
    </row>
    <row r="87">
      <c r="A87" s="27" t="s">
        <v>42</v>
      </c>
      <c r="B87" s="27" t="s">
        <v>306</v>
      </c>
      <c r="C87" s="27" t="s">
        <v>307</v>
      </c>
      <c r="D87" s="27" t="s">
        <v>308</v>
      </c>
      <c r="E87" s="28" t="s">
        <v>46</v>
      </c>
      <c r="F87" s="29" t="s">
        <v>46</v>
      </c>
      <c r="G87" s="30" t="s">
        <v>46</v>
      </c>
      <c r="H87" s="31"/>
      <c r="I87" s="31" t="s">
        <v>47</v>
      </c>
      <c r="J87" s="32" t="n">
        <v>1.0</v>
      </c>
      <c r="K87" s="33" t="n">
        <f>67500</f>
        <v>67500.0</v>
      </c>
      <c r="L87" s="34" t="s">
        <v>48</v>
      </c>
      <c r="M87" s="33" t="n">
        <f>68400</f>
        <v>68400.0</v>
      </c>
      <c r="N87" s="34" t="s">
        <v>69</v>
      </c>
      <c r="O87" s="33" t="n">
        <f>65300</f>
        <v>65300.0</v>
      </c>
      <c r="P87" s="34" t="s">
        <v>73</v>
      </c>
      <c r="Q87" s="33" t="n">
        <f>67450</f>
        <v>67450.0</v>
      </c>
      <c r="R87" s="34" t="s">
        <v>51</v>
      </c>
      <c r="S87" s="35" t="n">
        <f>67241.43</f>
        <v>67241.43</v>
      </c>
      <c r="T87" s="32" t="n">
        <f>96794</f>
        <v>96794.0</v>
      </c>
      <c r="U87" s="32" t="str">
        <f>"－"</f>
        <v>－</v>
      </c>
      <c r="V87" s="32" t="n">
        <f>6513730200</f>
        <v>6.5137302E9</v>
      </c>
      <c r="W87" s="32" t="str">
        <f>"－"</f>
        <v>－</v>
      </c>
      <c r="X87" s="36" t="n">
        <f>21</f>
        <v>21.0</v>
      </c>
    </row>
    <row r="88">
      <c r="A88" s="27" t="s">
        <v>42</v>
      </c>
      <c r="B88" s="27" t="s">
        <v>309</v>
      </c>
      <c r="C88" s="27" t="s">
        <v>310</v>
      </c>
      <c r="D88" s="27" t="s">
        <v>311</v>
      </c>
      <c r="E88" s="28" t="s">
        <v>46</v>
      </c>
      <c r="F88" s="29" t="s">
        <v>46</v>
      </c>
      <c r="G88" s="30" t="s">
        <v>46</v>
      </c>
      <c r="H88" s="31"/>
      <c r="I88" s="31" t="s">
        <v>47</v>
      </c>
      <c r="J88" s="32" t="n">
        <v>1.0</v>
      </c>
      <c r="K88" s="33" t="n">
        <f>3325</f>
        <v>3325.0</v>
      </c>
      <c r="L88" s="34" t="s">
        <v>48</v>
      </c>
      <c r="M88" s="33" t="n">
        <f>3345</f>
        <v>3345.0</v>
      </c>
      <c r="N88" s="34" t="s">
        <v>89</v>
      </c>
      <c r="O88" s="33" t="n">
        <f>3200</f>
        <v>3200.0</v>
      </c>
      <c r="P88" s="34" t="s">
        <v>50</v>
      </c>
      <c r="Q88" s="33" t="n">
        <f>3285</f>
        <v>3285.0</v>
      </c>
      <c r="R88" s="34" t="s">
        <v>51</v>
      </c>
      <c r="S88" s="35" t="n">
        <f>3273.81</f>
        <v>3273.81</v>
      </c>
      <c r="T88" s="32" t="n">
        <f>7634</f>
        <v>7634.0</v>
      </c>
      <c r="U88" s="32" t="str">
        <f>"－"</f>
        <v>－</v>
      </c>
      <c r="V88" s="32" t="n">
        <f>24922040</f>
        <v>2.492204E7</v>
      </c>
      <c r="W88" s="32" t="str">
        <f>"－"</f>
        <v>－</v>
      </c>
      <c r="X88" s="36" t="n">
        <f>21</f>
        <v>21.0</v>
      </c>
    </row>
    <row r="89">
      <c r="A89" s="27" t="s">
        <v>42</v>
      </c>
      <c r="B89" s="27" t="s">
        <v>312</v>
      </c>
      <c r="C89" s="27" t="s">
        <v>313</v>
      </c>
      <c r="D89" s="27" t="s">
        <v>314</v>
      </c>
      <c r="E89" s="28" t="s">
        <v>46</v>
      </c>
      <c r="F89" s="29" t="s">
        <v>46</v>
      </c>
      <c r="G89" s="30" t="s">
        <v>46</v>
      </c>
      <c r="H89" s="31"/>
      <c r="I89" s="31" t="s">
        <v>47</v>
      </c>
      <c r="J89" s="32" t="n">
        <v>1.0</v>
      </c>
      <c r="K89" s="33" t="n">
        <f>4500</f>
        <v>4500.0</v>
      </c>
      <c r="L89" s="34" t="s">
        <v>48</v>
      </c>
      <c r="M89" s="33" t="n">
        <f>4500</f>
        <v>4500.0</v>
      </c>
      <c r="N89" s="34" t="s">
        <v>48</v>
      </c>
      <c r="O89" s="33" t="n">
        <f>4320</f>
        <v>4320.0</v>
      </c>
      <c r="P89" s="34" t="s">
        <v>73</v>
      </c>
      <c r="Q89" s="33" t="n">
        <f>4450</f>
        <v>4450.0</v>
      </c>
      <c r="R89" s="34" t="s">
        <v>51</v>
      </c>
      <c r="S89" s="35" t="n">
        <f>4408.57</f>
        <v>4408.57</v>
      </c>
      <c r="T89" s="32" t="n">
        <f>6661</f>
        <v>6661.0</v>
      </c>
      <c r="U89" s="32" t="str">
        <f>"－"</f>
        <v>－</v>
      </c>
      <c r="V89" s="32" t="n">
        <f>29297685</f>
        <v>2.9297685E7</v>
      </c>
      <c r="W89" s="32" t="str">
        <f>"－"</f>
        <v>－</v>
      </c>
      <c r="X89" s="36" t="n">
        <f>21</f>
        <v>21.0</v>
      </c>
    </row>
    <row r="90">
      <c r="A90" s="27" t="s">
        <v>42</v>
      </c>
      <c r="B90" s="27" t="s">
        <v>315</v>
      </c>
      <c r="C90" s="27" t="s">
        <v>316</v>
      </c>
      <c r="D90" s="27" t="s">
        <v>317</v>
      </c>
      <c r="E90" s="28" t="s">
        <v>46</v>
      </c>
      <c r="F90" s="29" t="s">
        <v>46</v>
      </c>
      <c r="G90" s="30" t="s">
        <v>46</v>
      </c>
      <c r="H90" s="31"/>
      <c r="I90" s="31" t="s">
        <v>47</v>
      </c>
      <c r="J90" s="32" t="n">
        <v>1.0</v>
      </c>
      <c r="K90" s="33" t="n">
        <f>2560</f>
        <v>2560.0</v>
      </c>
      <c r="L90" s="34" t="s">
        <v>48</v>
      </c>
      <c r="M90" s="33" t="n">
        <f>2588</f>
        <v>2588.0</v>
      </c>
      <c r="N90" s="34" t="s">
        <v>51</v>
      </c>
      <c r="O90" s="33" t="n">
        <f>2348</f>
        <v>2348.0</v>
      </c>
      <c r="P90" s="34" t="s">
        <v>254</v>
      </c>
      <c r="Q90" s="33" t="n">
        <f>2562</f>
        <v>2562.0</v>
      </c>
      <c r="R90" s="34" t="s">
        <v>51</v>
      </c>
      <c r="S90" s="35" t="n">
        <f>2459.48</f>
        <v>2459.48</v>
      </c>
      <c r="T90" s="32" t="n">
        <f>2412892</f>
        <v>2412892.0</v>
      </c>
      <c r="U90" s="32" t="n">
        <f>34643</f>
        <v>34643.0</v>
      </c>
      <c r="V90" s="32" t="n">
        <f>5919843074</f>
        <v>5.919843074E9</v>
      </c>
      <c r="W90" s="32" t="n">
        <f>85448509</f>
        <v>8.5448509E7</v>
      </c>
      <c r="X90" s="36" t="n">
        <f>21</f>
        <v>21.0</v>
      </c>
    </row>
    <row r="91">
      <c r="A91" s="27" t="s">
        <v>42</v>
      </c>
      <c r="B91" s="27" t="s">
        <v>318</v>
      </c>
      <c r="C91" s="27" t="s">
        <v>319</v>
      </c>
      <c r="D91" s="27" t="s">
        <v>320</v>
      </c>
      <c r="E91" s="28" t="s">
        <v>46</v>
      </c>
      <c r="F91" s="29" t="s">
        <v>46</v>
      </c>
      <c r="G91" s="30" t="s">
        <v>46</v>
      </c>
      <c r="H91" s="31"/>
      <c r="I91" s="31" t="s">
        <v>47</v>
      </c>
      <c r="J91" s="32" t="n">
        <v>1.0</v>
      </c>
      <c r="K91" s="33" t="n">
        <f>48570</f>
        <v>48570.0</v>
      </c>
      <c r="L91" s="34" t="s">
        <v>48</v>
      </c>
      <c r="M91" s="33" t="n">
        <f>48800</f>
        <v>48800.0</v>
      </c>
      <c r="N91" s="34" t="s">
        <v>48</v>
      </c>
      <c r="O91" s="33" t="n">
        <f>47020</f>
        <v>47020.0</v>
      </c>
      <c r="P91" s="34" t="s">
        <v>90</v>
      </c>
      <c r="Q91" s="33" t="n">
        <f>48170</f>
        <v>48170.0</v>
      </c>
      <c r="R91" s="34" t="s">
        <v>51</v>
      </c>
      <c r="S91" s="35" t="n">
        <f>48078.1</f>
        <v>48078.1</v>
      </c>
      <c r="T91" s="32" t="n">
        <f>15090</f>
        <v>15090.0</v>
      </c>
      <c r="U91" s="32" t="n">
        <f>419</f>
        <v>419.0</v>
      </c>
      <c r="V91" s="32" t="n">
        <f>724574736</f>
        <v>7.24574736E8</v>
      </c>
      <c r="W91" s="32" t="n">
        <f>20097826</f>
        <v>2.0097826E7</v>
      </c>
      <c r="X91" s="36" t="n">
        <f>21</f>
        <v>21.0</v>
      </c>
    </row>
    <row r="92">
      <c r="A92" s="27" t="s">
        <v>42</v>
      </c>
      <c r="B92" s="27" t="s">
        <v>321</v>
      </c>
      <c r="C92" s="27" t="s">
        <v>322</v>
      </c>
      <c r="D92" s="27" t="s">
        <v>323</v>
      </c>
      <c r="E92" s="28" t="s">
        <v>46</v>
      </c>
      <c r="F92" s="29" t="s">
        <v>46</v>
      </c>
      <c r="G92" s="30" t="s">
        <v>46</v>
      </c>
      <c r="H92" s="31"/>
      <c r="I92" s="31" t="s">
        <v>47</v>
      </c>
      <c r="J92" s="32" t="n">
        <v>10.0</v>
      </c>
      <c r="K92" s="33" t="n">
        <f>37080</f>
        <v>37080.0</v>
      </c>
      <c r="L92" s="34" t="s">
        <v>48</v>
      </c>
      <c r="M92" s="33" t="n">
        <f>37170</f>
        <v>37170.0</v>
      </c>
      <c r="N92" s="34" t="s">
        <v>49</v>
      </c>
      <c r="O92" s="33" t="n">
        <f>34210</f>
        <v>34210.0</v>
      </c>
      <c r="P92" s="34" t="s">
        <v>50</v>
      </c>
      <c r="Q92" s="33" t="n">
        <f>36390</f>
        <v>36390.0</v>
      </c>
      <c r="R92" s="34" t="s">
        <v>51</v>
      </c>
      <c r="S92" s="35" t="n">
        <f>35840</f>
        <v>35840.0</v>
      </c>
      <c r="T92" s="32" t="n">
        <f>1659470</f>
        <v>1659470.0</v>
      </c>
      <c r="U92" s="32" t="str">
        <f>"－"</f>
        <v>－</v>
      </c>
      <c r="V92" s="32" t="n">
        <f>59449928600</f>
        <v>5.94499286E10</v>
      </c>
      <c r="W92" s="32" t="str">
        <f>"－"</f>
        <v>－</v>
      </c>
      <c r="X92" s="36" t="n">
        <f>21</f>
        <v>21.0</v>
      </c>
    </row>
    <row r="93">
      <c r="A93" s="27" t="s">
        <v>42</v>
      </c>
      <c r="B93" s="27" t="s">
        <v>324</v>
      </c>
      <c r="C93" s="27" t="s">
        <v>325</v>
      </c>
      <c r="D93" s="27" t="s">
        <v>326</v>
      </c>
      <c r="E93" s="28" t="s">
        <v>46</v>
      </c>
      <c r="F93" s="29" t="s">
        <v>46</v>
      </c>
      <c r="G93" s="30" t="s">
        <v>46</v>
      </c>
      <c r="H93" s="31"/>
      <c r="I93" s="31" t="s">
        <v>47</v>
      </c>
      <c r="J93" s="32" t="n">
        <v>10.0</v>
      </c>
      <c r="K93" s="33" t="n">
        <f>1561</f>
        <v>1561.0</v>
      </c>
      <c r="L93" s="34" t="s">
        <v>48</v>
      </c>
      <c r="M93" s="33" t="n">
        <f>1619.5</f>
        <v>1619.5</v>
      </c>
      <c r="N93" s="34" t="s">
        <v>50</v>
      </c>
      <c r="O93" s="33" t="n">
        <f>1557</f>
        <v>1557.0</v>
      </c>
      <c r="P93" s="34" t="s">
        <v>49</v>
      </c>
      <c r="Q93" s="33" t="n">
        <f>1568</f>
        <v>1568.0</v>
      </c>
      <c r="R93" s="34" t="s">
        <v>51</v>
      </c>
      <c r="S93" s="35" t="n">
        <f>1583.33</f>
        <v>1583.33</v>
      </c>
      <c r="T93" s="32" t="n">
        <f>899420</f>
        <v>899420.0</v>
      </c>
      <c r="U93" s="32" t="str">
        <f>"－"</f>
        <v>－</v>
      </c>
      <c r="V93" s="32" t="n">
        <f>1427466040</f>
        <v>1.42746604E9</v>
      </c>
      <c r="W93" s="32" t="str">
        <f>"－"</f>
        <v>－</v>
      </c>
      <c r="X93" s="36" t="n">
        <f>21</f>
        <v>21.0</v>
      </c>
    </row>
    <row r="94">
      <c r="A94" s="27" t="s">
        <v>42</v>
      </c>
      <c r="B94" s="27" t="s">
        <v>327</v>
      </c>
      <c r="C94" s="27" t="s">
        <v>328</v>
      </c>
      <c r="D94" s="27" t="s">
        <v>329</v>
      </c>
      <c r="E94" s="28" t="s">
        <v>46</v>
      </c>
      <c r="F94" s="29" t="s">
        <v>46</v>
      </c>
      <c r="G94" s="30" t="s">
        <v>46</v>
      </c>
      <c r="H94" s="31"/>
      <c r="I94" s="31" t="s">
        <v>47</v>
      </c>
      <c r="J94" s="32" t="n">
        <v>1.0</v>
      </c>
      <c r="K94" s="33" t="n">
        <f>21240</f>
        <v>21240.0</v>
      </c>
      <c r="L94" s="34" t="s">
        <v>48</v>
      </c>
      <c r="M94" s="33" t="n">
        <f>21505</f>
        <v>21505.0</v>
      </c>
      <c r="N94" s="34" t="s">
        <v>69</v>
      </c>
      <c r="O94" s="33" t="n">
        <f>19520</f>
        <v>19520.0</v>
      </c>
      <c r="P94" s="34" t="s">
        <v>73</v>
      </c>
      <c r="Q94" s="33" t="n">
        <f>21055</f>
        <v>21055.0</v>
      </c>
      <c r="R94" s="34" t="s">
        <v>51</v>
      </c>
      <c r="S94" s="35" t="n">
        <f>20631.43</f>
        <v>20631.43</v>
      </c>
      <c r="T94" s="32" t="n">
        <f>109085949</f>
        <v>1.09085949E8</v>
      </c>
      <c r="U94" s="32" t="n">
        <f>50457</f>
        <v>50457.0</v>
      </c>
      <c r="V94" s="32" t="n">
        <f>2248090828474</f>
        <v>2.248090828474E12</v>
      </c>
      <c r="W94" s="32" t="n">
        <f>1036787449</f>
        <v>1.036787449E9</v>
      </c>
      <c r="X94" s="36" t="n">
        <f>21</f>
        <v>21.0</v>
      </c>
    </row>
    <row r="95">
      <c r="A95" s="27" t="s">
        <v>42</v>
      </c>
      <c r="B95" s="27" t="s">
        <v>330</v>
      </c>
      <c r="C95" s="27" t="s">
        <v>331</v>
      </c>
      <c r="D95" s="27" t="s">
        <v>332</v>
      </c>
      <c r="E95" s="28" t="s">
        <v>46</v>
      </c>
      <c r="F95" s="29" t="s">
        <v>46</v>
      </c>
      <c r="G95" s="30" t="s">
        <v>46</v>
      </c>
      <c r="H95" s="31"/>
      <c r="I95" s="31" t="s">
        <v>47</v>
      </c>
      <c r="J95" s="32" t="n">
        <v>1.0</v>
      </c>
      <c r="K95" s="33" t="n">
        <f>743</f>
        <v>743.0</v>
      </c>
      <c r="L95" s="34" t="s">
        <v>48</v>
      </c>
      <c r="M95" s="33" t="n">
        <f>774</f>
        <v>774.0</v>
      </c>
      <c r="N95" s="34" t="s">
        <v>73</v>
      </c>
      <c r="O95" s="33" t="n">
        <f>736</f>
        <v>736.0</v>
      </c>
      <c r="P95" s="34" t="s">
        <v>69</v>
      </c>
      <c r="Q95" s="33" t="n">
        <f>744</f>
        <v>744.0</v>
      </c>
      <c r="R95" s="34" t="s">
        <v>51</v>
      </c>
      <c r="S95" s="35" t="n">
        <f>752.33</f>
        <v>752.33</v>
      </c>
      <c r="T95" s="32" t="n">
        <f>50276228</f>
        <v>5.0276228E7</v>
      </c>
      <c r="U95" s="32" t="n">
        <f>2363444</f>
        <v>2363444.0</v>
      </c>
      <c r="V95" s="32" t="n">
        <f>37826882569</f>
        <v>3.7826882569E10</v>
      </c>
      <c r="W95" s="32" t="n">
        <f>1792761142</f>
        <v>1.792761142E9</v>
      </c>
      <c r="X95" s="36" t="n">
        <f>21</f>
        <v>21.0</v>
      </c>
    </row>
    <row r="96">
      <c r="A96" s="27" t="s">
        <v>42</v>
      </c>
      <c r="B96" s="27" t="s">
        <v>333</v>
      </c>
      <c r="C96" s="27" t="s">
        <v>334</v>
      </c>
      <c r="D96" s="27" t="s">
        <v>335</v>
      </c>
      <c r="E96" s="28" t="s">
        <v>46</v>
      </c>
      <c r="F96" s="29" t="s">
        <v>46</v>
      </c>
      <c r="G96" s="30" t="s">
        <v>46</v>
      </c>
      <c r="H96" s="31"/>
      <c r="I96" s="31" t="s">
        <v>47</v>
      </c>
      <c r="J96" s="32" t="n">
        <v>10.0</v>
      </c>
      <c r="K96" s="33" t="n">
        <f>3810</f>
        <v>3810.0</v>
      </c>
      <c r="L96" s="34" t="s">
        <v>48</v>
      </c>
      <c r="M96" s="33" t="n">
        <f>3848</f>
        <v>3848.0</v>
      </c>
      <c r="N96" s="34" t="s">
        <v>48</v>
      </c>
      <c r="O96" s="33" t="n">
        <f>3154</f>
        <v>3154.0</v>
      </c>
      <c r="P96" s="34" t="s">
        <v>116</v>
      </c>
      <c r="Q96" s="33" t="n">
        <f>3401</f>
        <v>3401.0</v>
      </c>
      <c r="R96" s="34" t="s">
        <v>51</v>
      </c>
      <c r="S96" s="35" t="n">
        <f>3358.52</f>
        <v>3358.52</v>
      </c>
      <c r="T96" s="32" t="n">
        <f>387160</f>
        <v>387160.0</v>
      </c>
      <c r="U96" s="32" t="str">
        <f>"－"</f>
        <v>－</v>
      </c>
      <c r="V96" s="32" t="n">
        <f>1307769700</f>
        <v>1.3077697E9</v>
      </c>
      <c r="W96" s="32" t="str">
        <f>"－"</f>
        <v>－</v>
      </c>
      <c r="X96" s="36" t="n">
        <f>21</f>
        <v>21.0</v>
      </c>
    </row>
    <row r="97">
      <c r="A97" s="27" t="s">
        <v>42</v>
      </c>
      <c r="B97" s="27" t="s">
        <v>336</v>
      </c>
      <c r="C97" s="27" t="s">
        <v>337</v>
      </c>
      <c r="D97" s="27" t="s">
        <v>338</v>
      </c>
      <c r="E97" s="28" t="s">
        <v>46</v>
      </c>
      <c r="F97" s="29" t="s">
        <v>46</v>
      </c>
      <c r="G97" s="30" t="s">
        <v>46</v>
      </c>
      <c r="H97" s="31"/>
      <c r="I97" s="31" t="s">
        <v>47</v>
      </c>
      <c r="J97" s="32" t="n">
        <v>10.0</v>
      </c>
      <c r="K97" s="33" t="n">
        <f>12640</f>
        <v>12640.0</v>
      </c>
      <c r="L97" s="34" t="s">
        <v>48</v>
      </c>
      <c r="M97" s="33" t="n">
        <f>13425</f>
        <v>13425.0</v>
      </c>
      <c r="N97" s="34" t="s">
        <v>61</v>
      </c>
      <c r="O97" s="33" t="n">
        <f>12255</f>
        <v>12255.0</v>
      </c>
      <c r="P97" s="34" t="s">
        <v>51</v>
      </c>
      <c r="Q97" s="33" t="n">
        <f>12330</f>
        <v>12330.0</v>
      </c>
      <c r="R97" s="34" t="s">
        <v>51</v>
      </c>
      <c r="S97" s="35" t="n">
        <f>12825.95</f>
        <v>12825.95</v>
      </c>
      <c r="T97" s="32" t="n">
        <f>51690</f>
        <v>51690.0</v>
      </c>
      <c r="U97" s="32" t="n">
        <f>20</f>
        <v>20.0</v>
      </c>
      <c r="V97" s="32" t="n">
        <f>662035000</f>
        <v>6.62035E8</v>
      </c>
      <c r="W97" s="32" t="n">
        <f>255900</f>
        <v>255900.0</v>
      </c>
      <c r="X97" s="36" t="n">
        <f>21</f>
        <v>21.0</v>
      </c>
    </row>
    <row r="98">
      <c r="A98" s="27" t="s">
        <v>42</v>
      </c>
      <c r="B98" s="27" t="s">
        <v>339</v>
      </c>
      <c r="C98" s="27" t="s">
        <v>340</v>
      </c>
      <c r="D98" s="27" t="s">
        <v>341</v>
      </c>
      <c r="E98" s="28" t="s">
        <v>46</v>
      </c>
      <c r="F98" s="29" t="s">
        <v>46</v>
      </c>
      <c r="G98" s="30" t="s">
        <v>46</v>
      </c>
      <c r="H98" s="31"/>
      <c r="I98" s="31" t="s">
        <v>47</v>
      </c>
      <c r="J98" s="32" t="n">
        <v>1.0</v>
      </c>
      <c r="K98" s="33" t="n">
        <f>32480</f>
        <v>32480.0</v>
      </c>
      <c r="L98" s="34" t="s">
        <v>48</v>
      </c>
      <c r="M98" s="33" t="n">
        <f>32540</f>
        <v>32540.0</v>
      </c>
      <c r="N98" s="34" t="s">
        <v>49</v>
      </c>
      <c r="O98" s="33" t="n">
        <f>30730</f>
        <v>30730.0</v>
      </c>
      <c r="P98" s="34" t="s">
        <v>50</v>
      </c>
      <c r="Q98" s="33" t="n">
        <f>31970</f>
        <v>31970.0</v>
      </c>
      <c r="R98" s="34" t="s">
        <v>51</v>
      </c>
      <c r="S98" s="35" t="n">
        <f>31734.29</f>
        <v>31734.29</v>
      </c>
      <c r="T98" s="32" t="n">
        <f>109972</f>
        <v>109972.0</v>
      </c>
      <c r="U98" s="32" t="n">
        <f>39816</f>
        <v>39816.0</v>
      </c>
      <c r="V98" s="32" t="n">
        <f>3468929916</f>
        <v>3.468929916E9</v>
      </c>
      <c r="W98" s="32" t="n">
        <f>1253472316</f>
        <v>1.253472316E9</v>
      </c>
      <c r="X98" s="36" t="n">
        <f>21</f>
        <v>21.0</v>
      </c>
    </row>
    <row r="99">
      <c r="A99" s="27" t="s">
        <v>42</v>
      </c>
      <c r="B99" s="27" t="s">
        <v>342</v>
      </c>
      <c r="C99" s="27" t="s">
        <v>343</v>
      </c>
      <c r="D99" s="27" t="s">
        <v>344</v>
      </c>
      <c r="E99" s="28" t="s">
        <v>46</v>
      </c>
      <c r="F99" s="29" t="s">
        <v>46</v>
      </c>
      <c r="G99" s="30" t="s">
        <v>46</v>
      </c>
      <c r="H99" s="31"/>
      <c r="I99" s="31" t="s">
        <v>47</v>
      </c>
      <c r="J99" s="32" t="n">
        <v>1.0</v>
      </c>
      <c r="K99" s="33" t="n">
        <f>2693</f>
        <v>2693.0</v>
      </c>
      <c r="L99" s="34" t="s">
        <v>48</v>
      </c>
      <c r="M99" s="33" t="n">
        <f>2736</f>
        <v>2736.0</v>
      </c>
      <c r="N99" s="34" t="s">
        <v>177</v>
      </c>
      <c r="O99" s="33" t="n">
        <f>2582</f>
        <v>2582.0</v>
      </c>
      <c r="P99" s="34" t="s">
        <v>73</v>
      </c>
      <c r="Q99" s="33" t="n">
        <f>2685</f>
        <v>2685.0</v>
      </c>
      <c r="R99" s="34" t="s">
        <v>51</v>
      </c>
      <c r="S99" s="35" t="n">
        <f>2656.95</f>
        <v>2656.95</v>
      </c>
      <c r="T99" s="32" t="n">
        <f>690272</f>
        <v>690272.0</v>
      </c>
      <c r="U99" s="32" t="n">
        <f>561000</f>
        <v>561000.0</v>
      </c>
      <c r="V99" s="32" t="n">
        <f>1834349986</f>
        <v>1.834349986E9</v>
      </c>
      <c r="W99" s="32" t="n">
        <f>1490021700</f>
        <v>1.4900217E9</v>
      </c>
      <c r="X99" s="36" t="n">
        <f>21</f>
        <v>21.0</v>
      </c>
    </row>
    <row r="100">
      <c r="A100" s="27" t="s">
        <v>42</v>
      </c>
      <c r="B100" s="27" t="s">
        <v>345</v>
      </c>
      <c r="C100" s="27" t="s">
        <v>346</v>
      </c>
      <c r="D100" s="27" t="s">
        <v>347</v>
      </c>
      <c r="E100" s="28" t="s">
        <v>46</v>
      </c>
      <c r="F100" s="29" t="s">
        <v>46</v>
      </c>
      <c r="G100" s="30" t="s">
        <v>46</v>
      </c>
      <c r="H100" s="31"/>
      <c r="I100" s="31" t="s">
        <v>47</v>
      </c>
      <c r="J100" s="32" t="n">
        <v>10.0</v>
      </c>
      <c r="K100" s="33" t="n">
        <f>22710</f>
        <v>22710.0</v>
      </c>
      <c r="L100" s="34" t="s">
        <v>48</v>
      </c>
      <c r="M100" s="33" t="n">
        <f>22990</f>
        <v>22990.0</v>
      </c>
      <c r="N100" s="34" t="s">
        <v>69</v>
      </c>
      <c r="O100" s="33" t="n">
        <f>20860</f>
        <v>20860.0</v>
      </c>
      <c r="P100" s="34" t="s">
        <v>73</v>
      </c>
      <c r="Q100" s="33" t="n">
        <f>22495</f>
        <v>22495.0</v>
      </c>
      <c r="R100" s="34" t="s">
        <v>51</v>
      </c>
      <c r="S100" s="35" t="n">
        <f>22050.24</f>
        <v>22050.24</v>
      </c>
      <c r="T100" s="32" t="n">
        <f>9482730</f>
        <v>9482730.0</v>
      </c>
      <c r="U100" s="32" t="n">
        <f>70</f>
        <v>70.0</v>
      </c>
      <c r="V100" s="32" t="n">
        <f>208889826700</f>
        <v>2.088898267E11</v>
      </c>
      <c r="W100" s="32" t="n">
        <f>1547150</f>
        <v>1547150.0</v>
      </c>
      <c r="X100" s="36" t="n">
        <f>21</f>
        <v>21.0</v>
      </c>
    </row>
    <row r="101">
      <c r="A101" s="27" t="s">
        <v>42</v>
      </c>
      <c r="B101" s="27" t="s">
        <v>348</v>
      </c>
      <c r="C101" s="27" t="s">
        <v>349</v>
      </c>
      <c r="D101" s="27" t="s">
        <v>350</v>
      </c>
      <c r="E101" s="28" t="s">
        <v>46</v>
      </c>
      <c r="F101" s="29" t="s">
        <v>46</v>
      </c>
      <c r="G101" s="30" t="s">
        <v>46</v>
      </c>
      <c r="H101" s="31"/>
      <c r="I101" s="31" t="s">
        <v>47</v>
      </c>
      <c r="J101" s="32" t="n">
        <v>10.0</v>
      </c>
      <c r="K101" s="33" t="n">
        <f>1973</f>
        <v>1973.0</v>
      </c>
      <c r="L101" s="34" t="s">
        <v>48</v>
      </c>
      <c r="M101" s="33" t="n">
        <f>2054</f>
        <v>2054.0</v>
      </c>
      <c r="N101" s="34" t="s">
        <v>73</v>
      </c>
      <c r="O101" s="33" t="n">
        <f>1953</f>
        <v>1953.0</v>
      </c>
      <c r="P101" s="34" t="s">
        <v>69</v>
      </c>
      <c r="Q101" s="33" t="n">
        <f>1974</f>
        <v>1974.0</v>
      </c>
      <c r="R101" s="34" t="s">
        <v>51</v>
      </c>
      <c r="S101" s="35" t="n">
        <f>1997.07</f>
        <v>1997.07</v>
      </c>
      <c r="T101" s="32" t="n">
        <f>3204750</f>
        <v>3204750.0</v>
      </c>
      <c r="U101" s="32" t="n">
        <f>520000</f>
        <v>520000.0</v>
      </c>
      <c r="V101" s="32" t="n">
        <f>6394940305</f>
        <v>6.394940305E9</v>
      </c>
      <c r="W101" s="32" t="n">
        <f>1036485000</f>
        <v>1.036485E9</v>
      </c>
      <c r="X101" s="36" t="n">
        <f>21</f>
        <v>21.0</v>
      </c>
    </row>
    <row r="102">
      <c r="A102" s="27" t="s">
        <v>42</v>
      </c>
      <c r="B102" s="27" t="s">
        <v>351</v>
      </c>
      <c r="C102" s="27" t="s">
        <v>352</v>
      </c>
      <c r="D102" s="27" t="s">
        <v>353</v>
      </c>
      <c r="E102" s="28" t="s">
        <v>46</v>
      </c>
      <c r="F102" s="29" t="s">
        <v>46</v>
      </c>
      <c r="G102" s="30" t="s">
        <v>46</v>
      </c>
      <c r="H102" s="31"/>
      <c r="I102" s="31" t="s">
        <v>47</v>
      </c>
      <c r="J102" s="32" t="n">
        <v>10.0</v>
      </c>
      <c r="K102" s="33" t="n">
        <f>1671</f>
        <v>1671.0</v>
      </c>
      <c r="L102" s="34" t="s">
        <v>48</v>
      </c>
      <c r="M102" s="33" t="n">
        <f>1683</f>
        <v>1683.0</v>
      </c>
      <c r="N102" s="34" t="s">
        <v>48</v>
      </c>
      <c r="O102" s="33" t="n">
        <f>1626</f>
        <v>1626.0</v>
      </c>
      <c r="P102" s="34" t="s">
        <v>50</v>
      </c>
      <c r="Q102" s="33" t="n">
        <f>1670</f>
        <v>1670.0</v>
      </c>
      <c r="R102" s="34" t="s">
        <v>51</v>
      </c>
      <c r="S102" s="35" t="n">
        <f>1656.88</f>
        <v>1656.88</v>
      </c>
      <c r="T102" s="32" t="n">
        <f>23820</f>
        <v>23820.0</v>
      </c>
      <c r="U102" s="32" t="n">
        <f>30</f>
        <v>30.0</v>
      </c>
      <c r="V102" s="32" t="n">
        <f>39491930</f>
        <v>3.949193E7</v>
      </c>
      <c r="W102" s="32" t="n">
        <f>49660</f>
        <v>49660.0</v>
      </c>
      <c r="X102" s="36" t="n">
        <f>21</f>
        <v>21.0</v>
      </c>
    </row>
    <row r="103">
      <c r="A103" s="27" t="s">
        <v>42</v>
      </c>
      <c r="B103" s="27" t="s">
        <v>354</v>
      </c>
      <c r="C103" s="27" t="s">
        <v>355</v>
      </c>
      <c r="D103" s="27" t="s">
        <v>356</v>
      </c>
      <c r="E103" s="28" t="s">
        <v>46</v>
      </c>
      <c r="F103" s="29" t="s">
        <v>46</v>
      </c>
      <c r="G103" s="30" t="s">
        <v>46</v>
      </c>
      <c r="H103" s="31"/>
      <c r="I103" s="31" t="s">
        <v>47</v>
      </c>
      <c r="J103" s="32" t="n">
        <v>1.0</v>
      </c>
      <c r="K103" s="33" t="n">
        <f>1940</f>
        <v>1940.0</v>
      </c>
      <c r="L103" s="34" t="s">
        <v>48</v>
      </c>
      <c r="M103" s="33" t="n">
        <f>2040</f>
        <v>2040.0</v>
      </c>
      <c r="N103" s="34" t="s">
        <v>203</v>
      </c>
      <c r="O103" s="33" t="n">
        <f>1871</f>
        <v>1871.0</v>
      </c>
      <c r="P103" s="34" t="s">
        <v>116</v>
      </c>
      <c r="Q103" s="33" t="n">
        <f>1940</f>
        <v>1940.0</v>
      </c>
      <c r="R103" s="34" t="s">
        <v>51</v>
      </c>
      <c r="S103" s="35" t="n">
        <f>1925.57</f>
        <v>1925.57</v>
      </c>
      <c r="T103" s="32" t="n">
        <f>5965</f>
        <v>5965.0</v>
      </c>
      <c r="U103" s="32" t="n">
        <f>1</f>
        <v>1.0</v>
      </c>
      <c r="V103" s="32" t="n">
        <f>11549398</f>
        <v>1.1549398E7</v>
      </c>
      <c r="W103" s="32" t="n">
        <f>1900</f>
        <v>1900.0</v>
      </c>
      <c r="X103" s="36" t="n">
        <f>21</f>
        <v>21.0</v>
      </c>
    </row>
    <row r="104">
      <c r="A104" s="27" t="s">
        <v>42</v>
      </c>
      <c r="B104" s="27" t="s">
        <v>357</v>
      </c>
      <c r="C104" s="27" t="s">
        <v>358</v>
      </c>
      <c r="D104" s="27" t="s">
        <v>359</v>
      </c>
      <c r="E104" s="28" t="s">
        <v>46</v>
      </c>
      <c r="F104" s="29" t="s">
        <v>46</v>
      </c>
      <c r="G104" s="30" t="s">
        <v>46</v>
      </c>
      <c r="H104" s="31"/>
      <c r="I104" s="31" t="s">
        <v>47</v>
      </c>
      <c r="J104" s="32" t="n">
        <v>1.0</v>
      </c>
      <c r="K104" s="33" t="n">
        <f>21615</f>
        <v>21615.0</v>
      </c>
      <c r="L104" s="34" t="s">
        <v>48</v>
      </c>
      <c r="M104" s="33" t="n">
        <f>21630</f>
        <v>21630.0</v>
      </c>
      <c r="N104" s="34" t="s">
        <v>48</v>
      </c>
      <c r="O104" s="33" t="n">
        <f>20765</f>
        <v>20765.0</v>
      </c>
      <c r="P104" s="34" t="s">
        <v>50</v>
      </c>
      <c r="Q104" s="33" t="n">
        <f>21365</f>
        <v>21365.0</v>
      </c>
      <c r="R104" s="34" t="s">
        <v>51</v>
      </c>
      <c r="S104" s="35" t="n">
        <f>21256.19</f>
        <v>21256.19</v>
      </c>
      <c r="T104" s="32" t="n">
        <f>69526</f>
        <v>69526.0</v>
      </c>
      <c r="U104" s="32" t="n">
        <f>20230</f>
        <v>20230.0</v>
      </c>
      <c r="V104" s="32" t="n">
        <f>1476333425</f>
        <v>1.476333425E9</v>
      </c>
      <c r="W104" s="32" t="n">
        <f>428178970</f>
        <v>4.2817897E8</v>
      </c>
      <c r="X104" s="36" t="n">
        <f>21</f>
        <v>21.0</v>
      </c>
    </row>
    <row r="105">
      <c r="A105" s="27" t="s">
        <v>42</v>
      </c>
      <c r="B105" s="27" t="s">
        <v>360</v>
      </c>
      <c r="C105" s="27" t="s">
        <v>361</v>
      </c>
      <c r="D105" s="27" t="s">
        <v>362</v>
      </c>
      <c r="E105" s="28" t="s">
        <v>46</v>
      </c>
      <c r="F105" s="29" t="s">
        <v>46</v>
      </c>
      <c r="G105" s="30" t="s">
        <v>46</v>
      </c>
      <c r="H105" s="31"/>
      <c r="I105" s="31" t="s">
        <v>47</v>
      </c>
      <c r="J105" s="32" t="n">
        <v>1.0</v>
      </c>
      <c r="K105" s="33" t="n">
        <f>1994</f>
        <v>1994.0</v>
      </c>
      <c r="L105" s="34" t="s">
        <v>48</v>
      </c>
      <c r="M105" s="33" t="n">
        <f>1994</f>
        <v>1994.0</v>
      </c>
      <c r="N105" s="34" t="s">
        <v>48</v>
      </c>
      <c r="O105" s="33" t="n">
        <f>1917</f>
        <v>1917.0</v>
      </c>
      <c r="P105" s="34" t="s">
        <v>50</v>
      </c>
      <c r="Q105" s="33" t="n">
        <f>1978</f>
        <v>1978.0</v>
      </c>
      <c r="R105" s="34" t="s">
        <v>51</v>
      </c>
      <c r="S105" s="35" t="n">
        <f>1962.1</f>
        <v>1962.1</v>
      </c>
      <c r="T105" s="32" t="n">
        <f>486213</f>
        <v>486213.0</v>
      </c>
      <c r="U105" s="32" t="n">
        <f>211448</f>
        <v>211448.0</v>
      </c>
      <c r="V105" s="32" t="n">
        <f>950348845</f>
        <v>9.50348845E8</v>
      </c>
      <c r="W105" s="32" t="n">
        <f>413262796</f>
        <v>4.13262796E8</v>
      </c>
      <c r="X105" s="36" t="n">
        <f>21</f>
        <v>21.0</v>
      </c>
    </row>
    <row r="106">
      <c r="A106" s="27" t="s">
        <v>42</v>
      </c>
      <c r="B106" s="27" t="s">
        <v>363</v>
      </c>
      <c r="C106" s="27" t="s">
        <v>364</v>
      </c>
      <c r="D106" s="27" t="s">
        <v>365</v>
      </c>
      <c r="E106" s="28" t="s">
        <v>46</v>
      </c>
      <c r="F106" s="29" t="s">
        <v>46</v>
      </c>
      <c r="G106" s="30" t="s">
        <v>46</v>
      </c>
      <c r="H106" s="31"/>
      <c r="I106" s="31" t="s">
        <v>47</v>
      </c>
      <c r="J106" s="32" t="n">
        <v>1.0</v>
      </c>
      <c r="K106" s="33" t="n">
        <f>22280</f>
        <v>22280.0</v>
      </c>
      <c r="L106" s="34" t="s">
        <v>48</v>
      </c>
      <c r="M106" s="33" t="n">
        <f>22300</f>
        <v>22300.0</v>
      </c>
      <c r="N106" s="34" t="s">
        <v>48</v>
      </c>
      <c r="O106" s="33" t="n">
        <f>21440</f>
        <v>21440.0</v>
      </c>
      <c r="P106" s="34" t="s">
        <v>50</v>
      </c>
      <c r="Q106" s="33" t="n">
        <f>22090</f>
        <v>22090.0</v>
      </c>
      <c r="R106" s="34" t="s">
        <v>51</v>
      </c>
      <c r="S106" s="35" t="n">
        <f>21932.38</f>
        <v>21932.38</v>
      </c>
      <c r="T106" s="32" t="n">
        <f>39516</f>
        <v>39516.0</v>
      </c>
      <c r="U106" s="32" t="n">
        <f>5400</f>
        <v>5400.0</v>
      </c>
      <c r="V106" s="32" t="n">
        <f>866582235</f>
        <v>8.66582235E8</v>
      </c>
      <c r="W106" s="32" t="n">
        <f>117849060</f>
        <v>1.1784906E8</v>
      </c>
      <c r="X106" s="36" t="n">
        <f>21</f>
        <v>21.0</v>
      </c>
    </row>
    <row r="107">
      <c r="A107" s="27" t="s">
        <v>42</v>
      </c>
      <c r="B107" s="27" t="s">
        <v>366</v>
      </c>
      <c r="C107" s="27" t="s">
        <v>367</v>
      </c>
      <c r="D107" s="27" t="s">
        <v>368</v>
      </c>
      <c r="E107" s="28" t="s">
        <v>46</v>
      </c>
      <c r="F107" s="29" t="s">
        <v>46</v>
      </c>
      <c r="G107" s="30" t="s">
        <v>46</v>
      </c>
      <c r="H107" s="31"/>
      <c r="I107" s="31" t="s">
        <v>47</v>
      </c>
      <c r="J107" s="32" t="n">
        <v>10.0</v>
      </c>
      <c r="K107" s="33" t="n">
        <f>1875</f>
        <v>1875.0</v>
      </c>
      <c r="L107" s="34" t="s">
        <v>48</v>
      </c>
      <c r="M107" s="33" t="n">
        <f>1875</f>
        <v>1875.0</v>
      </c>
      <c r="N107" s="34" t="s">
        <v>48</v>
      </c>
      <c r="O107" s="33" t="n">
        <f>1799.5</f>
        <v>1799.5</v>
      </c>
      <c r="P107" s="34" t="s">
        <v>103</v>
      </c>
      <c r="Q107" s="33" t="n">
        <f>1851.5</f>
        <v>1851.5</v>
      </c>
      <c r="R107" s="34" t="s">
        <v>51</v>
      </c>
      <c r="S107" s="35" t="n">
        <f>1839.83</f>
        <v>1839.83</v>
      </c>
      <c r="T107" s="32" t="n">
        <f>1547750</f>
        <v>1547750.0</v>
      </c>
      <c r="U107" s="32" t="n">
        <f>636700</f>
        <v>636700.0</v>
      </c>
      <c r="V107" s="32" t="n">
        <f>2826430289</f>
        <v>2.826430289E9</v>
      </c>
      <c r="W107" s="32" t="n">
        <f>1156921004</f>
        <v>1.156921004E9</v>
      </c>
      <c r="X107" s="36" t="n">
        <f>21</f>
        <v>21.0</v>
      </c>
    </row>
    <row r="108">
      <c r="A108" s="27" t="s">
        <v>42</v>
      </c>
      <c r="B108" s="27" t="s">
        <v>369</v>
      </c>
      <c r="C108" s="27" t="s">
        <v>370</v>
      </c>
      <c r="D108" s="27" t="s">
        <v>371</v>
      </c>
      <c r="E108" s="28" t="s">
        <v>46</v>
      </c>
      <c r="F108" s="29" t="s">
        <v>46</v>
      </c>
      <c r="G108" s="30" t="s">
        <v>46</v>
      </c>
      <c r="H108" s="31"/>
      <c r="I108" s="31" t="s">
        <v>47</v>
      </c>
      <c r="J108" s="32" t="n">
        <v>10.0</v>
      </c>
      <c r="K108" s="33" t="n">
        <f>2000</f>
        <v>2000.0</v>
      </c>
      <c r="L108" s="34" t="s">
        <v>48</v>
      </c>
      <c r="M108" s="33" t="n">
        <f>2000</f>
        <v>2000.0</v>
      </c>
      <c r="N108" s="34" t="s">
        <v>48</v>
      </c>
      <c r="O108" s="33" t="n">
        <f>1965</f>
        <v>1965.0</v>
      </c>
      <c r="P108" s="34" t="s">
        <v>157</v>
      </c>
      <c r="Q108" s="33" t="n">
        <f>1981</f>
        <v>1981.0</v>
      </c>
      <c r="R108" s="34" t="s">
        <v>103</v>
      </c>
      <c r="S108" s="35" t="n">
        <f>1980.25</f>
        <v>1980.25</v>
      </c>
      <c r="T108" s="32" t="n">
        <f>210</f>
        <v>210.0</v>
      </c>
      <c r="U108" s="32" t="str">
        <f>"－"</f>
        <v>－</v>
      </c>
      <c r="V108" s="32" t="n">
        <f>419210</f>
        <v>419210.0</v>
      </c>
      <c r="W108" s="32" t="str">
        <f>"－"</f>
        <v>－</v>
      </c>
      <c r="X108" s="36" t="n">
        <f>4</f>
        <v>4.0</v>
      </c>
    </row>
    <row r="109">
      <c r="A109" s="27" t="s">
        <v>42</v>
      </c>
      <c r="B109" s="27" t="s">
        <v>372</v>
      </c>
      <c r="C109" s="27" t="s">
        <v>373</v>
      </c>
      <c r="D109" s="27" t="s">
        <v>374</v>
      </c>
      <c r="E109" s="28" t="s">
        <v>46</v>
      </c>
      <c r="F109" s="29" t="s">
        <v>46</v>
      </c>
      <c r="G109" s="30" t="s">
        <v>46</v>
      </c>
      <c r="H109" s="31"/>
      <c r="I109" s="31" t="s">
        <v>47</v>
      </c>
      <c r="J109" s="32" t="n">
        <v>10.0</v>
      </c>
      <c r="K109" s="33" t="n">
        <f>1889.5</f>
        <v>1889.5</v>
      </c>
      <c r="L109" s="34" t="s">
        <v>48</v>
      </c>
      <c r="M109" s="33" t="n">
        <f>1892</f>
        <v>1892.0</v>
      </c>
      <c r="N109" s="34" t="s">
        <v>48</v>
      </c>
      <c r="O109" s="33" t="n">
        <f>1804</f>
        <v>1804.0</v>
      </c>
      <c r="P109" s="34" t="s">
        <v>103</v>
      </c>
      <c r="Q109" s="33" t="n">
        <f>1858</f>
        <v>1858.0</v>
      </c>
      <c r="R109" s="34" t="s">
        <v>51</v>
      </c>
      <c r="S109" s="35" t="n">
        <f>1847.1</f>
        <v>1847.1</v>
      </c>
      <c r="T109" s="32" t="n">
        <f>3798770</f>
        <v>3798770.0</v>
      </c>
      <c r="U109" s="32" t="n">
        <f>2204940</f>
        <v>2204940.0</v>
      </c>
      <c r="V109" s="32" t="n">
        <f>7011225248</f>
        <v>7.011225248E9</v>
      </c>
      <c r="W109" s="32" t="n">
        <f>4068567728</f>
        <v>4.068567728E9</v>
      </c>
      <c r="X109" s="36" t="n">
        <f>21</f>
        <v>21.0</v>
      </c>
    </row>
    <row r="110">
      <c r="A110" s="27" t="s">
        <v>42</v>
      </c>
      <c r="B110" s="27" t="s">
        <v>375</v>
      </c>
      <c r="C110" s="27" t="s">
        <v>376</v>
      </c>
      <c r="D110" s="27" t="s">
        <v>377</v>
      </c>
      <c r="E110" s="28" t="s">
        <v>46</v>
      </c>
      <c r="F110" s="29" t="s">
        <v>46</v>
      </c>
      <c r="G110" s="30" t="s">
        <v>46</v>
      </c>
      <c r="H110" s="31"/>
      <c r="I110" s="31" t="s">
        <v>47</v>
      </c>
      <c r="J110" s="32" t="n">
        <v>1.0</v>
      </c>
      <c r="K110" s="33" t="n">
        <f>21920</f>
        <v>21920.0</v>
      </c>
      <c r="L110" s="34" t="s">
        <v>89</v>
      </c>
      <c r="M110" s="33" t="n">
        <f>22200</f>
        <v>22200.0</v>
      </c>
      <c r="N110" s="34" t="s">
        <v>50</v>
      </c>
      <c r="O110" s="33" t="n">
        <f>21325</f>
        <v>21325.0</v>
      </c>
      <c r="P110" s="34" t="s">
        <v>50</v>
      </c>
      <c r="Q110" s="33" t="n">
        <f>21905</f>
        <v>21905.0</v>
      </c>
      <c r="R110" s="34" t="s">
        <v>51</v>
      </c>
      <c r="S110" s="35" t="n">
        <f>21746.76</f>
        <v>21746.76</v>
      </c>
      <c r="T110" s="32" t="n">
        <f>27280</f>
        <v>27280.0</v>
      </c>
      <c r="U110" s="32" t="n">
        <f>21300</f>
        <v>21300.0</v>
      </c>
      <c r="V110" s="32" t="n">
        <f>588425440</f>
        <v>5.8842544E8</v>
      </c>
      <c r="W110" s="32" t="n">
        <f>459331650</f>
        <v>4.5933165E8</v>
      </c>
      <c r="X110" s="36" t="n">
        <f>17</f>
        <v>17.0</v>
      </c>
    </row>
    <row r="111">
      <c r="A111" s="27" t="s">
        <v>42</v>
      </c>
      <c r="B111" s="27" t="s">
        <v>378</v>
      </c>
      <c r="C111" s="27" t="s">
        <v>379</v>
      </c>
      <c r="D111" s="27" t="s">
        <v>380</v>
      </c>
      <c r="E111" s="28" t="s">
        <v>46</v>
      </c>
      <c r="F111" s="29" t="s">
        <v>46</v>
      </c>
      <c r="G111" s="30" t="s">
        <v>46</v>
      </c>
      <c r="H111" s="31"/>
      <c r="I111" s="31" t="s">
        <v>47</v>
      </c>
      <c r="J111" s="32" t="n">
        <v>100.0</v>
      </c>
      <c r="K111" s="33" t="n">
        <f>273.6</f>
        <v>273.6</v>
      </c>
      <c r="L111" s="34" t="s">
        <v>48</v>
      </c>
      <c r="M111" s="33" t="n">
        <f>278.4</f>
        <v>278.4</v>
      </c>
      <c r="N111" s="34" t="s">
        <v>61</v>
      </c>
      <c r="O111" s="33" t="n">
        <f>252.1</f>
        <v>252.1</v>
      </c>
      <c r="P111" s="34" t="s">
        <v>69</v>
      </c>
      <c r="Q111" s="33" t="n">
        <f>261.5</f>
        <v>261.5</v>
      </c>
      <c r="R111" s="34" t="s">
        <v>51</v>
      </c>
      <c r="S111" s="35" t="n">
        <f>265.12</f>
        <v>265.12</v>
      </c>
      <c r="T111" s="32" t="n">
        <f>106335000</f>
        <v>1.06335E8</v>
      </c>
      <c r="U111" s="32" t="n">
        <f>23517300</f>
        <v>2.35173E7</v>
      </c>
      <c r="V111" s="32" t="n">
        <f>28320208100</f>
        <v>2.83202081E10</v>
      </c>
      <c r="W111" s="32" t="n">
        <f>6261712100</f>
        <v>6.2617121E9</v>
      </c>
      <c r="X111" s="36" t="n">
        <f>21</f>
        <v>21.0</v>
      </c>
    </row>
    <row r="112">
      <c r="A112" s="27" t="s">
        <v>42</v>
      </c>
      <c r="B112" s="27" t="s">
        <v>381</v>
      </c>
      <c r="C112" s="27" t="s">
        <v>382</v>
      </c>
      <c r="D112" s="27" t="s">
        <v>383</v>
      </c>
      <c r="E112" s="28" t="s">
        <v>46</v>
      </c>
      <c r="F112" s="29" t="s">
        <v>46</v>
      </c>
      <c r="G112" s="30" t="s">
        <v>46</v>
      </c>
      <c r="H112" s="31"/>
      <c r="I112" s="31" t="s">
        <v>47</v>
      </c>
      <c r="J112" s="32" t="n">
        <v>1.0</v>
      </c>
      <c r="K112" s="33" t="n">
        <f>36210</f>
        <v>36210.0</v>
      </c>
      <c r="L112" s="34" t="s">
        <v>48</v>
      </c>
      <c r="M112" s="33" t="n">
        <f>36500</f>
        <v>36500.0</v>
      </c>
      <c r="N112" s="34" t="s">
        <v>231</v>
      </c>
      <c r="O112" s="33" t="n">
        <f>34340</f>
        <v>34340.0</v>
      </c>
      <c r="P112" s="34" t="s">
        <v>50</v>
      </c>
      <c r="Q112" s="33" t="n">
        <f>35350</f>
        <v>35350.0</v>
      </c>
      <c r="R112" s="34" t="s">
        <v>51</v>
      </c>
      <c r="S112" s="35" t="n">
        <f>35561.43</f>
        <v>35561.43</v>
      </c>
      <c r="T112" s="32" t="n">
        <f>4163</f>
        <v>4163.0</v>
      </c>
      <c r="U112" s="32" t="str">
        <f>"－"</f>
        <v>－</v>
      </c>
      <c r="V112" s="32" t="n">
        <f>145433910</f>
        <v>1.4543391E8</v>
      </c>
      <c r="W112" s="32" t="str">
        <f>"－"</f>
        <v>－</v>
      </c>
      <c r="X112" s="36" t="n">
        <f>21</f>
        <v>21.0</v>
      </c>
    </row>
    <row r="113">
      <c r="A113" s="27" t="s">
        <v>42</v>
      </c>
      <c r="B113" s="27" t="s">
        <v>384</v>
      </c>
      <c r="C113" s="27" t="s">
        <v>385</v>
      </c>
      <c r="D113" s="27" t="s">
        <v>386</v>
      </c>
      <c r="E113" s="28" t="s">
        <v>46</v>
      </c>
      <c r="F113" s="29" t="s">
        <v>46</v>
      </c>
      <c r="G113" s="30" t="s">
        <v>46</v>
      </c>
      <c r="H113" s="31"/>
      <c r="I113" s="31" t="s">
        <v>47</v>
      </c>
      <c r="J113" s="32" t="n">
        <v>1.0</v>
      </c>
      <c r="K113" s="33" t="n">
        <f>18235</f>
        <v>18235.0</v>
      </c>
      <c r="L113" s="34" t="s">
        <v>48</v>
      </c>
      <c r="M113" s="33" t="n">
        <f>18270</f>
        <v>18270.0</v>
      </c>
      <c r="N113" s="34" t="s">
        <v>48</v>
      </c>
      <c r="O113" s="33" t="n">
        <f>16965</f>
        <v>16965.0</v>
      </c>
      <c r="P113" s="34" t="s">
        <v>50</v>
      </c>
      <c r="Q113" s="33" t="n">
        <f>17260</f>
        <v>17260.0</v>
      </c>
      <c r="R113" s="34" t="s">
        <v>51</v>
      </c>
      <c r="S113" s="35" t="n">
        <f>17442.62</f>
        <v>17442.62</v>
      </c>
      <c r="T113" s="32" t="n">
        <f>5580</f>
        <v>5580.0</v>
      </c>
      <c r="U113" s="32" t="n">
        <f>3</f>
        <v>3.0</v>
      </c>
      <c r="V113" s="32" t="n">
        <f>97448665</f>
        <v>9.7448665E7</v>
      </c>
      <c r="W113" s="32" t="n">
        <f>51450</f>
        <v>51450.0</v>
      </c>
      <c r="X113" s="36" t="n">
        <f>21</f>
        <v>21.0</v>
      </c>
    </row>
    <row r="114">
      <c r="A114" s="27" t="s">
        <v>42</v>
      </c>
      <c r="B114" s="27" t="s">
        <v>387</v>
      </c>
      <c r="C114" s="27" t="s">
        <v>388</v>
      </c>
      <c r="D114" s="27" t="s">
        <v>389</v>
      </c>
      <c r="E114" s="28" t="s">
        <v>46</v>
      </c>
      <c r="F114" s="29" t="s">
        <v>46</v>
      </c>
      <c r="G114" s="30" t="s">
        <v>46</v>
      </c>
      <c r="H114" s="31"/>
      <c r="I114" s="31" t="s">
        <v>47</v>
      </c>
      <c r="J114" s="32" t="n">
        <v>1.0</v>
      </c>
      <c r="K114" s="33" t="n">
        <f>26430</f>
        <v>26430.0</v>
      </c>
      <c r="L114" s="34" t="s">
        <v>48</v>
      </c>
      <c r="M114" s="33" t="n">
        <f>26610</f>
        <v>26610.0</v>
      </c>
      <c r="N114" s="34" t="s">
        <v>49</v>
      </c>
      <c r="O114" s="33" t="n">
        <f>25590</f>
        <v>25590.0</v>
      </c>
      <c r="P114" s="34" t="s">
        <v>50</v>
      </c>
      <c r="Q114" s="33" t="n">
        <f>26510</f>
        <v>26510.0</v>
      </c>
      <c r="R114" s="34" t="s">
        <v>51</v>
      </c>
      <c r="S114" s="35" t="n">
        <f>26190.71</f>
        <v>26190.71</v>
      </c>
      <c r="T114" s="32" t="n">
        <f>1363</f>
        <v>1363.0</v>
      </c>
      <c r="U114" s="32" t="str">
        <f>"－"</f>
        <v>－</v>
      </c>
      <c r="V114" s="32" t="n">
        <f>35673845</f>
        <v>3.5673845E7</v>
      </c>
      <c r="W114" s="32" t="str">
        <f>"－"</f>
        <v>－</v>
      </c>
      <c r="X114" s="36" t="n">
        <f>21</f>
        <v>21.0</v>
      </c>
    </row>
    <row r="115">
      <c r="A115" s="27" t="s">
        <v>42</v>
      </c>
      <c r="B115" s="27" t="s">
        <v>390</v>
      </c>
      <c r="C115" s="27" t="s">
        <v>391</v>
      </c>
      <c r="D115" s="27" t="s">
        <v>392</v>
      </c>
      <c r="E115" s="28" t="s">
        <v>46</v>
      </c>
      <c r="F115" s="29" t="s">
        <v>46</v>
      </c>
      <c r="G115" s="30" t="s">
        <v>46</v>
      </c>
      <c r="H115" s="31"/>
      <c r="I115" s="31" t="s">
        <v>47</v>
      </c>
      <c r="J115" s="32" t="n">
        <v>1.0</v>
      </c>
      <c r="K115" s="33" t="n">
        <f>28340</f>
        <v>28340.0</v>
      </c>
      <c r="L115" s="34" t="s">
        <v>48</v>
      </c>
      <c r="M115" s="33" t="n">
        <f>29015</f>
        <v>29015.0</v>
      </c>
      <c r="N115" s="34" t="s">
        <v>116</v>
      </c>
      <c r="O115" s="33" t="n">
        <f>27275</f>
        <v>27275.0</v>
      </c>
      <c r="P115" s="34" t="s">
        <v>73</v>
      </c>
      <c r="Q115" s="33" t="n">
        <f>28810</f>
        <v>28810.0</v>
      </c>
      <c r="R115" s="34" t="s">
        <v>51</v>
      </c>
      <c r="S115" s="35" t="n">
        <f>28070.71</f>
        <v>28070.71</v>
      </c>
      <c r="T115" s="32" t="n">
        <f>1414</f>
        <v>1414.0</v>
      </c>
      <c r="U115" s="32" t="str">
        <f>"－"</f>
        <v>－</v>
      </c>
      <c r="V115" s="32" t="n">
        <f>39828795</f>
        <v>3.9828795E7</v>
      </c>
      <c r="W115" s="32" t="str">
        <f>"－"</f>
        <v>－</v>
      </c>
      <c r="X115" s="36" t="n">
        <f>21</f>
        <v>21.0</v>
      </c>
    </row>
    <row r="116">
      <c r="A116" s="27" t="s">
        <v>42</v>
      </c>
      <c r="B116" s="27" t="s">
        <v>393</v>
      </c>
      <c r="C116" s="27" t="s">
        <v>394</v>
      </c>
      <c r="D116" s="27" t="s">
        <v>395</v>
      </c>
      <c r="E116" s="28" t="s">
        <v>46</v>
      </c>
      <c r="F116" s="29" t="s">
        <v>46</v>
      </c>
      <c r="G116" s="30" t="s">
        <v>46</v>
      </c>
      <c r="H116" s="31"/>
      <c r="I116" s="31" t="s">
        <v>47</v>
      </c>
      <c r="J116" s="32" t="n">
        <v>1.0</v>
      </c>
      <c r="K116" s="33" t="n">
        <f>26555</f>
        <v>26555.0</v>
      </c>
      <c r="L116" s="34" t="s">
        <v>48</v>
      </c>
      <c r="M116" s="33" t="n">
        <f>26730</f>
        <v>26730.0</v>
      </c>
      <c r="N116" s="34" t="s">
        <v>49</v>
      </c>
      <c r="O116" s="33" t="n">
        <f>25040</f>
        <v>25040.0</v>
      </c>
      <c r="P116" s="34" t="s">
        <v>50</v>
      </c>
      <c r="Q116" s="33" t="n">
        <f>25405</f>
        <v>25405.0</v>
      </c>
      <c r="R116" s="34" t="s">
        <v>51</v>
      </c>
      <c r="S116" s="35" t="n">
        <f>25763.33</f>
        <v>25763.33</v>
      </c>
      <c r="T116" s="32" t="n">
        <f>8564</f>
        <v>8564.0</v>
      </c>
      <c r="U116" s="32" t="n">
        <f>3000</f>
        <v>3000.0</v>
      </c>
      <c r="V116" s="32" t="n">
        <f>219498515</f>
        <v>2.19498515E8</v>
      </c>
      <c r="W116" s="32" t="n">
        <f>76167900</f>
        <v>7.61679E7</v>
      </c>
      <c r="X116" s="36" t="n">
        <f>21</f>
        <v>21.0</v>
      </c>
    </row>
    <row r="117">
      <c r="A117" s="27" t="s">
        <v>42</v>
      </c>
      <c r="B117" s="27" t="s">
        <v>396</v>
      </c>
      <c r="C117" s="27" t="s">
        <v>397</v>
      </c>
      <c r="D117" s="27" t="s">
        <v>398</v>
      </c>
      <c r="E117" s="28" t="s">
        <v>46</v>
      </c>
      <c r="F117" s="29" t="s">
        <v>46</v>
      </c>
      <c r="G117" s="30" t="s">
        <v>46</v>
      </c>
      <c r="H117" s="31"/>
      <c r="I117" s="31" t="s">
        <v>47</v>
      </c>
      <c r="J117" s="32" t="n">
        <v>1.0</v>
      </c>
      <c r="K117" s="33" t="n">
        <f>30490</f>
        <v>30490.0</v>
      </c>
      <c r="L117" s="34" t="s">
        <v>48</v>
      </c>
      <c r="M117" s="33" t="n">
        <f>30680</f>
        <v>30680.0</v>
      </c>
      <c r="N117" s="34" t="s">
        <v>48</v>
      </c>
      <c r="O117" s="33" t="n">
        <f>27725</f>
        <v>27725.0</v>
      </c>
      <c r="P117" s="34" t="s">
        <v>90</v>
      </c>
      <c r="Q117" s="33" t="n">
        <f>28485</f>
        <v>28485.0</v>
      </c>
      <c r="R117" s="34" t="s">
        <v>51</v>
      </c>
      <c r="S117" s="35" t="n">
        <f>28920.95</f>
        <v>28920.95</v>
      </c>
      <c r="T117" s="32" t="n">
        <f>16609</f>
        <v>16609.0</v>
      </c>
      <c r="U117" s="32" t="str">
        <f>"－"</f>
        <v>－</v>
      </c>
      <c r="V117" s="32" t="n">
        <f>477722850</f>
        <v>4.7772285E8</v>
      </c>
      <c r="W117" s="32" t="str">
        <f>"－"</f>
        <v>－</v>
      </c>
      <c r="X117" s="36" t="n">
        <f>21</f>
        <v>21.0</v>
      </c>
    </row>
    <row r="118">
      <c r="A118" s="27" t="s">
        <v>42</v>
      </c>
      <c r="B118" s="27" t="s">
        <v>399</v>
      </c>
      <c r="C118" s="27" t="s">
        <v>400</v>
      </c>
      <c r="D118" s="27" t="s">
        <v>401</v>
      </c>
      <c r="E118" s="28" t="s">
        <v>46</v>
      </c>
      <c r="F118" s="29" t="s">
        <v>46</v>
      </c>
      <c r="G118" s="30" t="s">
        <v>46</v>
      </c>
      <c r="H118" s="31"/>
      <c r="I118" s="31" t="s">
        <v>47</v>
      </c>
      <c r="J118" s="32" t="n">
        <v>1.0</v>
      </c>
      <c r="K118" s="33" t="n">
        <f>23740</f>
        <v>23740.0</v>
      </c>
      <c r="L118" s="34" t="s">
        <v>48</v>
      </c>
      <c r="M118" s="33" t="n">
        <f>23740</f>
        <v>23740.0</v>
      </c>
      <c r="N118" s="34" t="s">
        <v>48</v>
      </c>
      <c r="O118" s="33" t="n">
        <f>22020</f>
        <v>22020.0</v>
      </c>
      <c r="P118" s="34" t="s">
        <v>176</v>
      </c>
      <c r="Q118" s="33" t="n">
        <f>23030</f>
        <v>23030.0</v>
      </c>
      <c r="R118" s="34" t="s">
        <v>51</v>
      </c>
      <c r="S118" s="35" t="n">
        <f>22853.33</f>
        <v>22853.33</v>
      </c>
      <c r="T118" s="32" t="n">
        <f>6443</f>
        <v>6443.0</v>
      </c>
      <c r="U118" s="32" t="n">
        <f>1</f>
        <v>1.0</v>
      </c>
      <c r="V118" s="32" t="n">
        <f>146902525</f>
        <v>1.46902525E8</v>
      </c>
      <c r="W118" s="32" t="n">
        <f>24100</f>
        <v>24100.0</v>
      </c>
      <c r="X118" s="36" t="n">
        <f>21</f>
        <v>21.0</v>
      </c>
    </row>
    <row r="119">
      <c r="A119" s="27" t="s">
        <v>42</v>
      </c>
      <c r="B119" s="27" t="s">
        <v>402</v>
      </c>
      <c r="C119" s="27" t="s">
        <v>403</v>
      </c>
      <c r="D119" s="27" t="s">
        <v>404</v>
      </c>
      <c r="E119" s="28" t="s">
        <v>46</v>
      </c>
      <c r="F119" s="29" t="s">
        <v>46</v>
      </c>
      <c r="G119" s="30" t="s">
        <v>46</v>
      </c>
      <c r="H119" s="31"/>
      <c r="I119" s="31" t="s">
        <v>47</v>
      </c>
      <c r="J119" s="32" t="n">
        <v>1.0</v>
      </c>
      <c r="K119" s="33" t="n">
        <f>47630</f>
        <v>47630.0</v>
      </c>
      <c r="L119" s="34" t="s">
        <v>48</v>
      </c>
      <c r="M119" s="33" t="n">
        <f>48400</f>
        <v>48400.0</v>
      </c>
      <c r="N119" s="34" t="s">
        <v>156</v>
      </c>
      <c r="O119" s="33" t="n">
        <f>44850</f>
        <v>44850.0</v>
      </c>
      <c r="P119" s="34" t="s">
        <v>73</v>
      </c>
      <c r="Q119" s="33" t="n">
        <f>48210</f>
        <v>48210.0</v>
      </c>
      <c r="R119" s="34" t="s">
        <v>51</v>
      </c>
      <c r="S119" s="35" t="n">
        <f>46810.95</f>
        <v>46810.95</v>
      </c>
      <c r="T119" s="32" t="n">
        <f>3458</f>
        <v>3458.0</v>
      </c>
      <c r="U119" s="32" t="n">
        <f>1000</f>
        <v>1000.0</v>
      </c>
      <c r="V119" s="32" t="n">
        <f>161460770</f>
        <v>1.6146077E8</v>
      </c>
      <c r="W119" s="32" t="n">
        <f>46202100</f>
        <v>4.62021E7</v>
      </c>
      <c r="X119" s="36" t="n">
        <f>21</f>
        <v>21.0</v>
      </c>
    </row>
    <row r="120">
      <c r="A120" s="27" t="s">
        <v>42</v>
      </c>
      <c r="B120" s="27" t="s">
        <v>405</v>
      </c>
      <c r="C120" s="27" t="s">
        <v>406</v>
      </c>
      <c r="D120" s="27" t="s">
        <v>407</v>
      </c>
      <c r="E120" s="28" t="s">
        <v>46</v>
      </c>
      <c r="F120" s="29" t="s">
        <v>46</v>
      </c>
      <c r="G120" s="30" t="s">
        <v>46</v>
      </c>
      <c r="H120" s="31"/>
      <c r="I120" s="31" t="s">
        <v>47</v>
      </c>
      <c r="J120" s="32" t="n">
        <v>1.0</v>
      </c>
      <c r="K120" s="33" t="n">
        <f>33040</f>
        <v>33040.0</v>
      </c>
      <c r="L120" s="34" t="s">
        <v>48</v>
      </c>
      <c r="M120" s="33" t="n">
        <f>33390</f>
        <v>33390.0</v>
      </c>
      <c r="N120" s="34" t="s">
        <v>177</v>
      </c>
      <c r="O120" s="33" t="n">
        <f>31750</f>
        <v>31750.0</v>
      </c>
      <c r="P120" s="34" t="s">
        <v>73</v>
      </c>
      <c r="Q120" s="33" t="n">
        <f>33140</f>
        <v>33140.0</v>
      </c>
      <c r="R120" s="34" t="s">
        <v>51</v>
      </c>
      <c r="S120" s="35" t="n">
        <f>32669.05</f>
        <v>32669.05</v>
      </c>
      <c r="T120" s="32" t="n">
        <f>18458</f>
        <v>18458.0</v>
      </c>
      <c r="U120" s="32" t="str">
        <f>"－"</f>
        <v>－</v>
      </c>
      <c r="V120" s="32" t="n">
        <f>600557250</f>
        <v>6.0055725E8</v>
      </c>
      <c r="W120" s="32" t="str">
        <f>"－"</f>
        <v>－</v>
      </c>
      <c r="X120" s="36" t="n">
        <f>21</f>
        <v>21.0</v>
      </c>
    </row>
    <row r="121">
      <c r="A121" s="27" t="s">
        <v>42</v>
      </c>
      <c r="B121" s="27" t="s">
        <v>408</v>
      </c>
      <c r="C121" s="27" t="s">
        <v>409</v>
      </c>
      <c r="D121" s="27" t="s">
        <v>410</v>
      </c>
      <c r="E121" s="28" t="s">
        <v>46</v>
      </c>
      <c r="F121" s="29" t="s">
        <v>46</v>
      </c>
      <c r="G121" s="30" t="s">
        <v>46</v>
      </c>
      <c r="H121" s="31"/>
      <c r="I121" s="31" t="s">
        <v>47</v>
      </c>
      <c r="J121" s="32" t="n">
        <v>1.0</v>
      </c>
      <c r="K121" s="33" t="n">
        <f>31250</f>
        <v>31250.0</v>
      </c>
      <c r="L121" s="34" t="s">
        <v>48</v>
      </c>
      <c r="M121" s="33" t="n">
        <f>31700</f>
        <v>31700.0</v>
      </c>
      <c r="N121" s="34" t="s">
        <v>51</v>
      </c>
      <c r="O121" s="33" t="n">
        <f>30500</f>
        <v>30500.0</v>
      </c>
      <c r="P121" s="34" t="s">
        <v>73</v>
      </c>
      <c r="Q121" s="33" t="n">
        <f>31580</f>
        <v>31580.0</v>
      </c>
      <c r="R121" s="34" t="s">
        <v>51</v>
      </c>
      <c r="S121" s="35" t="n">
        <f>31027.14</f>
        <v>31027.14</v>
      </c>
      <c r="T121" s="32" t="n">
        <f>1542</f>
        <v>1542.0</v>
      </c>
      <c r="U121" s="32" t="n">
        <f>1</f>
        <v>1.0</v>
      </c>
      <c r="V121" s="32" t="n">
        <f>48061080</f>
        <v>4.806108E7</v>
      </c>
      <c r="W121" s="32" t="n">
        <f>31050</f>
        <v>31050.0</v>
      </c>
      <c r="X121" s="36" t="n">
        <f>21</f>
        <v>21.0</v>
      </c>
    </row>
    <row r="122">
      <c r="A122" s="27" t="s">
        <v>42</v>
      </c>
      <c r="B122" s="27" t="s">
        <v>411</v>
      </c>
      <c r="C122" s="27" t="s">
        <v>412</v>
      </c>
      <c r="D122" s="27" t="s">
        <v>413</v>
      </c>
      <c r="E122" s="28" t="s">
        <v>46</v>
      </c>
      <c r="F122" s="29" t="s">
        <v>46</v>
      </c>
      <c r="G122" s="30" t="s">
        <v>46</v>
      </c>
      <c r="H122" s="31"/>
      <c r="I122" s="31" t="s">
        <v>47</v>
      </c>
      <c r="J122" s="32" t="n">
        <v>1.0</v>
      </c>
      <c r="K122" s="33" t="n">
        <f>7935</f>
        <v>7935.0</v>
      </c>
      <c r="L122" s="34" t="s">
        <v>48</v>
      </c>
      <c r="M122" s="33" t="n">
        <f>8717</f>
        <v>8717.0</v>
      </c>
      <c r="N122" s="34" t="s">
        <v>254</v>
      </c>
      <c r="O122" s="33" t="n">
        <f>7771</f>
        <v>7771.0</v>
      </c>
      <c r="P122" s="34" t="s">
        <v>103</v>
      </c>
      <c r="Q122" s="33" t="n">
        <f>7962</f>
        <v>7962.0</v>
      </c>
      <c r="R122" s="34" t="s">
        <v>51</v>
      </c>
      <c r="S122" s="35" t="n">
        <f>8081.76</f>
        <v>8081.76</v>
      </c>
      <c r="T122" s="32" t="n">
        <f>49942</f>
        <v>49942.0</v>
      </c>
      <c r="U122" s="32" t="n">
        <f>6000</f>
        <v>6000.0</v>
      </c>
      <c r="V122" s="32" t="n">
        <f>407301726</f>
        <v>4.07301726E8</v>
      </c>
      <c r="W122" s="32" t="n">
        <f>47560200</f>
        <v>4.75602E7</v>
      </c>
      <c r="X122" s="36" t="n">
        <f>21</f>
        <v>21.0</v>
      </c>
    </row>
    <row r="123">
      <c r="A123" s="27" t="s">
        <v>42</v>
      </c>
      <c r="B123" s="27" t="s">
        <v>414</v>
      </c>
      <c r="C123" s="27" t="s">
        <v>415</v>
      </c>
      <c r="D123" s="27" t="s">
        <v>416</v>
      </c>
      <c r="E123" s="28" t="s">
        <v>46</v>
      </c>
      <c r="F123" s="29" t="s">
        <v>46</v>
      </c>
      <c r="G123" s="30" t="s">
        <v>46</v>
      </c>
      <c r="H123" s="31"/>
      <c r="I123" s="31" t="s">
        <v>47</v>
      </c>
      <c r="J123" s="32" t="n">
        <v>1.0</v>
      </c>
      <c r="K123" s="33" t="n">
        <f>17990</f>
        <v>17990.0</v>
      </c>
      <c r="L123" s="34" t="s">
        <v>48</v>
      </c>
      <c r="M123" s="33" t="n">
        <f>18785</f>
        <v>18785.0</v>
      </c>
      <c r="N123" s="34" t="s">
        <v>116</v>
      </c>
      <c r="O123" s="33" t="n">
        <f>17790</f>
        <v>17790.0</v>
      </c>
      <c r="P123" s="34" t="s">
        <v>89</v>
      </c>
      <c r="Q123" s="33" t="n">
        <f>18480</f>
        <v>18480.0</v>
      </c>
      <c r="R123" s="34" t="s">
        <v>51</v>
      </c>
      <c r="S123" s="35" t="n">
        <f>18251.19</f>
        <v>18251.19</v>
      </c>
      <c r="T123" s="32" t="n">
        <f>11048</f>
        <v>11048.0</v>
      </c>
      <c r="U123" s="32" t="str">
        <f>"－"</f>
        <v>－</v>
      </c>
      <c r="V123" s="32" t="n">
        <f>201988810</f>
        <v>2.0198881E8</v>
      </c>
      <c r="W123" s="32" t="str">
        <f>"－"</f>
        <v>－</v>
      </c>
      <c r="X123" s="36" t="n">
        <f>21</f>
        <v>21.0</v>
      </c>
    </row>
    <row r="124">
      <c r="A124" s="27" t="s">
        <v>42</v>
      </c>
      <c r="B124" s="27" t="s">
        <v>417</v>
      </c>
      <c r="C124" s="27" t="s">
        <v>418</v>
      </c>
      <c r="D124" s="27" t="s">
        <v>419</v>
      </c>
      <c r="E124" s="28" t="s">
        <v>46</v>
      </c>
      <c r="F124" s="29" t="s">
        <v>46</v>
      </c>
      <c r="G124" s="30" t="s">
        <v>46</v>
      </c>
      <c r="H124" s="31"/>
      <c r="I124" s="31" t="s">
        <v>47</v>
      </c>
      <c r="J124" s="32" t="n">
        <v>1.0</v>
      </c>
      <c r="K124" s="33" t="n">
        <f>71540</f>
        <v>71540.0</v>
      </c>
      <c r="L124" s="34" t="s">
        <v>48</v>
      </c>
      <c r="M124" s="33" t="n">
        <f>72080</f>
        <v>72080.0</v>
      </c>
      <c r="N124" s="34" t="s">
        <v>48</v>
      </c>
      <c r="O124" s="33" t="n">
        <f>67730</f>
        <v>67730.0</v>
      </c>
      <c r="P124" s="34" t="s">
        <v>61</v>
      </c>
      <c r="Q124" s="33" t="n">
        <f>70330</f>
        <v>70330.0</v>
      </c>
      <c r="R124" s="34" t="s">
        <v>51</v>
      </c>
      <c r="S124" s="35" t="n">
        <f>70022.38</f>
        <v>70022.38</v>
      </c>
      <c r="T124" s="32" t="n">
        <f>13722</f>
        <v>13722.0</v>
      </c>
      <c r="U124" s="32" t="n">
        <f>2</f>
        <v>2.0</v>
      </c>
      <c r="V124" s="32" t="n">
        <f>959291205</f>
        <v>9.59291205E8</v>
      </c>
      <c r="W124" s="32" t="n">
        <f>140945</f>
        <v>140945.0</v>
      </c>
      <c r="X124" s="36" t="n">
        <f>21</f>
        <v>21.0</v>
      </c>
    </row>
    <row r="125">
      <c r="A125" s="27" t="s">
        <v>42</v>
      </c>
      <c r="B125" s="27" t="s">
        <v>420</v>
      </c>
      <c r="C125" s="27" t="s">
        <v>421</v>
      </c>
      <c r="D125" s="27" t="s">
        <v>422</v>
      </c>
      <c r="E125" s="28" t="s">
        <v>46</v>
      </c>
      <c r="F125" s="29" t="s">
        <v>46</v>
      </c>
      <c r="G125" s="30" t="s">
        <v>46</v>
      </c>
      <c r="H125" s="31"/>
      <c r="I125" s="31" t="s">
        <v>47</v>
      </c>
      <c r="J125" s="32" t="n">
        <v>1.0</v>
      </c>
      <c r="K125" s="33" t="n">
        <f>27045</f>
        <v>27045.0</v>
      </c>
      <c r="L125" s="34" t="s">
        <v>48</v>
      </c>
      <c r="M125" s="33" t="n">
        <f>27045</f>
        <v>27045.0</v>
      </c>
      <c r="N125" s="34" t="s">
        <v>48</v>
      </c>
      <c r="O125" s="33" t="n">
        <f>25850</f>
        <v>25850.0</v>
      </c>
      <c r="P125" s="34" t="s">
        <v>50</v>
      </c>
      <c r="Q125" s="33" t="n">
        <f>26555</f>
        <v>26555.0</v>
      </c>
      <c r="R125" s="34" t="s">
        <v>51</v>
      </c>
      <c r="S125" s="35" t="n">
        <f>26548.1</f>
        <v>26548.1</v>
      </c>
      <c r="T125" s="32" t="n">
        <f>934</f>
        <v>934.0</v>
      </c>
      <c r="U125" s="32" t="str">
        <f>"－"</f>
        <v>－</v>
      </c>
      <c r="V125" s="32" t="n">
        <f>24787350</f>
        <v>2.478735E7</v>
      </c>
      <c r="W125" s="32" t="str">
        <f>"－"</f>
        <v>－</v>
      </c>
      <c r="X125" s="36" t="n">
        <f>21</f>
        <v>21.0</v>
      </c>
    </row>
    <row r="126">
      <c r="A126" s="27" t="s">
        <v>42</v>
      </c>
      <c r="B126" s="27" t="s">
        <v>423</v>
      </c>
      <c r="C126" s="27" t="s">
        <v>424</v>
      </c>
      <c r="D126" s="27" t="s">
        <v>425</v>
      </c>
      <c r="E126" s="28" t="s">
        <v>46</v>
      </c>
      <c r="F126" s="29" t="s">
        <v>46</v>
      </c>
      <c r="G126" s="30" t="s">
        <v>46</v>
      </c>
      <c r="H126" s="31"/>
      <c r="I126" s="31" t="s">
        <v>47</v>
      </c>
      <c r="J126" s="32" t="n">
        <v>1.0</v>
      </c>
      <c r="K126" s="33" t="n">
        <f>14380</f>
        <v>14380.0</v>
      </c>
      <c r="L126" s="34" t="s">
        <v>48</v>
      </c>
      <c r="M126" s="33" t="n">
        <f>14615</f>
        <v>14615.0</v>
      </c>
      <c r="N126" s="34" t="s">
        <v>61</v>
      </c>
      <c r="O126" s="33" t="n">
        <f>13205</f>
        <v>13205.0</v>
      </c>
      <c r="P126" s="34" t="s">
        <v>69</v>
      </c>
      <c r="Q126" s="33" t="n">
        <f>13725</f>
        <v>13725.0</v>
      </c>
      <c r="R126" s="34" t="s">
        <v>51</v>
      </c>
      <c r="S126" s="35" t="n">
        <f>13913.33</f>
        <v>13913.33</v>
      </c>
      <c r="T126" s="32" t="n">
        <f>105568</f>
        <v>105568.0</v>
      </c>
      <c r="U126" s="32" t="n">
        <f>21293</f>
        <v>21293.0</v>
      </c>
      <c r="V126" s="32" t="n">
        <f>1448754789</f>
        <v>1.448754789E9</v>
      </c>
      <c r="W126" s="32" t="n">
        <f>289997904</f>
        <v>2.89997904E8</v>
      </c>
      <c r="X126" s="36" t="n">
        <f>21</f>
        <v>21.0</v>
      </c>
    </row>
    <row r="127">
      <c r="A127" s="27" t="s">
        <v>42</v>
      </c>
      <c r="B127" s="27" t="s">
        <v>426</v>
      </c>
      <c r="C127" s="27" t="s">
        <v>427</v>
      </c>
      <c r="D127" s="27" t="s">
        <v>428</v>
      </c>
      <c r="E127" s="28" t="s">
        <v>46</v>
      </c>
      <c r="F127" s="29" t="s">
        <v>46</v>
      </c>
      <c r="G127" s="30" t="s">
        <v>46</v>
      </c>
      <c r="H127" s="31"/>
      <c r="I127" s="31" t="s">
        <v>47</v>
      </c>
      <c r="J127" s="32" t="n">
        <v>1.0</v>
      </c>
      <c r="K127" s="33" t="n">
        <f>20095</f>
        <v>20095.0</v>
      </c>
      <c r="L127" s="34" t="s">
        <v>48</v>
      </c>
      <c r="M127" s="33" t="n">
        <f>20410</f>
        <v>20410.0</v>
      </c>
      <c r="N127" s="34" t="s">
        <v>231</v>
      </c>
      <c r="O127" s="33" t="n">
        <f>18870</f>
        <v>18870.0</v>
      </c>
      <c r="P127" s="34" t="s">
        <v>50</v>
      </c>
      <c r="Q127" s="33" t="n">
        <f>19650</f>
        <v>19650.0</v>
      </c>
      <c r="R127" s="34" t="s">
        <v>51</v>
      </c>
      <c r="S127" s="35" t="n">
        <f>19713.33</f>
        <v>19713.33</v>
      </c>
      <c r="T127" s="32" t="n">
        <f>11966</f>
        <v>11966.0</v>
      </c>
      <c r="U127" s="32" t="str">
        <f>"－"</f>
        <v>－</v>
      </c>
      <c r="V127" s="32" t="n">
        <f>235312410</f>
        <v>2.3531241E8</v>
      </c>
      <c r="W127" s="32" t="str">
        <f>"－"</f>
        <v>－</v>
      </c>
      <c r="X127" s="36" t="n">
        <f>21</f>
        <v>21.0</v>
      </c>
    </row>
    <row r="128">
      <c r="A128" s="27" t="s">
        <v>42</v>
      </c>
      <c r="B128" s="27" t="s">
        <v>429</v>
      </c>
      <c r="C128" s="27" t="s">
        <v>430</v>
      </c>
      <c r="D128" s="27" t="s">
        <v>431</v>
      </c>
      <c r="E128" s="28" t="s">
        <v>46</v>
      </c>
      <c r="F128" s="29" t="s">
        <v>46</v>
      </c>
      <c r="G128" s="30" t="s">
        <v>46</v>
      </c>
      <c r="H128" s="31"/>
      <c r="I128" s="31" t="s">
        <v>47</v>
      </c>
      <c r="J128" s="32" t="n">
        <v>1.0</v>
      </c>
      <c r="K128" s="33" t="n">
        <f>34500</f>
        <v>34500.0</v>
      </c>
      <c r="L128" s="34" t="s">
        <v>48</v>
      </c>
      <c r="M128" s="33" t="n">
        <f>35080</f>
        <v>35080.0</v>
      </c>
      <c r="N128" s="34" t="s">
        <v>49</v>
      </c>
      <c r="O128" s="33" t="n">
        <f>33330</f>
        <v>33330.0</v>
      </c>
      <c r="P128" s="34" t="s">
        <v>50</v>
      </c>
      <c r="Q128" s="33" t="n">
        <f>33900</f>
        <v>33900.0</v>
      </c>
      <c r="R128" s="34" t="s">
        <v>51</v>
      </c>
      <c r="S128" s="35" t="n">
        <f>34101.9</f>
        <v>34101.9</v>
      </c>
      <c r="T128" s="32" t="n">
        <f>12209</f>
        <v>12209.0</v>
      </c>
      <c r="U128" s="32" t="n">
        <f>1</f>
        <v>1.0</v>
      </c>
      <c r="V128" s="32" t="n">
        <f>417695340</f>
        <v>4.1769534E8</v>
      </c>
      <c r="W128" s="32" t="n">
        <f>34150</f>
        <v>34150.0</v>
      </c>
      <c r="X128" s="36" t="n">
        <f>21</f>
        <v>21.0</v>
      </c>
    </row>
    <row r="129">
      <c r="A129" s="27" t="s">
        <v>42</v>
      </c>
      <c r="B129" s="27" t="s">
        <v>432</v>
      </c>
      <c r="C129" s="27" t="s">
        <v>433</v>
      </c>
      <c r="D129" s="27" t="s">
        <v>434</v>
      </c>
      <c r="E129" s="28" t="s">
        <v>46</v>
      </c>
      <c r="F129" s="29" t="s">
        <v>46</v>
      </c>
      <c r="G129" s="30" t="s">
        <v>46</v>
      </c>
      <c r="H129" s="31"/>
      <c r="I129" s="31" t="s">
        <v>47</v>
      </c>
      <c r="J129" s="32" t="n">
        <v>10.0</v>
      </c>
      <c r="K129" s="33" t="n">
        <f>1692.5</f>
        <v>1692.5</v>
      </c>
      <c r="L129" s="34" t="s">
        <v>48</v>
      </c>
      <c r="M129" s="33" t="n">
        <f>1692.5</f>
        <v>1692.5</v>
      </c>
      <c r="N129" s="34" t="s">
        <v>48</v>
      </c>
      <c r="O129" s="33" t="n">
        <f>1590</f>
        <v>1590.0</v>
      </c>
      <c r="P129" s="34" t="s">
        <v>50</v>
      </c>
      <c r="Q129" s="33" t="n">
        <f>1641</f>
        <v>1641.0</v>
      </c>
      <c r="R129" s="34" t="s">
        <v>51</v>
      </c>
      <c r="S129" s="35" t="n">
        <f>1643.1</f>
        <v>1643.1</v>
      </c>
      <c r="T129" s="32" t="n">
        <f>999380</f>
        <v>999380.0</v>
      </c>
      <c r="U129" s="32" t="n">
        <f>633930</f>
        <v>633930.0</v>
      </c>
      <c r="V129" s="32" t="n">
        <f>1648868285</f>
        <v>1.648868285E9</v>
      </c>
      <c r="W129" s="32" t="n">
        <f>1049766525</f>
        <v>1.049766525E9</v>
      </c>
      <c r="X129" s="36" t="n">
        <f>21</f>
        <v>21.0</v>
      </c>
    </row>
    <row r="130">
      <c r="A130" s="27" t="s">
        <v>42</v>
      </c>
      <c r="B130" s="27" t="s">
        <v>435</v>
      </c>
      <c r="C130" s="27" t="s">
        <v>436</v>
      </c>
      <c r="D130" s="27" t="s">
        <v>437</v>
      </c>
      <c r="E130" s="28" t="s">
        <v>46</v>
      </c>
      <c r="F130" s="29" t="s">
        <v>46</v>
      </c>
      <c r="G130" s="30" t="s">
        <v>46</v>
      </c>
      <c r="H130" s="31"/>
      <c r="I130" s="31" t="s">
        <v>47</v>
      </c>
      <c r="J130" s="32" t="n">
        <v>10.0</v>
      </c>
      <c r="K130" s="33" t="n">
        <f>2699.5</f>
        <v>2699.5</v>
      </c>
      <c r="L130" s="34" t="s">
        <v>89</v>
      </c>
      <c r="M130" s="33" t="n">
        <f>2737</f>
        <v>2737.0</v>
      </c>
      <c r="N130" s="34" t="s">
        <v>254</v>
      </c>
      <c r="O130" s="33" t="n">
        <f>2639.5</f>
        <v>2639.5</v>
      </c>
      <c r="P130" s="34" t="s">
        <v>50</v>
      </c>
      <c r="Q130" s="33" t="n">
        <f>2717</f>
        <v>2717.0</v>
      </c>
      <c r="R130" s="34" t="s">
        <v>51</v>
      </c>
      <c r="S130" s="35" t="n">
        <f>2696.08</f>
        <v>2696.08</v>
      </c>
      <c r="T130" s="32" t="n">
        <f>50580</f>
        <v>50580.0</v>
      </c>
      <c r="U130" s="32" t="str">
        <f>"－"</f>
        <v>－</v>
      </c>
      <c r="V130" s="32" t="n">
        <f>134421145</f>
        <v>1.34421145E8</v>
      </c>
      <c r="W130" s="32" t="str">
        <f>"－"</f>
        <v>－</v>
      </c>
      <c r="X130" s="36" t="n">
        <f>18</f>
        <v>18.0</v>
      </c>
    </row>
    <row r="131">
      <c r="A131" s="27" t="s">
        <v>42</v>
      </c>
      <c r="B131" s="27" t="s">
        <v>438</v>
      </c>
      <c r="C131" s="27" t="s">
        <v>439</v>
      </c>
      <c r="D131" s="27" t="s">
        <v>440</v>
      </c>
      <c r="E131" s="28" t="s">
        <v>46</v>
      </c>
      <c r="F131" s="29" t="s">
        <v>46</v>
      </c>
      <c r="G131" s="30" t="s">
        <v>46</v>
      </c>
      <c r="H131" s="31"/>
      <c r="I131" s="31" t="s">
        <v>47</v>
      </c>
      <c r="J131" s="32" t="n">
        <v>10.0</v>
      </c>
      <c r="K131" s="33" t="n">
        <f>2971</f>
        <v>2971.0</v>
      </c>
      <c r="L131" s="34" t="s">
        <v>187</v>
      </c>
      <c r="M131" s="33" t="n">
        <f>3002</f>
        <v>3002.0</v>
      </c>
      <c r="N131" s="34" t="s">
        <v>49</v>
      </c>
      <c r="O131" s="33" t="n">
        <f>2930</f>
        <v>2930.0</v>
      </c>
      <c r="P131" s="34" t="s">
        <v>68</v>
      </c>
      <c r="Q131" s="33" t="n">
        <f>2992.5</f>
        <v>2992.5</v>
      </c>
      <c r="R131" s="34" t="s">
        <v>156</v>
      </c>
      <c r="S131" s="35" t="n">
        <f>2966.41</f>
        <v>2966.41</v>
      </c>
      <c r="T131" s="32" t="n">
        <f>437190</f>
        <v>437190.0</v>
      </c>
      <c r="U131" s="32" t="n">
        <f>403000</f>
        <v>403000.0</v>
      </c>
      <c r="V131" s="32" t="n">
        <f>1291330959</f>
        <v>1.291330959E9</v>
      </c>
      <c r="W131" s="32" t="n">
        <f>1189809754</f>
        <v>1.189809754E9</v>
      </c>
      <c r="X131" s="36" t="n">
        <f>11</f>
        <v>11.0</v>
      </c>
    </row>
    <row r="132">
      <c r="A132" s="27" t="s">
        <v>42</v>
      </c>
      <c r="B132" s="27" t="s">
        <v>441</v>
      </c>
      <c r="C132" s="27" t="s">
        <v>442</v>
      </c>
      <c r="D132" s="27" t="s">
        <v>443</v>
      </c>
      <c r="E132" s="28" t="s">
        <v>46</v>
      </c>
      <c r="F132" s="29" t="s">
        <v>46</v>
      </c>
      <c r="G132" s="30" t="s">
        <v>46</v>
      </c>
      <c r="H132" s="31"/>
      <c r="I132" s="31" t="s">
        <v>47</v>
      </c>
      <c r="J132" s="32" t="n">
        <v>10.0</v>
      </c>
      <c r="K132" s="33" t="n">
        <f>1886</f>
        <v>1886.0</v>
      </c>
      <c r="L132" s="34" t="s">
        <v>89</v>
      </c>
      <c r="M132" s="33" t="n">
        <f>1886</f>
        <v>1886.0</v>
      </c>
      <c r="N132" s="34" t="s">
        <v>89</v>
      </c>
      <c r="O132" s="33" t="n">
        <f>1825.5</f>
        <v>1825.5</v>
      </c>
      <c r="P132" s="34" t="s">
        <v>50</v>
      </c>
      <c r="Q132" s="33" t="n">
        <f>1871.5</f>
        <v>1871.5</v>
      </c>
      <c r="R132" s="34" t="s">
        <v>51</v>
      </c>
      <c r="S132" s="35" t="n">
        <f>1861.16</f>
        <v>1861.16</v>
      </c>
      <c r="T132" s="32" t="n">
        <f>118670</f>
        <v>118670.0</v>
      </c>
      <c r="U132" s="32" t="str">
        <f>"－"</f>
        <v>－</v>
      </c>
      <c r="V132" s="32" t="n">
        <f>219576580</f>
        <v>2.1957658E8</v>
      </c>
      <c r="W132" s="32" t="str">
        <f>"－"</f>
        <v>－</v>
      </c>
      <c r="X132" s="36" t="n">
        <f>16</f>
        <v>16.0</v>
      </c>
    </row>
    <row r="133">
      <c r="A133" s="27" t="s">
        <v>42</v>
      </c>
      <c r="B133" s="27" t="s">
        <v>444</v>
      </c>
      <c r="C133" s="27" t="s">
        <v>445</v>
      </c>
      <c r="D133" s="27" t="s">
        <v>446</v>
      </c>
      <c r="E133" s="28" t="s">
        <v>46</v>
      </c>
      <c r="F133" s="29" t="s">
        <v>46</v>
      </c>
      <c r="G133" s="30" t="s">
        <v>46</v>
      </c>
      <c r="H133" s="31"/>
      <c r="I133" s="31" t="s">
        <v>47</v>
      </c>
      <c r="J133" s="32" t="n">
        <v>10.0</v>
      </c>
      <c r="K133" s="33" t="n">
        <f>487.5</f>
        <v>487.5</v>
      </c>
      <c r="L133" s="34" t="s">
        <v>48</v>
      </c>
      <c r="M133" s="33" t="n">
        <f>495.8</f>
        <v>495.8</v>
      </c>
      <c r="N133" s="34" t="s">
        <v>69</v>
      </c>
      <c r="O133" s="33" t="n">
        <f>471.5</f>
        <v>471.5</v>
      </c>
      <c r="P133" s="34" t="s">
        <v>73</v>
      </c>
      <c r="Q133" s="33" t="n">
        <f>488.9</f>
        <v>488.9</v>
      </c>
      <c r="R133" s="34" t="s">
        <v>51</v>
      </c>
      <c r="S133" s="35" t="n">
        <f>486.77</f>
        <v>486.77</v>
      </c>
      <c r="T133" s="32" t="n">
        <f>44754500</f>
        <v>4.47545E7</v>
      </c>
      <c r="U133" s="32" t="n">
        <f>2103910</f>
        <v>2103910.0</v>
      </c>
      <c r="V133" s="32" t="n">
        <f>21748060210</f>
        <v>2.174806021E10</v>
      </c>
      <c r="W133" s="32" t="n">
        <f>1028307519</f>
        <v>1.028307519E9</v>
      </c>
      <c r="X133" s="36" t="n">
        <f>21</f>
        <v>21.0</v>
      </c>
    </row>
    <row r="134">
      <c r="A134" s="27" t="s">
        <v>42</v>
      </c>
      <c r="B134" s="27" t="s">
        <v>447</v>
      </c>
      <c r="C134" s="27" t="s">
        <v>448</v>
      </c>
      <c r="D134" s="27" t="s">
        <v>449</v>
      </c>
      <c r="E134" s="28" t="s">
        <v>46</v>
      </c>
      <c r="F134" s="29" t="s">
        <v>46</v>
      </c>
      <c r="G134" s="30" t="s">
        <v>46</v>
      </c>
      <c r="H134" s="31"/>
      <c r="I134" s="31" t="s">
        <v>47</v>
      </c>
      <c r="J134" s="32" t="n">
        <v>10.0</v>
      </c>
      <c r="K134" s="33" t="n">
        <f>288.1</f>
        <v>288.1</v>
      </c>
      <c r="L134" s="34" t="s">
        <v>48</v>
      </c>
      <c r="M134" s="33" t="n">
        <f>291.3</f>
        <v>291.3</v>
      </c>
      <c r="N134" s="34" t="s">
        <v>231</v>
      </c>
      <c r="O134" s="33" t="n">
        <f>281.3</f>
        <v>281.3</v>
      </c>
      <c r="P134" s="34" t="s">
        <v>73</v>
      </c>
      <c r="Q134" s="33" t="n">
        <f>286.3</f>
        <v>286.3</v>
      </c>
      <c r="R134" s="34" t="s">
        <v>51</v>
      </c>
      <c r="S134" s="35" t="n">
        <f>286.91</f>
        <v>286.91</v>
      </c>
      <c r="T134" s="32" t="n">
        <f>14864240</f>
        <v>1.486424E7</v>
      </c>
      <c r="U134" s="32" t="n">
        <f>10210980</f>
        <v>1.021098E7</v>
      </c>
      <c r="V134" s="32" t="n">
        <f>4228856646</f>
        <v>4.228856646E9</v>
      </c>
      <c r="W134" s="32" t="n">
        <f>2894882431</f>
        <v>2.894882431E9</v>
      </c>
      <c r="X134" s="36" t="n">
        <f>21</f>
        <v>21.0</v>
      </c>
    </row>
    <row r="135">
      <c r="A135" s="27" t="s">
        <v>42</v>
      </c>
      <c r="B135" s="27" t="s">
        <v>450</v>
      </c>
      <c r="C135" s="27" t="s">
        <v>451</v>
      </c>
      <c r="D135" s="27" t="s">
        <v>452</v>
      </c>
      <c r="E135" s="28" t="s">
        <v>46</v>
      </c>
      <c r="F135" s="29" t="s">
        <v>46</v>
      </c>
      <c r="G135" s="30" t="s">
        <v>46</v>
      </c>
      <c r="H135" s="31"/>
      <c r="I135" s="31" t="s">
        <v>47</v>
      </c>
      <c r="J135" s="32" t="n">
        <v>1.0</v>
      </c>
      <c r="K135" s="33" t="n">
        <f>4160</f>
        <v>4160.0</v>
      </c>
      <c r="L135" s="34" t="s">
        <v>48</v>
      </c>
      <c r="M135" s="33" t="n">
        <f>4385</f>
        <v>4385.0</v>
      </c>
      <c r="N135" s="34" t="s">
        <v>116</v>
      </c>
      <c r="O135" s="33" t="n">
        <f>3905</f>
        <v>3905.0</v>
      </c>
      <c r="P135" s="34" t="s">
        <v>73</v>
      </c>
      <c r="Q135" s="33" t="n">
        <f>4180</f>
        <v>4180.0</v>
      </c>
      <c r="R135" s="34" t="s">
        <v>51</v>
      </c>
      <c r="S135" s="35" t="n">
        <f>4154.76</f>
        <v>4154.76</v>
      </c>
      <c r="T135" s="32" t="n">
        <f>72322</f>
        <v>72322.0</v>
      </c>
      <c r="U135" s="32" t="n">
        <f>2950</f>
        <v>2950.0</v>
      </c>
      <c r="V135" s="32" t="n">
        <f>300706261</f>
        <v>3.00706261E8</v>
      </c>
      <c r="W135" s="32" t="n">
        <f>12323831</f>
        <v>1.2323831E7</v>
      </c>
      <c r="X135" s="36" t="n">
        <f>21</f>
        <v>21.0</v>
      </c>
    </row>
    <row r="136">
      <c r="A136" s="27" t="s">
        <v>42</v>
      </c>
      <c r="B136" s="27" t="s">
        <v>453</v>
      </c>
      <c r="C136" s="27" t="s">
        <v>454</v>
      </c>
      <c r="D136" s="27" t="s">
        <v>455</v>
      </c>
      <c r="E136" s="28" t="s">
        <v>46</v>
      </c>
      <c r="F136" s="29" t="s">
        <v>46</v>
      </c>
      <c r="G136" s="30" t="s">
        <v>46</v>
      </c>
      <c r="H136" s="31"/>
      <c r="I136" s="31" t="s">
        <v>47</v>
      </c>
      <c r="J136" s="32" t="n">
        <v>1.0</v>
      </c>
      <c r="K136" s="33" t="n">
        <f>2465</f>
        <v>2465.0</v>
      </c>
      <c r="L136" s="34" t="s">
        <v>48</v>
      </c>
      <c r="M136" s="33" t="n">
        <f>2484</f>
        <v>2484.0</v>
      </c>
      <c r="N136" s="34" t="s">
        <v>103</v>
      </c>
      <c r="O136" s="33" t="n">
        <f>2352</f>
        <v>2352.0</v>
      </c>
      <c r="P136" s="34" t="s">
        <v>73</v>
      </c>
      <c r="Q136" s="33" t="n">
        <f>2437</f>
        <v>2437.0</v>
      </c>
      <c r="R136" s="34" t="s">
        <v>51</v>
      </c>
      <c r="S136" s="35" t="n">
        <f>2415.33</f>
        <v>2415.33</v>
      </c>
      <c r="T136" s="32" t="n">
        <f>143444</f>
        <v>143444.0</v>
      </c>
      <c r="U136" s="32" t="n">
        <f>4156</f>
        <v>4156.0</v>
      </c>
      <c r="V136" s="32" t="n">
        <f>345377175</f>
        <v>3.45377175E8</v>
      </c>
      <c r="W136" s="32" t="n">
        <f>9993924</f>
        <v>9993924.0</v>
      </c>
      <c r="X136" s="36" t="n">
        <f>21</f>
        <v>21.0</v>
      </c>
    </row>
    <row r="137">
      <c r="A137" s="27" t="s">
        <v>42</v>
      </c>
      <c r="B137" s="27" t="s">
        <v>456</v>
      </c>
      <c r="C137" s="27" t="s">
        <v>457</v>
      </c>
      <c r="D137" s="27" t="s">
        <v>458</v>
      </c>
      <c r="E137" s="28" t="s">
        <v>46</v>
      </c>
      <c r="F137" s="29" t="s">
        <v>46</v>
      </c>
      <c r="G137" s="30" t="s">
        <v>46</v>
      </c>
      <c r="H137" s="31"/>
      <c r="I137" s="31" t="s">
        <v>47</v>
      </c>
      <c r="J137" s="32" t="n">
        <v>1.0</v>
      </c>
      <c r="K137" s="33" t="n">
        <f>2725</f>
        <v>2725.0</v>
      </c>
      <c r="L137" s="34" t="s">
        <v>48</v>
      </c>
      <c r="M137" s="33" t="n">
        <f>2914</f>
        <v>2914.0</v>
      </c>
      <c r="N137" s="34" t="s">
        <v>51</v>
      </c>
      <c r="O137" s="33" t="n">
        <f>2709</f>
        <v>2709.0</v>
      </c>
      <c r="P137" s="34" t="s">
        <v>73</v>
      </c>
      <c r="Q137" s="33" t="n">
        <f>2913</f>
        <v>2913.0</v>
      </c>
      <c r="R137" s="34" t="s">
        <v>51</v>
      </c>
      <c r="S137" s="35" t="n">
        <f>2834.57</f>
        <v>2834.57</v>
      </c>
      <c r="T137" s="32" t="n">
        <f>234966</f>
        <v>234966.0</v>
      </c>
      <c r="U137" s="32" t="n">
        <f>237</f>
        <v>237.0</v>
      </c>
      <c r="V137" s="32" t="n">
        <f>671276992</f>
        <v>6.71276992E8</v>
      </c>
      <c r="W137" s="32" t="n">
        <f>718496</f>
        <v>718496.0</v>
      </c>
      <c r="X137" s="36" t="n">
        <f>21</f>
        <v>21.0</v>
      </c>
    </row>
    <row r="138">
      <c r="A138" s="27" t="s">
        <v>42</v>
      </c>
      <c r="B138" s="27" t="s">
        <v>459</v>
      </c>
      <c r="C138" s="27" t="s">
        <v>460</v>
      </c>
      <c r="D138" s="27" t="s">
        <v>461</v>
      </c>
      <c r="E138" s="28" t="s">
        <v>46</v>
      </c>
      <c r="F138" s="29" t="s">
        <v>46</v>
      </c>
      <c r="G138" s="30" t="s">
        <v>46</v>
      </c>
      <c r="H138" s="31"/>
      <c r="I138" s="31" t="s">
        <v>47</v>
      </c>
      <c r="J138" s="32" t="n">
        <v>1.0</v>
      </c>
      <c r="K138" s="33" t="n">
        <f>10550</f>
        <v>10550.0</v>
      </c>
      <c r="L138" s="34" t="s">
        <v>48</v>
      </c>
      <c r="M138" s="33" t="n">
        <f>10575</f>
        <v>10575.0</v>
      </c>
      <c r="N138" s="34" t="s">
        <v>73</v>
      </c>
      <c r="O138" s="33" t="n">
        <f>10150</f>
        <v>10150.0</v>
      </c>
      <c r="P138" s="34" t="s">
        <v>103</v>
      </c>
      <c r="Q138" s="33" t="n">
        <f>10430</f>
        <v>10430.0</v>
      </c>
      <c r="R138" s="34" t="s">
        <v>51</v>
      </c>
      <c r="S138" s="35" t="n">
        <f>10362.86</f>
        <v>10362.86</v>
      </c>
      <c r="T138" s="32" t="n">
        <f>247857</f>
        <v>247857.0</v>
      </c>
      <c r="U138" s="32" t="n">
        <f>170588</f>
        <v>170588.0</v>
      </c>
      <c r="V138" s="32" t="n">
        <f>2556469939</f>
        <v>2.556469939E9</v>
      </c>
      <c r="W138" s="32" t="n">
        <f>1759725509</f>
        <v>1.759725509E9</v>
      </c>
      <c r="X138" s="36" t="n">
        <f>21</f>
        <v>21.0</v>
      </c>
    </row>
    <row r="139">
      <c r="A139" s="27" t="s">
        <v>42</v>
      </c>
      <c r="B139" s="27" t="s">
        <v>462</v>
      </c>
      <c r="C139" s="27" t="s">
        <v>463</v>
      </c>
      <c r="D139" s="27" t="s">
        <v>464</v>
      </c>
      <c r="E139" s="28" t="s">
        <v>46</v>
      </c>
      <c r="F139" s="29" t="s">
        <v>46</v>
      </c>
      <c r="G139" s="30" t="s">
        <v>46</v>
      </c>
      <c r="H139" s="31"/>
      <c r="I139" s="31" t="s">
        <v>47</v>
      </c>
      <c r="J139" s="32" t="n">
        <v>1.0</v>
      </c>
      <c r="K139" s="33" t="n">
        <f>2880</f>
        <v>2880.0</v>
      </c>
      <c r="L139" s="34" t="s">
        <v>48</v>
      </c>
      <c r="M139" s="33" t="n">
        <f>2897</f>
        <v>2897.0</v>
      </c>
      <c r="N139" s="34" t="s">
        <v>48</v>
      </c>
      <c r="O139" s="33" t="n">
        <f>2536</f>
        <v>2536.0</v>
      </c>
      <c r="P139" s="34" t="s">
        <v>90</v>
      </c>
      <c r="Q139" s="33" t="n">
        <f>2623</f>
        <v>2623.0</v>
      </c>
      <c r="R139" s="34" t="s">
        <v>51</v>
      </c>
      <c r="S139" s="35" t="n">
        <f>2695.1</f>
        <v>2695.1</v>
      </c>
      <c r="T139" s="32" t="n">
        <f>7076535</f>
        <v>7076535.0</v>
      </c>
      <c r="U139" s="32" t="n">
        <f>40130</f>
        <v>40130.0</v>
      </c>
      <c r="V139" s="32" t="n">
        <f>19058206910</f>
        <v>1.905820691E10</v>
      </c>
      <c r="W139" s="32" t="n">
        <f>108381632</f>
        <v>1.08381632E8</v>
      </c>
      <c r="X139" s="36" t="n">
        <f>21</f>
        <v>21.0</v>
      </c>
    </row>
    <row r="140">
      <c r="A140" s="27" t="s">
        <v>42</v>
      </c>
      <c r="B140" s="27" t="s">
        <v>465</v>
      </c>
      <c r="C140" s="27" t="s">
        <v>466</v>
      </c>
      <c r="D140" s="27" t="s">
        <v>467</v>
      </c>
      <c r="E140" s="28" t="s">
        <v>46</v>
      </c>
      <c r="F140" s="29" t="s">
        <v>46</v>
      </c>
      <c r="G140" s="30" t="s">
        <v>46</v>
      </c>
      <c r="H140" s="31"/>
      <c r="I140" s="31" t="s">
        <v>47</v>
      </c>
      <c r="J140" s="32" t="n">
        <v>1.0</v>
      </c>
      <c r="K140" s="33" t="n">
        <f>28300</f>
        <v>28300.0</v>
      </c>
      <c r="L140" s="34" t="s">
        <v>48</v>
      </c>
      <c r="M140" s="33" t="n">
        <f>28880</f>
        <v>28880.0</v>
      </c>
      <c r="N140" s="34" t="s">
        <v>89</v>
      </c>
      <c r="O140" s="33" t="n">
        <f>26880</f>
        <v>26880.0</v>
      </c>
      <c r="P140" s="34" t="s">
        <v>90</v>
      </c>
      <c r="Q140" s="33" t="n">
        <f>27435</f>
        <v>27435.0</v>
      </c>
      <c r="R140" s="34" t="s">
        <v>51</v>
      </c>
      <c r="S140" s="35" t="n">
        <f>27495.48</f>
        <v>27495.48</v>
      </c>
      <c r="T140" s="32" t="n">
        <f>7287</f>
        <v>7287.0</v>
      </c>
      <c r="U140" s="32" t="str">
        <f>"－"</f>
        <v>－</v>
      </c>
      <c r="V140" s="32" t="n">
        <f>200685165</f>
        <v>2.00685165E8</v>
      </c>
      <c r="W140" s="32" t="str">
        <f>"－"</f>
        <v>－</v>
      </c>
      <c r="X140" s="36" t="n">
        <f>21</f>
        <v>21.0</v>
      </c>
    </row>
    <row r="141">
      <c r="A141" s="27" t="s">
        <v>42</v>
      </c>
      <c r="B141" s="27" t="s">
        <v>468</v>
      </c>
      <c r="C141" s="27" t="s">
        <v>469</v>
      </c>
      <c r="D141" s="27" t="s">
        <v>470</v>
      </c>
      <c r="E141" s="28" t="s">
        <v>46</v>
      </c>
      <c r="F141" s="29" t="s">
        <v>46</v>
      </c>
      <c r="G141" s="30" t="s">
        <v>46</v>
      </c>
      <c r="H141" s="31"/>
      <c r="I141" s="31" t="s">
        <v>47</v>
      </c>
      <c r="J141" s="32" t="n">
        <v>10.0</v>
      </c>
      <c r="K141" s="33" t="n">
        <f>3389</f>
        <v>3389.0</v>
      </c>
      <c r="L141" s="34" t="s">
        <v>48</v>
      </c>
      <c r="M141" s="33" t="n">
        <f>3475</f>
        <v>3475.0</v>
      </c>
      <c r="N141" s="34" t="s">
        <v>89</v>
      </c>
      <c r="O141" s="33" t="n">
        <f>3012</f>
        <v>3012.0</v>
      </c>
      <c r="P141" s="34" t="s">
        <v>203</v>
      </c>
      <c r="Q141" s="33" t="n">
        <f>3101</f>
        <v>3101.0</v>
      </c>
      <c r="R141" s="34" t="s">
        <v>51</v>
      </c>
      <c r="S141" s="35" t="n">
        <f>3195.38</f>
        <v>3195.38</v>
      </c>
      <c r="T141" s="32" t="n">
        <f>35440</f>
        <v>35440.0</v>
      </c>
      <c r="U141" s="32" t="str">
        <f>"－"</f>
        <v>－</v>
      </c>
      <c r="V141" s="32" t="n">
        <f>112956510</f>
        <v>1.1295651E8</v>
      </c>
      <c r="W141" s="32" t="str">
        <f>"－"</f>
        <v>－</v>
      </c>
      <c r="X141" s="36" t="n">
        <f>21</f>
        <v>21.0</v>
      </c>
    </row>
    <row r="142">
      <c r="A142" s="27" t="s">
        <v>42</v>
      </c>
      <c r="B142" s="27" t="s">
        <v>471</v>
      </c>
      <c r="C142" s="27" t="s">
        <v>472</v>
      </c>
      <c r="D142" s="27" t="s">
        <v>473</v>
      </c>
      <c r="E142" s="28" t="s">
        <v>46</v>
      </c>
      <c r="F142" s="29" t="s">
        <v>46</v>
      </c>
      <c r="G142" s="30" t="s">
        <v>46</v>
      </c>
      <c r="H142" s="31"/>
      <c r="I142" s="31" t="s">
        <v>47</v>
      </c>
      <c r="J142" s="32" t="n">
        <v>1.0</v>
      </c>
      <c r="K142" s="33" t="n">
        <f>12680</f>
        <v>12680.0</v>
      </c>
      <c r="L142" s="34" t="s">
        <v>48</v>
      </c>
      <c r="M142" s="33" t="n">
        <f>13175</f>
        <v>13175.0</v>
      </c>
      <c r="N142" s="34" t="s">
        <v>51</v>
      </c>
      <c r="O142" s="33" t="n">
        <f>12005</f>
        <v>12005.0</v>
      </c>
      <c r="P142" s="34" t="s">
        <v>73</v>
      </c>
      <c r="Q142" s="33" t="n">
        <f>13115</f>
        <v>13115.0</v>
      </c>
      <c r="R142" s="34" t="s">
        <v>51</v>
      </c>
      <c r="S142" s="35" t="n">
        <f>12571.19</f>
        <v>12571.19</v>
      </c>
      <c r="T142" s="32" t="n">
        <f>5676</f>
        <v>5676.0</v>
      </c>
      <c r="U142" s="32" t="str">
        <f>"－"</f>
        <v>－</v>
      </c>
      <c r="V142" s="32" t="n">
        <f>71516050</f>
        <v>7.151605E7</v>
      </c>
      <c r="W142" s="32" t="str">
        <f>"－"</f>
        <v>－</v>
      </c>
      <c r="X142" s="36" t="n">
        <f>21</f>
        <v>21.0</v>
      </c>
    </row>
    <row r="143">
      <c r="A143" s="27" t="s">
        <v>42</v>
      </c>
      <c r="B143" s="27" t="s">
        <v>474</v>
      </c>
      <c r="C143" s="27" t="s">
        <v>475</v>
      </c>
      <c r="D143" s="27" t="s">
        <v>476</v>
      </c>
      <c r="E143" s="28" t="s">
        <v>46</v>
      </c>
      <c r="F143" s="29" t="s">
        <v>46</v>
      </c>
      <c r="G143" s="30" t="s">
        <v>46</v>
      </c>
      <c r="H143" s="31"/>
      <c r="I143" s="31" t="s">
        <v>47</v>
      </c>
      <c r="J143" s="32" t="n">
        <v>1.0</v>
      </c>
      <c r="K143" s="33" t="n">
        <f>13855</f>
        <v>13855.0</v>
      </c>
      <c r="L143" s="34" t="s">
        <v>48</v>
      </c>
      <c r="M143" s="33" t="n">
        <f>16470</f>
        <v>16470.0</v>
      </c>
      <c r="N143" s="34" t="s">
        <v>69</v>
      </c>
      <c r="O143" s="33" t="n">
        <f>12630</f>
        <v>12630.0</v>
      </c>
      <c r="P143" s="34" t="s">
        <v>61</v>
      </c>
      <c r="Q143" s="33" t="n">
        <f>15390</f>
        <v>15390.0</v>
      </c>
      <c r="R143" s="34" t="s">
        <v>51</v>
      </c>
      <c r="S143" s="35" t="n">
        <f>14544.29</f>
        <v>14544.29</v>
      </c>
      <c r="T143" s="32" t="n">
        <f>15916</f>
        <v>15916.0</v>
      </c>
      <c r="U143" s="32" t="str">
        <f>"－"</f>
        <v>－</v>
      </c>
      <c r="V143" s="32" t="n">
        <f>229189880</f>
        <v>2.2918988E8</v>
      </c>
      <c r="W143" s="32" t="str">
        <f>"－"</f>
        <v>－</v>
      </c>
      <c r="X143" s="36" t="n">
        <f>21</f>
        <v>21.0</v>
      </c>
    </row>
    <row r="144">
      <c r="A144" s="27" t="s">
        <v>42</v>
      </c>
      <c r="B144" s="27" t="s">
        <v>477</v>
      </c>
      <c r="C144" s="27" t="s">
        <v>478</v>
      </c>
      <c r="D144" s="27" t="s">
        <v>479</v>
      </c>
      <c r="E144" s="28" t="s">
        <v>46</v>
      </c>
      <c r="F144" s="29" t="s">
        <v>46</v>
      </c>
      <c r="G144" s="30" t="s">
        <v>46</v>
      </c>
      <c r="H144" s="31"/>
      <c r="I144" s="31" t="s">
        <v>47</v>
      </c>
      <c r="J144" s="32" t="n">
        <v>1.0</v>
      </c>
      <c r="K144" s="33" t="n">
        <f>19440</f>
        <v>19440.0</v>
      </c>
      <c r="L144" s="34" t="s">
        <v>48</v>
      </c>
      <c r="M144" s="33" t="n">
        <f>19475</f>
        <v>19475.0</v>
      </c>
      <c r="N144" s="34" t="s">
        <v>68</v>
      </c>
      <c r="O144" s="33" t="n">
        <f>18410</f>
        <v>18410.0</v>
      </c>
      <c r="P144" s="34" t="s">
        <v>49</v>
      </c>
      <c r="Q144" s="33" t="n">
        <f>19310</f>
        <v>19310.0</v>
      </c>
      <c r="R144" s="34" t="s">
        <v>177</v>
      </c>
      <c r="S144" s="35" t="n">
        <f>19134.29</f>
        <v>19134.29</v>
      </c>
      <c r="T144" s="32" t="n">
        <f>339</f>
        <v>339.0</v>
      </c>
      <c r="U144" s="32" t="str">
        <f>"－"</f>
        <v>－</v>
      </c>
      <c r="V144" s="32" t="n">
        <f>6323945</f>
        <v>6323945.0</v>
      </c>
      <c r="W144" s="32" t="str">
        <f>"－"</f>
        <v>－</v>
      </c>
      <c r="X144" s="36" t="n">
        <f>7</f>
        <v>7.0</v>
      </c>
    </row>
    <row r="145">
      <c r="A145" s="27" t="s">
        <v>42</v>
      </c>
      <c r="B145" s="27" t="s">
        <v>480</v>
      </c>
      <c r="C145" s="27" t="s">
        <v>481</v>
      </c>
      <c r="D145" s="27" t="s">
        <v>482</v>
      </c>
      <c r="E145" s="28" t="s">
        <v>46</v>
      </c>
      <c r="F145" s="29" t="s">
        <v>46</v>
      </c>
      <c r="G145" s="30" t="s">
        <v>46</v>
      </c>
      <c r="H145" s="31"/>
      <c r="I145" s="31" t="s">
        <v>47</v>
      </c>
      <c r="J145" s="32" t="n">
        <v>10.0</v>
      </c>
      <c r="K145" s="33" t="n">
        <f>53410</f>
        <v>53410.0</v>
      </c>
      <c r="L145" s="34" t="s">
        <v>48</v>
      </c>
      <c r="M145" s="33" t="n">
        <f>53990</f>
        <v>53990.0</v>
      </c>
      <c r="N145" s="34" t="s">
        <v>49</v>
      </c>
      <c r="O145" s="33" t="n">
        <f>52290</f>
        <v>52290.0</v>
      </c>
      <c r="P145" s="34" t="s">
        <v>73</v>
      </c>
      <c r="Q145" s="33" t="n">
        <f>53300</f>
        <v>53300.0</v>
      </c>
      <c r="R145" s="34" t="s">
        <v>51</v>
      </c>
      <c r="S145" s="35" t="n">
        <f>53349.05</f>
        <v>53349.05</v>
      </c>
      <c r="T145" s="32" t="n">
        <f>25550</f>
        <v>25550.0</v>
      </c>
      <c r="U145" s="32" t="n">
        <f>21700</f>
        <v>21700.0</v>
      </c>
      <c r="V145" s="32" t="n">
        <f>1364600777</f>
        <v>1.364600777E9</v>
      </c>
      <c r="W145" s="32" t="n">
        <f>1159263677</f>
        <v>1.159263677E9</v>
      </c>
      <c r="X145" s="36" t="n">
        <f>21</f>
        <v>21.0</v>
      </c>
    </row>
    <row r="146">
      <c r="A146" s="27" t="s">
        <v>42</v>
      </c>
      <c r="B146" s="27" t="s">
        <v>483</v>
      </c>
      <c r="C146" s="27" t="s">
        <v>484</v>
      </c>
      <c r="D146" s="27" t="s">
        <v>485</v>
      </c>
      <c r="E146" s="28" t="s">
        <v>46</v>
      </c>
      <c r="F146" s="29" t="s">
        <v>46</v>
      </c>
      <c r="G146" s="30" t="s">
        <v>46</v>
      </c>
      <c r="H146" s="31"/>
      <c r="I146" s="31" t="s">
        <v>47</v>
      </c>
      <c r="J146" s="32" t="n">
        <v>10.0</v>
      </c>
      <c r="K146" s="33" t="n">
        <f>315.6</f>
        <v>315.6</v>
      </c>
      <c r="L146" s="34" t="s">
        <v>48</v>
      </c>
      <c r="M146" s="33" t="n">
        <f>330</f>
        <v>330.0</v>
      </c>
      <c r="N146" s="34" t="s">
        <v>69</v>
      </c>
      <c r="O146" s="33" t="n">
        <f>315.4</f>
        <v>315.4</v>
      </c>
      <c r="P146" s="34" t="s">
        <v>48</v>
      </c>
      <c r="Q146" s="33" t="n">
        <f>327.2</f>
        <v>327.2</v>
      </c>
      <c r="R146" s="34" t="s">
        <v>51</v>
      </c>
      <c r="S146" s="35" t="n">
        <f>323.93</f>
        <v>323.93</v>
      </c>
      <c r="T146" s="32" t="n">
        <f>38188800</f>
        <v>3.81888E7</v>
      </c>
      <c r="U146" s="32" t="n">
        <f>737570</f>
        <v>737570.0</v>
      </c>
      <c r="V146" s="32" t="n">
        <f>12340050256</f>
        <v>1.2340050256E10</v>
      </c>
      <c r="W146" s="32" t="n">
        <f>240026825</f>
        <v>2.40026825E8</v>
      </c>
      <c r="X146" s="36" t="n">
        <f>21</f>
        <v>21.0</v>
      </c>
    </row>
    <row r="147">
      <c r="A147" s="27" t="s">
        <v>42</v>
      </c>
      <c r="B147" s="27" t="s">
        <v>486</v>
      </c>
      <c r="C147" s="27" t="s">
        <v>487</v>
      </c>
      <c r="D147" s="27" t="s">
        <v>488</v>
      </c>
      <c r="E147" s="28" t="s">
        <v>46</v>
      </c>
      <c r="F147" s="29" t="s">
        <v>46</v>
      </c>
      <c r="G147" s="30" t="s">
        <v>46</v>
      </c>
      <c r="H147" s="31"/>
      <c r="I147" s="31" t="s">
        <v>47</v>
      </c>
      <c r="J147" s="32" t="n">
        <v>10.0</v>
      </c>
      <c r="K147" s="33" t="n">
        <f>45310</f>
        <v>45310.0</v>
      </c>
      <c r="L147" s="34" t="s">
        <v>48</v>
      </c>
      <c r="M147" s="33" t="n">
        <f>45980</f>
        <v>45980.0</v>
      </c>
      <c r="N147" s="34" t="s">
        <v>89</v>
      </c>
      <c r="O147" s="33" t="n">
        <f>43140</f>
        <v>43140.0</v>
      </c>
      <c r="P147" s="34" t="s">
        <v>73</v>
      </c>
      <c r="Q147" s="33" t="n">
        <f>44600</f>
        <v>44600.0</v>
      </c>
      <c r="R147" s="34" t="s">
        <v>51</v>
      </c>
      <c r="S147" s="35" t="n">
        <f>44511.9</f>
        <v>44511.9</v>
      </c>
      <c r="T147" s="32" t="n">
        <f>28250</f>
        <v>28250.0</v>
      </c>
      <c r="U147" s="32" t="n">
        <f>22510</f>
        <v>22510.0</v>
      </c>
      <c r="V147" s="32" t="n">
        <f>1258063195</f>
        <v>1.258063195E9</v>
      </c>
      <c r="W147" s="32" t="n">
        <f>1002159295</f>
        <v>1.002159295E9</v>
      </c>
      <c r="X147" s="36" t="n">
        <f>21</f>
        <v>21.0</v>
      </c>
    </row>
    <row r="148">
      <c r="A148" s="27" t="s">
        <v>42</v>
      </c>
      <c r="B148" s="27" t="s">
        <v>489</v>
      </c>
      <c r="C148" s="27" t="s">
        <v>490</v>
      </c>
      <c r="D148" s="27" t="s">
        <v>491</v>
      </c>
      <c r="E148" s="28" t="s">
        <v>46</v>
      </c>
      <c r="F148" s="29" t="s">
        <v>46</v>
      </c>
      <c r="G148" s="30" t="s">
        <v>46</v>
      </c>
      <c r="H148" s="31"/>
      <c r="I148" s="31" t="s">
        <v>47</v>
      </c>
      <c r="J148" s="32" t="n">
        <v>10.0</v>
      </c>
      <c r="K148" s="33" t="n">
        <f>4780</f>
        <v>4780.0</v>
      </c>
      <c r="L148" s="34" t="s">
        <v>48</v>
      </c>
      <c r="M148" s="33" t="n">
        <f>4867</f>
        <v>4867.0</v>
      </c>
      <c r="N148" s="34" t="s">
        <v>69</v>
      </c>
      <c r="O148" s="33" t="n">
        <f>4637</f>
        <v>4637.0</v>
      </c>
      <c r="P148" s="34" t="s">
        <v>73</v>
      </c>
      <c r="Q148" s="33" t="n">
        <f>4803</f>
        <v>4803.0</v>
      </c>
      <c r="R148" s="34" t="s">
        <v>51</v>
      </c>
      <c r="S148" s="35" t="n">
        <f>4775.52</f>
        <v>4775.52</v>
      </c>
      <c r="T148" s="32" t="n">
        <f>85280</f>
        <v>85280.0</v>
      </c>
      <c r="U148" s="32" t="str">
        <f>"－"</f>
        <v>－</v>
      </c>
      <c r="V148" s="32" t="n">
        <f>407696200</f>
        <v>4.076962E8</v>
      </c>
      <c r="W148" s="32" t="str">
        <f>"－"</f>
        <v>－</v>
      </c>
      <c r="X148" s="36" t="n">
        <f>21</f>
        <v>21.0</v>
      </c>
    </row>
    <row r="149">
      <c r="A149" s="27" t="s">
        <v>42</v>
      </c>
      <c r="B149" s="27" t="s">
        <v>492</v>
      </c>
      <c r="C149" s="27" t="s">
        <v>493</v>
      </c>
      <c r="D149" s="27" t="s">
        <v>494</v>
      </c>
      <c r="E149" s="28" t="s">
        <v>46</v>
      </c>
      <c r="F149" s="29" t="s">
        <v>46</v>
      </c>
      <c r="G149" s="30" t="s">
        <v>46</v>
      </c>
      <c r="H149" s="31"/>
      <c r="I149" s="31" t="s">
        <v>47</v>
      </c>
      <c r="J149" s="32" t="n">
        <v>10.0</v>
      </c>
      <c r="K149" s="33" t="n">
        <f>1847.5</f>
        <v>1847.5</v>
      </c>
      <c r="L149" s="34" t="s">
        <v>48</v>
      </c>
      <c r="M149" s="33" t="n">
        <f>1852</f>
        <v>1852.0</v>
      </c>
      <c r="N149" s="34" t="s">
        <v>51</v>
      </c>
      <c r="O149" s="33" t="n">
        <f>1770</f>
        <v>1770.0</v>
      </c>
      <c r="P149" s="34" t="s">
        <v>73</v>
      </c>
      <c r="Q149" s="33" t="n">
        <f>1842</f>
        <v>1842.0</v>
      </c>
      <c r="R149" s="34" t="s">
        <v>51</v>
      </c>
      <c r="S149" s="35" t="n">
        <f>1814.12</f>
        <v>1814.12</v>
      </c>
      <c r="T149" s="32" t="n">
        <f>195560</f>
        <v>195560.0</v>
      </c>
      <c r="U149" s="32" t="str">
        <f>"－"</f>
        <v>－</v>
      </c>
      <c r="V149" s="32" t="n">
        <f>354130760</f>
        <v>3.5413076E8</v>
      </c>
      <c r="W149" s="32" t="str">
        <f>"－"</f>
        <v>－</v>
      </c>
      <c r="X149" s="36" t="n">
        <f>21</f>
        <v>21.0</v>
      </c>
    </row>
    <row r="150">
      <c r="A150" s="27" t="s">
        <v>42</v>
      </c>
      <c r="B150" s="27" t="s">
        <v>495</v>
      </c>
      <c r="C150" s="27" t="s">
        <v>496</v>
      </c>
      <c r="D150" s="27" t="s">
        <v>497</v>
      </c>
      <c r="E150" s="28" t="s">
        <v>46</v>
      </c>
      <c r="F150" s="29" t="s">
        <v>46</v>
      </c>
      <c r="G150" s="30" t="s">
        <v>46</v>
      </c>
      <c r="H150" s="31"/>
      <c r="I150" s="31" t="s">
        <v>47</v>
      </c>
      <c r="J150" s="32" t="n">
        <v>100.0</v>
      </c>
      <c r="K150" s="33" t="n">
        <f>234.1</f>
        <v>234.1</v>
      </c>
      <c r="L150" s="34" t="s">
        <v>48</v>
      </c>
      <c r="M150" s="33" t="n">
        <f>241.8</f>
        <v>241.8</v>
      </c>
      <c r="N150" s="34" t="s">
        <v>51</v>
      </c>
      <c r="O150" s="33" t="n">
        <f>223</f>
        <v>223.0</v>
      </c>
      <c r="P150" s="34" t="s">
        <v>73</v>
      </c>
      <c r="Q150" s="33" t="n">
        <f>239.3</f>
        <v>239.3</v>
      </c>
      <c r="R150" s="34" t="s">
        <v>51</v>
      </c>
      <c r="S150" s="35" t="n">
        <f>232.38</f>
        <v>232.38</v>
      </c>
      <c r="T150" s="32" t="n">
        <f>187700</f>
        <v>187700.0</v>
      </c>
      <c r="U150" s="32" t="str">
        <f>"－"</f>
        <v>－</v>
      </c>
      <c r="V150" s="32" t="n">
        <f>43908790</f>
        <v>4.390879E7</v>
      </c>
      <c r="W150" s="32" t="str">
        <f>"－"</f>
        <v>－</v>
      </c>
      <c r="X150" s="36" t="n">
        <f>21</f>
        <v>21.0</v>
      </c>
    </row>
    <row r="151">
      <c r="A151" s="27" t="s">
        <v>42</v>
      </c>
      <c r="B151" s="27" t="s">
        <v>498</v>
      </c>
      <c r="C151" s="27" t="s">
        <v>499</v>
      </c>
      <c r="D151" s="27" t="s">
        <v>500</v>
      </c>
      <c r="E151" s="28" t="s">
        <v>46</v>
      </c>
      <c r="F151" s="29" t="s">
        <v>46</v>
      </c>
      <c r="G151" s="30" t="s">
        <v>46</v>
      </c>
      <c r="H151" s="31"/>
      <c r="I151" s="31" t="s">
        <v>47</v>
      </c>
      <c r="J151" s="32" t="n">
        <v>10.0</v>
      </c>
      <c r="K151" s="33" t="n">
        <f>1665</f>
        <v>1665.0</v>
      </c>
      <c r="L151" s="34" t="s">
        <v>89</v>
      </c>
      <c r="M151" s="33" t="n">
        <f>1677</f>
        <v>1677.0</v>
      </c>
      <c r="N151" s="34" t="s">
        <v>89</v>
      </c>
      <c r="O151" s="33" t="n">
        <f>1439.5</f>
        <v>1439.5</v>
      </c>
      <c r="P151" s="34" t="s">
        <v>116</v>
      </c>
      <c r="Q151" s="33" t="n">
        <f>1564</f>
        <v>1564.0</v>
      </c>
      <c r="R151" s="34" t="s">
        <v>51</v>
      </c>
      <c r="S151" s="35" t="n">
        <f>1545.46</f>
        <v>1545.46</v>
      </c>
      <c r="T151" s="32" t="n">
        <f>2070</f>
        <v>2070.0</v>
      </c>
      <c r="U151" s="32" t="str">
        <f>"－"</f>
        <v>－</v>
      </c>
      <c r="V151" s="32" t="n">
        <f>3200450</f>
        <v>3200450.0</v>
      </c>
      <c r="W151" s="32" t="str">
        <f>"－"</f>
        <v>－</v>
      </c>
      <c r="X151" s="36" t="n">
        <f>12</f>
        <v>12.0</v>
      </c>
    </row>
    <row r="152">
      <c r="A152" s="27" t="s">
        <v>42</v>
      </c>
      <c r="B152" s="27" t="s">
        <v>501</v>
      </c>
      <c r="C152" s="27" t="s">
        <v>502</v>
      </c>
      <c r="D152" s="27" t="s">
        <v>503</v>
      </c>
      <c r="E152" s="28" t="s">
        <v>46</v>
      </c>
      <c r="F152" s="29" t="s">
        <v>46</v>
      </c>
      <c r="G152" s="30" t="s">
        <v>46</v>
      </c>
      <c r="H152" s="31"/>
      <c r="I152" s="31" t="s">
        <v>47</v>
      </c>
      <c r="J152" s="32" t="n">
        <v>10.0</v>
      </c>
      <c r="K152" s="33" t="n">
        <f>569</f>
        <v>569.0</v>
      </c>
      <c r="L152" s="34" t="s">
        <v>48</v>
      </c>
      <c r="M152" s="33" t="n">
        <f>570</f>
        <v>570.0</v>
      </c>
      <c r="N152" s="34" t="s">
        <v>48</v>
      </c>
      <c r="O152" s="33" t="n">
        <f>496.8</f>
        <v>496.8</v>
      </c>
      <c r="P152" s="34" t="s">
        <v>203</v>
      </c>
      <c r="Q152" s="33" t="n">
        <f>518.9</f>
        <v>518.9</v>
      </c>
      <c r="R152" s="34" t="s">
        <v>51</v>
      </c>
      <c r="S152" s="35" t="n">
        <f>526.97</f>
        <v>526.97</v>
      </c>
      <c r="T152" s="32" t="n">
        <f>75630</f>
        <v>75630.0</v>
      </c>
      <c r="U152" s="32" t="str">
        <f>"－"</f>
        <v>－</v>
      </c>
      <c r="V152" s="32" t="n">
        <f>39579842</f>
        <v>3.9579842E7</v>
      </c>
      <c r="W152" s="32" t="str">
        <f>"－"</f>
        <v>－</v>
      </c>
      <c r="X152" s="36" t="n">
        <f>21</f>
        <v>21.0</v>
      </c>
    </row>
    <row r="153">
      <c r="A153" s="27" t="s">
        <v>42</v>
      </c>
      <c r="B153" s="27" t="s">
        <v>504</v>
      </c>
      <c r="C153" s="27" t="s">
        <v>505</v>
      </c>
      <c r="D153" s="27" t="s">
        <v>506</v>
      </c>
      <c r="E153" s="28" t="s">
        <v>46</v>
      </c>
      <c r="F153" s="29" t="s">
        <v>46</v>
      </c>
      <c r="G153" s="30" t="s">
        <v>46</v>
      </c>
      <c r="H153" s="31"/>
      <c r="I153" s="31" t="s">
        <v>47</v>
      </c>
      <c r="J153" s="32" t="n">
        <v>10.0</v>
      </c>
      <c r="K153" s="33" t="n">
        <f>2099</f>
        <v>2099.0</v>
      </c>
      <c r="L153" s="34" t="s">
        <v>48</v>
      </c>
      <c r="M153" s="33" t="n">
        <f>2099</f>
        <v>2099.0</v>
      </c>
      <c r="N153" s="34" t="s">
        <v>48</v>
      </c>
      <c r="O153" s="33" t="n">
        <f>1948</f>
        <v>1948.0</v>
      </c>
      <c r="P153" s="34" t="s">
        <v>73</v>
      </c>
      <c r="Q153" s="33" t="n">
        <f>1988.5</f>
        <v>1988.5</v>
      </c>
      <c r="R153" s="34" t="s">
        <v>51</v>
      </c>
      <c r="S153" s="35" t="n">
        <f>2011.44</f>
        <v>2011.44</v>
      </c>
      <c r="T153" s="32" t="n">
        <f>7800</f>
        <v>7800.0</v>
      </c>
      <c r="U153" s="32" t="str">
        <f>"－"</f>
        <v>－</v>
      </c>
      <c r="V153" s="32" t="n">
        <f>15596765</f>
        <v>1.5596765E7</v>
      </c>
      <c r="W153" s="32" t="str">
        <f>"－"</f>
        <v>－</v>
      </c>
      <c r="X153" s="36" t="n">
        <f>18</f>
        <v>18.0</v>
      </c>
    </row>
    <row r="154">
      <c r="A154" s="27" t="s">
        <v>42</v>
      </c>
      <c r="B154" s="27" t="s">
        <v>507</v>
      </c>
      <c r="C154" s="27" t="s">
        <v>508</v>
      </c>
      <c r="D154" s="27" t="s">
        <v>509</v>
      </c>
      <c r="E154" s="28" t="s">
        <v>46</v>
      </c>
      <c r="F154" s="29" t="s">
        <v>46</v>
      </c>
      <c r="G154" s="30" t="s">
        <v>46</v>
      </c>
      <c r="H154" s="31"/>
      <c r="I154" s="31" t="s">
        <v>47</v>
      </c>
      <c r="J154" s="32" t="n">
        <v>10.0</v>
      </c>
      <c r="K154" s="33" t="n">
        <f>978</f>
        <v>978.0</v>
      </c>
      <c r="L154" s="34" t="s">
        <v>48</v>
      </c>
      <c r="M154" s="33" t="n">
        <f>982.6</f>
        <v>982.6</v>
      </c>
      <c r="N154" s="34" t="s">
        <v>48</v>
      </c>
      <c r="O154" s="33" t="n">
        <f>880.6</f>
        <v>880.6</v>
      </c>
      <c r="P154" s="34" t="s">
        <v>116</v>
      </c>
      <c r="Q154" s="33" t="n">
        <f>915.9</f>
        <v>915.9</v>
      </c>
      <c r="R154" s="34" t="s">
        <v>51</v>
      </c>
      <c r="S154" s="35" t="n">
        <f>934.46</f>
        <v>934.46</v>
      </c>
      <c r="T154" s="32" t="n">
        <f>53470</f>
        <v>53470.0</v>
      </c>
      <c r="U154" s="32" t="str">
        <f>"－"</f>
        <v>－</v>
      </c>
      <c r="V154" s="32" t="n">
        <f>49511896</f>
        <v>4.9511896E7</v>
      </c>
      <c r="W154" s="32" t="str">
        <f>"－"</f>
        <v>－</v>
      </c>
      <c r="X154" s="36" t="n">
        <f>21</f>
        <v>21.0</v>
      </c>
    </row>
    <row r="155">
      <c r="A155" s="27" t="s">
        <v>42</v>
      </c>
      <c r="B155" s="27" t="s">
        <v>510</v>
      </c>
      <c r="C155" s="27" t="s">
        <v>511</v>
      </c>
      <c r="D155" s="27" t="s">
        <v>512</v>
      </c>
      <c r="E155" s="28" t="s">
        <v>46</v>
      </c>
      <c r="F155" s="29" t="s">
        <v>46</v>
      </c>
      <c r="G155" s="30" t="s">
        <v>46</v>
      </c>
      <c r="H155" s="31"/>
      <c r="I155" s="31" t="s">
        <v>47</v>
      </c>
      <c r="J155" s="32" t="n">
        <v>10.0</v>
      </c>
      <c r="K155" s="33" t="n">
        <f>635</f>
        <v>635.0</v>
      </c>
      <c r="L155" s="34" t="s">
        <v>48</v>
      </c>
      <c r="M155" s="33" t="n">
        <f>636.2</f>
        <v>636.2</v>
      </c>
      <c r="N155" s="34" t="s">
        <v>49</v>
      </c>
      <c r="O155" s="33" t="n">
        <f>594</f>
        <v>594.0</v>
      </c>
      <c r="P155" s="34" t="s">
        <v>116</v>
      </c>
      <c r="Q155" s="33" t="n">
        <f>603.7</f>
        <v>603.7</v>
      </c>
      <c r="R155" s="34" t="s">
        <v>51</v>
      </c>
      <c r="S155" s="35" t="n">
        <f>614.61</f>
        <v>614.61</v>
      </c>
      <c r="T155" s="32" t="n">
        <f>225640</f>
        <v>225640.0</v>
      </c>
      <c r="U155" s="32" t="str">
        <f>"－"</f>
        <v>－</v>
      </c>
      <c r="V155" s="32" t="n">
        <f>137596560</f>
        <v>1.3759656E8</v>
      </c>
      <c r="W155" s="32" t="str">
        <f>"－"</f>
        <v>－</v>
      </c>
      <c r="X155" s="36" t="n">
        <f>21</f>
        <v>21.0</v>
      </c>
    </row>
    <row r="156">
      <c r="A156" s="27" t="s">
        <v>42</v>
      </c>
      <c r="B156" s="27" t="s">
        <v>513</v>
      </c>
      <c r="C156" s="27" t="s">
        <v>514</v>
      </c>
      <c r="D156" s="27" t="s">
        <v>515</v>
      </c>
      <c r="E156" s="28" t="s">
        <v>46</v>
      </c>
      <c r="F156" s="29" t="s">
        <v>46</v>
      </c>
      <c r="G156" s="30" t="s">
        <v>46</v>
      </c>
      <c r="H156" s="31"/>
      <c r="I156" s="31" t="s">
        <v>47</v>
      </c>
      <c r="J156" s="32" t="n">
        <v>1.0</v>
      </c>
      <c r="K156" s="33" t="n">
        <f>1690</f>
        <v>1690.0</v>
      </c>
      <c r="L156" s="34" t="s">
        <v>49</v>
      </c>
      <c r="M156" s="33" t="n">
        <f>1701</f>
        <v>1701.0</v>
      </c>
      <c r="N156" s="34" t="s">
        <v>49</v>
      </c>
      <c r="O156" s="33" t="n">
        <f>1423</f>
        <v>1423.0</v>
      </c>
      <c r="P156" s="34" t="s">
        <v>203</v>
      </c>
      <c r="Q156" s="33" t="n">
        <f>1551</f>
        <v>1551.0</v>
      </c>
      <c r="R156" s="34" t="s">
        <v>51</v>
      </c>
      <c r="S156" s="35" t="n">
        <f>1524.83</f>
        <v>1524.83</v>
      </c>
      <c r="T156" s="32" t="n">
        <f>1120691</f>
        <v>1120691.0</v>
      </c>
      <c r="U156" s="32" t="str">
        <f>"－"</f>
        <v>－</v>
      </c>
      <c r="V156" s="32" t="n">
        <f>1728195765</f>
        <v>1.728195765E9</v>
      </c>
      <c r="W156" s="32" t="str">
        <f>"－"</f>
        <v>－</v>
      </c>
      <c r="X156" s="36" t="n">
        <f>18</f>
        <v>18.0</v>
      </c>
    </row>
    <row r="157">
      <c r="A157" s="27" t="s">
        <v>42</v>
      </c>
      <c r="B157" s="27" t="s">
        <v>516</v>
      </c>
      <c r="C157" s="27" t="s">
        <v>517</v>
      </c>
      <c r="D157" s="27" t="s">
        <v>518</v>
      </c>
      <c r="E157" s="28" t="s">
        <v>46</v>
      </c>
      <c r="F157" s="29" t="s">
        <v>46</v>
      </c>
      <c r="G157" s="30" t="s">
        <v>46</v>
      </c>
      <c r="H157" s="31"/>
      <c r="I157" s="31" t="s">
        <v>47</v>
      </c>
      <c r="J157" s="32" t="n">
        <v>10.0</v>
      </c>
      <c r="K157" s="33" t="n">
        <f>1403</f>
        <v>1403.0</v>
      </c>
      <c r="L157" s="34" t="s">
        <v>48</v>
      </c>
      <c r="M157" s="33" t="n">
        <f>1406</f>
        <v>1406.0</v>
      </c>
      <c r="N157" s="34" t="s">
        <v>48</v>
      </c>
      <c r="O157" s="33" t="n">
        <f>1239</f>
        <v>1239.0</v>
      </c>
      <c r="P157" s="34" t="s">
        <v>90</v>
      </c>
      <c r="Q157" s="33" t="n">
        <f>1284</f>
        <v>1284.0</v>
      </c>
      <c r="R157" s="34" t="s">
        <v>51</v>
      </c>
      <c r="S157" s="35" t="n">
        <f>1313.93</f>
        <v>1313.93</v>
      </c>
      <c r="T157" s="32" t="n">
        <f>57290</f>
        <v>57290.0</v>
      </c>
      <c r="U157" s="32" t="str">
        <f>"－"</f>
        <v>－</v>
      </c>
      <c r="V157" s="32" t="n">
        <f>75056040</f>
        <v>7.505604E7</v>
      </c>
      <c r="W157" s="32" t="str">
        <f>"－"</f>
        <v>－</v>
      </c>
      <c r="X157" s="36" t="n">
        <f>21</f>
        <v>21.0</v>
      </c>
    </row>
    <row r="158">
      <c r="A158" s="27" t="s">
        <v>42</v>
      </c>
      <c r="B158" s="27" t="s">
        <v>519</v>
      </c>
      <c r="C158" s="27" t="s">
        <v>520</v>
      </c>
      <c r="D158" s="27" t="s">
        <v>521</v>
      </c>
      <c r="E158" s="28" t="s">
        <v>46</v>
      </c>
      <c r="F158" s="29" t="s">
        <v>46</v>
      </c>
      <c r="G158" s="30" t="s">
        <v>46</v>
      </c>
      <c r="H158" s="31"/>
      <c r="I158" s="31" t="s">
        <v>47</v>
      </c>
      <c r="J158" s="32" t="n">
        <v>1.0</v>
      </c>
      <c r="K158" s="33" t="n">
        <f>7787</f>
        <v>7787.0</v>
      </c>
      <c r="L158" s="34" t="s">
        <v>48</v>
      </c>
      <c r="M158" s="33" t="n">
        <f>7787</f>
        <v>7787.0</v>
      </c>
      <c r="N158" s="34" t="s">
        <v>48</v>
      </c>
      <c r="O158" s="33" t="n">
        <f>6720</f>
        <v>6720.0</v>
      </c>
      <c r="P158" s="34" t="s">
        <v>73</v>
      </c>
      <c r="Q158" s="33" t="n">
        <f>7000</f>
        <v>7000.0</v>
      </c>
      <c r="R158" s="34" t="s">
        <v>51</v>
      </c>
      <c r="S158" s="35" t="n">
        <f>7125.53</f>
        <v>7125.53</v>
      </c>
      <c r="T158" s="32" t="n">
        <f>465</f>
        <v>465.0</v>
      </c>
      <c r="U158" s="32" t="str">
        <f>"－"</f>
        <v>－</v>
      </c>
      <c r="V158" s="32" t="n">
        <f>3297545</f>
        <v>3297545.0</v>
      </c>
      <c r="W158" s="32" t="str">
        <f>"－"</f>
        <v>－</v>
      </c>
      <c r="X158" s="36" t="n">
        <f>15</f>
        <v>15.0</v>
      </c>
    </row>
    <row r="159">
      <c r="A159" s="27" t="s">
        <v>42</v>
      </c>
      <c r="B159" s="27" t="s">
        <v>522</v>
      </c>
      <c r="C159" s="27" t="s">
        <v>523</v>
      </c>
      <c r="D159" s="27" t="s">
        <v>524</v>
      </c>
      <c r="E159" s="28" t="s">
        <v>46</v>
      </c>
      <c r="F159" s="29" t="s">
        <v>46</v>
      </c>
      <c r="G159" s="30" t="s">
        <v>46</v>
      </c>
      <c r="H159" s="31"/>
      <c r="I159" s="31" t="s">
        <v>47</v>
      </c>
      <c r="J159" s="32" t="n">
        <v>100.0</v>
      </c>
      <c r="K159" s="33" t="n">
        <f>447.6</f>
        <v>447.6</v>
      </c>
      <c r="L159" s="34" t="s">
        <v>48</v>
      </c>
      <c r="M159" s="33" t="n">
        <f>457</f>
        <v>457.0</v>
      </c>
      <c r="N159" s="34" t="s">
        <v>51</v>
      </c>
      <c r="O159" s="33" t="n">
        <f>405.5</f>
        <v>405.5</v>
      </c>
      <c r="P159" s="34" t="s">
        <v>90</v>
      </c>
      <c r="Q159" s="33" t="n">
        <f>457</f>
        <v>457.0</v>
      </c>
      <c r="R159" s="34" t="s">
        <v>51</v>
      </c>
      <c r="S159" s="35" t="n">
        <f>427.7</f>
        <v>427.7</v>
      </c>
      <c r="T159" s="32" t="n">
        <f>88600</f>
        <v>88600.0</v>
      </c>
      <c r="U159" s="32" t="str">
        <f>"－"</f>
        <v>－</v>
      </c>
      <c r="V159" s="32" t="n">
        <f>38143040</f>
        <v>3.814304E7</v>
      </c>
      <c r="W159" s="32" t="str">
        <f>"－"</f>
        <v>－</v>
      </c>
      <c r="X159" s="36" t="n">
        <f>21</f>
        <v>21.0</v>
      </c>
    </row>
    <row r="160">
      <c r="A160" s="27" t="s">
        <v>42</v>
      </c>
      <c r="B160" s="27" t="s">
        <v>525</v>
      </c>
      <c r="C160" s="27" t="s">
        <v>526</v>
      </c>
      <c r="D160" s="27" t="s">
        <v>527</v>
      </c>
      <c r="E160" s="28" t="s">
        <v>46</v>
      </c>
      <c r="F160" s="29" t="s">
        <v>46</v>
      </c>
      <c r="G160" s="30" t="s">
        <v>46</v>
      </c>
      <c r="H160" s="31"/>
      <c r="I160" s="31" t="s">
        <v>47</v>
      </c>
      <c r="J160" s="32" t="n">
        <v>10.0</v>
      </c>
      <c r="K160" s="33" t="n">
        <f>5020</f>
        <v>5020.0</v>
      </c>
      <c r="L160" s="34" t="s">
        <v>48</v>
      </c>
      <c r="M160" s="33" t="n">
        <f>5087</f>
        <v>5087.0</v>
      </c>
      <c r="N160" s="34" t="s">
        <v>89</v>
      </c>
      <c r="O160" s="33" t="n">
        <f>4800</f>
        <v>4800.0</v>
      </c>
      <c r="P160" s="34" t="s">
        <v>90</v>
      </c>
      <c r="Q160" s="33" t="n">
        <f>4930</f>
        <v>4930.0</v>
      </c>
      <c r="R160" s="34" t="s">
        <v>51</v>
      </c>
      <c r="S160" s="35" t="n">
        <f>4946.9</f>
        <v>4946.9</v>
      </c>
      <c r="T160" s="32" t="n">
        <f>27170</f>
        <v>27170.0</v>
      </c>
      <c r="U160" s="32" t="str">
        <f>"－"</f>
        <v>－</v>
      </c>
      <c r="V160" s="32" t="n">
        <f>134151450</f>
        <v>1.3415145E8</v>
      </c>
      <c r="W160" s="32" t="str">
        <f>"－"</f>
        <v>－</v>
      </c>
      <c r="X160" s="36" t="n">
        <f>21</f>
        <v>21.0</v>
      </c>
    </row>
    <row r="161">
      <c r="A161" s="27" t="s">
        <v>42</v>
      </c>
      <c r="B161" s="27" t="s">
        <v>528</v>
      </c>
      <c r="C161" s="27" t="s">
        <v>529</v>
      </c>
      <c r="D161" s="27" t="s">
        <v>530</v>
      </c>
      <c r="E161" s="28" t="s">
        <v>46</v>
      </c>
      <c r="F161" s="29" t="s">
        <v>46</v>
      </c>
      <c r="G161" s="30" t="s">
        <v>46</v>
      </c>
      <c r="H161" s="31"/>
      <c r="I161" s="31" t="s">
        <v>47</v>
      </c>
      <c r="J161" s="32" t="n">
        <v>10.0</v>
      </c>
      <c r="K161" s="33" t="n">
        <f>2280</f>
        <v>2280.0</v>
      </c>
      <c r="L161" s="34" t="s">
        <v>48</v>
      </c>
      <c r="M161" s="33" t="n">
        <f>2367</f>
        <v>2367.0</v>
      </c>
      <c r="N161" s="34" t="s">
        <v>89</v>
      </c>
      <c r="O161" s="33" t="n">
        <f>2148</f>
        <v>2148.0</v>
      </c>
      <c r="P161" s="34" t="s">
        <v>176</v>
      </c>
      <c r="Q161" s="33" t="n">
        <f>2155</f>
        <v>2155.0</v>
      </c>
      <c r="R161" s="34" t="s">
        <v>51</v>
      </c>
      <c r="S161" s="35" t="n">
        <f>2208.62</f>
        <v>2208.62</v>
      </c>
      <c r="T161" s="32" t="n">
        <f>34510</f>
        <v>34510.0</v>
      </c>
      <c r="U161" s="32" t="str">
        <f>"－"</f>
        <v>－</v>
      </c>
      <c r="V161" s="32" t="n">
        <f>76181545</f>
        <v>7.6181545E7</v>
      </c>
      <c r="W161" s="32" t="str">
        <f>"－"</f>
        <v>－</v>
      </c>
      <c r="X161" s="36" t="n">
        <f>21</f>
        <v>21.0</v>
      </c>
    </row>
    <row r="162">
      <c r="A162" s="27" t="s">
        <v>42</v>
      </c>
      <c r="B162" s="27" t="s">
        <v>531</v>
      </c>
      <c r="C162" s="27" t="s">
        <v>532</v>
      </c>
      <c r="D162" s="27" t="s">
        <v>533</v>
      </c>
      <c r="E162" s="28" t="s">
        <v>46</v>
      </c>
      <c r="F162" s="29" t="s">
        <v>46</v>
      </c>
      <c r="G162" s="30" t="s">
        <v>46</v>
      </c>
      <c r="H162" s="31"/>
      <c r="I162" s="31" t="s">
        <v>47</v>
      </c>
      <c r="J162" s="32" t="n">
        <v>1.0</v>
      </c>
      <c r="K162" s="33" t="n">
        <f>3795</f>
        <v>3795.0</v>
      </c>
      <c r="L162" s="34" t="s">
        <v>49</v>
      </c>
      <c r="M162" s="33" t="n">
        <f>3835</f>
        <v>3835.0</v>
      </c>
      <c r="N162" s="34" t="s">
        <v>231</v>
      </c>
      <c r="O162" s="33" t="n">
        <f>3545</f>
        <v>3545.0</v>
      </c>
      <c r="P162" s="34" t="s">
        <v>90</v>
      </c>
      <c r="Q162" s="33" t="n">
        <f>3665</f>
        <v>3665.0</v>
      </c>
      <c r="R162" s="34" t="s">
        <v>51</v>
      </c>
      <c r="S162" s="35" t="n">
        <f>3668.06</f>
        <v>3668.06</v>
      </c>
      <c r="T162" s="32" t="n">
        <f>297045</f>
        <v>297045.0</v>
      </c>
      <c r="U162" s="32" t="str">
        <f>"－"</f>
        <v>－</v>
      </c>
      <c r="V162" s="32" t="n">
        <f>1104520235</f>
        <v>1.104520235E9</v>
      </c>
      <c r="W162" s="32" t="str">
        <f>"－"</f>
        <v>－</v>
      </c>
      <c r="X162" s="36" t="n">
        <f>18</f>
        <v>18.0</v>
      </c>
    </row>
    <row r="163">
      <c r="A163" s="27" t="s">
        <v>42</v>
      </c>
      <c r="B163" s="27" t="s">
        <v>534</v>
      </c>
      <c r="C163" s="27" t="s">
        <v>535</v>
      </c>
      <c r="D163" s="27" t="s">
        <v>536</v>
      </c>
      <c r="E163" s="28" t="s">
        <v>46</v>
      </c>
      <c r="F163" s="29" t="s">
        <v>46</v>
      </c>
      <c r="G163" s="30" t="s">
        <v>46</v>
      </c>
      <c r="H163" s="31"/>
      <c r="I163" s="31" t="s">
        <v>47</v>
      </c>
      <c r="J163" s="32" t="n">
        <v>1.0</v>
      </c>
      <c r="K163" s="33" t="n">
        <f>3615</f>
        <v>3615.0</v>
      </c>
      <c r="L163" s="34" t="s">
        <v>49</v>
      </c>
      <c r="M163" s="33" t="n">
        <f>3665</f>
        <v>3665.0</v>
      </c>
      <c r="N163" s="34" t="s">
        <v>49</v>
      </c>
      <c r="O163" s="33" t="n">
        <f>3330</f>
        <v>3330.0</v>
      </c>
      <c r="P163" s="34" t="s">
        <v>156</v>
      </c>
      <c r="Q163" s="33" t="n">
        <f>3410</f>
        <v>3410.0</v>
      </c>
      <c r="R163" s="34" t="s">
        <v>51</v>
      </c>
      <c r="S163" s="35" t="n">
        <f>3487.5</f>
        <v>3487.5</v>
      </c>
      <c r="T163" s="32" t="n">
        <f>49459</f>
        <v>49459.0</v>
      </c>
      <c r="U163" s="32" t="str">
        <f>"－"</f>
        <v>－</v>
      </c>
      <c r="V163" s="32" t="n">
        <f>173344890</f>
        <v>1.7334489E8</v>
      </c>
      <c r="W163" s="32" t="str">
        <f>"－"</f>
        <v>－</v>
      </c>
      <c r="X163" s="36" t="n">
        <f>18</f>
        <v>18.0</v>
      </c>
    </row>
    <row r="164">
      <c r="A164" s="27" t="s">
        <v>42</v>
      </c>
      <c r="B164" s="27" t="s">
        <v>537</v>
      </c>
      <c r="C164" s="27" t="s">
        <v>538</v>
      </c>
      <c r="D164" s="27" t="s">
        <v>539</v>
      </c>
      <c r="E164" s="28" t="s">
        <v>46</v>
      </c>
      <c r="F164" s="29" t="s">
        <v>46</v>
      </c>
      <c r="G164" s="30" t="s">
        <v>46</v>
      </c>
      <c r="H164" s="31"/>
      <c r="I164" s="31" t="s">
        <v>47</v>
      </c>
      <c r="J164" s="32" t="n">
        <v>10.0</v>
      </c>
      <c r="K164" s="33" t="n">
        <f>4774</f>
        <v>4774.0</v>
      </c>
      <c r="L164" s="34" t="s">
        <v>48</v>
      </c>
      <c r="M164" s="33" t="n">
        <f>4774</f>
        <v>4774.0</v>
      </c>
      <c r="N164" s="34" t="s">
        <v>48</v>
      </c>
      <c r="O164" s="33" t="n">
        <f>4400</f>
        <v>4400.0</v>
      </c>
      <c r="P164" s="34" t="s">
        <v>540</v>
      </c>
      <c r="Q164" s="33" t="n">
        <f>4437</f>
        <v>4437.0</v>
      </c>
      <c r="R164" s="34" t="s">
        <v>51</v>
      </c>
      <c r="S164" s="35" t="n">
        <f>4551.62</f>
        <v>4551.62</v>
      </c>
      <c r="T164" s="32" t="n">
        <f>10850</f>
        <v>10850.0</v>
      </c>
      <c r="U164" s="32" t="str">
        <f>"－"</f>
        <v>－</v>
      </c>
      <c r="V164" s="32" t="n">
        <f>49225670</f>
        <v>4.922567E7</v>
      </c>
      <c r="W164" s="32" t="str">
        <f>"－"</f>
        <v>－</v>
      </c>
      <c r="X164" s="36" t="n">
        <f>21</f>
        <v>21.0</v>
      </c>
    </row>
    <row r="165">
      <c r="A165" s="27" t="s">
        <v>42</v>
      </c>
      <c r="B165" s="27" t="s">
        <v>541</v>
      </c>
      <c r="C165" s="27" t="s">
        <v>542</v>
      </c>
      <c r="D165" s="27" t="s">
        <v>543</v>
      </c>
      <c r="E165" s="28" t="s">
        <v>46</v>
      </c>
      <c r="F165" s="29" t="s">
        <v>46</v>
      </c>
      <c r="G165" s="30" t="s">
        <v>46</v>
      </c>
      <c r="H165" s="31"/>
      <c r="I165" s="31" t="s">
        <v>47</v>
      </c>
      <c r="J165" s="32" t="n">
        <v>10.0</v>
      </c>
      <c r="K165" s="33" t="n">
        <f>2651</f>
        <v>2651.0</v>
      </c>
      <c r="L165" s="34" t="s">
        <v>48</v>
      </c>
      <c r="M165" s="33" t="n">
        <f>2669</f>
        <v>2669.0</v>
      </c>
      <c r="N165" s="34" t="s">
        <v>49</v>
      </c>
      <c r="O165" s="33" t="n">
        <f>2530</f>
        <v>2530.0</v>
      </c>
      <c r="P165" s="34" t="s">
        <v>50</v>
      </c>
      <c r="Q165" s="33" t="n">
        <f>2602.5</f>
        <v>2602.5</v>
      </c>
      <c r="R165" s="34" t="s">
        <v>51</v>
      </c>
      <c r="S165" s="35" t="n">
        <f>2609.29</f>
        <v>2609.29</v>
      </c>
      <c r="T165" s="32" t="n">
        <f>727060</f>
        <v>727060.0</v>
      </c>
      <c r="U165" s="32" t="n">
        <f>450700</f>
        <v>450700.0</v>
      </c>
      <c r="V165" s="32" t="n">
        <f>1889940415</f>
        <v>1.889940415E9</v>
      </c>
      <c r="W165" s="32" t="n">
        <f>1170254250</f>
        <v>1.17025425E9</v>
      </c>
      <c r="X165" s="36" t="n">
        <f>21</f>
        <v>21.0</v>
      </c>
    </row>
    <row r="166">
      <c r="A166" s="27" t="s">
        <v>42</v>
      </c>
      <c r="B166" s="27" t="s">
        <v>544</v>
      </c>
      <c r="C166" s="27" t="s">
        <v>545</v>
      </c>
      <c r="D166" s="27" t="s">
        <v>546</v>
      </c>
      <c r="E166" s="28" t="s">
        <v>46</v>
      </c>
      <c r="F166" s="29" t="s">
        <v>46</v>
      </c>
      <c r="G166" s="30" t="s">
        <v>46</v>
      </c>
      <c r="H166" s="31"/>
      <c r="I166" s="31" t="s">
        <v>47</v>
      </c>
      <c r="J166" s="32" t="n">
        <v>10.0</v>
      </c>
      <c r="K166" s="33" t="n">
        <f>384.3</f>
        <v>384.3</v>
      </c>
      <c r="L166" s="34" t="s">
        <v>48</v>
      </c>
      <c r="M166" s="33" t="n">
        <f>386.2</f>
        <v>386.2</v>
      </c>
      <c r="N166" s="34" t="s">
        <v>48</v>
      </c>
      <c r="O166" s="33" t="n">
        <f>341.8</f>
        <v>341.8</v>
      </c>
      <c r="P166" s="34" t="s">
        <v>90</v>
      </c>
      <c r="Q166" s="33" t="n">
        <f>353.8</f>
        <v>353.8</v>
      </c>
      <c r="R166" s="34" t="s">
        <v>51</v>
      </c>
      <c r="S166" s="35" t="n">
        <f>362.43</f>
        <v>362.43</v>
      </c>
      <c r="T166" s="32" t="n">
        <f>22821600</f>
        <v>2.28216E7</v>
      </c>
      <c r="U166" s="32" t="n">
        <f>6008720</f>
        <v>6008720.0</v>
      </c>
      <c r="V166" s="32" t="n">
        <f>8290235003</f>
        <v>8.290235003E9</v>
      </c>
      <c r="W166" s="32" t="n">
        <f>2217602558</f>
        <v>2.217602558E9</v>
      </c>
      <c r="X166" s="36" t="n">
        <f>21</f>
        <v>21.0</v>
      </c>
    </row>
    <row r="167">
      <c r="A167" s="27" t="s">
        <v>42</v>
      </c>
      <c r="B167" s="27" t="s">
        <v>547</v>
      </c>
      <c r="C167" s="27" t="s">
        <v>548</v>
      </c>
      <c r="D167" s="27" t="s">
        <v>549</v>
      </c>
      <c r="E167" s="28" t="s">
        <v>46</v>
      </c>
      <c r="F167" s="29" t="s">
        <v>46</v>
      </c>
      <c r="G167" s="30" t="s">
        <v>46</v>
      </c>
      <c r="H167" s="31"/>
      <c r="I167" s="31" t="s">
        <v>47</v>
      </c>
      <c r="J167" s="32" t="n">
        <v>10.0</v>
      </c>
      <c r="K167" s="33" t="n">
        <f>509.6</f>
        <v>509.6</v>
      </c>
      <c r="L167" s="34" t="s">
        <v>48</v>
      </c>
      <c r="M167" s="33" t="n">
        <f>542.9</f>
        <v>542.9</v>
      </c>
      <c r="N167" s="34" t="s">
        <v>89</v>
      </c>
      <c r="O167" s="33" t="n">
        <f>482.3</f>
        <v>482.3</v>
      </c>
      <c r="P167" s="34" t="s">
        <v>50</v>
      </c>
      <c r="Q167" s="33" t="n">
        <f>500.9</f>
        <v>500.9</v>
      </c>
      <c r="R167" s="34" t="s">
        <v>51</v>
      </c>
      <c r="S167" s="35" t="n">
        <f>497.57</f>
        <v>497.57</v>
      </c>
      <c r="T167" s="32" t="n">
        <f>3083790</f>
        <v>3083790.0</v>
      </c>
      <c r="U167" s="32" t="n">
        <f>50070</f>
        <v>50070.0</v>
      </c>
      <c r="V167" s="32" t="n">
        <f>1546860734</f>
        <v>1.546860734E9</v>
      </c>
      <c r="W167" s="32" t="n">
        <f>24512354</f>
        <v>2.4512354E7</v>
      </c>
      <c r="X167" s="36" t="n">
        <f>21</f>
        <v>21.0</v>
      </c>
    </row>
    <row r="168">
      <c r="A168" s="27" t="s">
        <v>42</v>
      </c>
      <c r="B168" s="27" t="s">
        <v>550</v>
      </c>
      <c r="C168" s="27" t="s">
        <v>551</v>
      </c>
      <c r="D168" s="27" t="s">
        <v>552</v>
      </c>
      <c r="E168" s="28" t="s">
        <v>46</v>
      </c>
      <c r="F168" s="29" t="s">
        <v>46</v>
      </c>
      <c r="G168" s="30" t="s">
        <v>46</v>
      </c>
      <c r="H168" s="31"/>
      <c r="I168" s="31" t="s">
        <v>553</v>
      </c>
      <c r="J168" s="32" t="n">
        <v>1.0</v>
      </c>
      <c r="K168" s="33" t="n">
        <f>4440</f>
        <v>4440.0</v>
      </c>
      <c r="L168" s="34" t="s">
        <v>48</v>
      </c>
      <c r="M168" s="33" t="n">
        <f>4440</f>
        <v>4440.0</v>
      </c>
      <c r="N168" s="34" t="s">
        <v>48</v>
      </c>
      <c r="O168" s="33" t="n">
        <f>3820</f>
        <v>3820.0</v>
      </c>
      <c r="P168" s="34" t="s">
        <v>61</v>
      </c>
      <c r="Q168" s="33" t="n">
        <f>4135</f>
        <v>4135.0</v>
      </c>
      <c r="R168" s="34" t="s">
        <v>51</v>
      </c>
      <c r="S168" s="35" t="n">
        <f>4033.33</f>
        <v>4033.33</v>
      </c>
      <c r="T168" s="32" t="n">
        <f>84683</f>
        <v>84683.0</v>
      </c>
      <c r="U168" s="32" t="str">
        <f>"－"</f>
        <v>－</v>
      </c>
      <c r="V168" s="32" t="n">
        <f>341646675</f>
        <v>3.41646675E8</v>
      </c>
      <c r="W168" s="32" t="str">
        <f>"－"</f>
        <v>－</v>
      </c>
      <c r="X168" s="36" t="n">
        <f>21</f>
        <v>21.0</v>
      </c>
    </row>
    <row r="169">
      <c r="A169" s="27" t="s">
        <v>42</v>
      </c>
      <c r="B169" s="27" t="s">
        <v>554</v>
      </c>
      <c r="C169" s="27" t="s">
        <v>555</v>
      </c>
      <c r="D169" s="27" t="s">
        <v>556</v>
      </c>
      <c r="E169" s="28" t="s">
        <v>46</v>
      </c>
      <c r="F169" s="29" t="s">
        <v>46</v>
      </c>
      <c r="G169" s="30" t="s">
        <v>46</v>
      </c>
      <c r="H169" s="31"/>
      <c r="I169" s="31" t="s">
        <v>553</v>
      </c>
      <c r="J169" s="32" t="n">
        <v>1.0</v>
      </c>
      <c r="K169" s="33" t="n">
        <f>9442</f>
        <v>9442.0</v>
      </c>
      <c r="L169" s="34" t="s">
        <v>48</v>
      </c>
      <c r="M169" s="33" t="n">
        <f>9931</f>
        <v>9931.0</v>
      </c>
      <c r="N169" s="34" t="s">
        <v>231</v>
      </c>
      <c r="O169" s="33" t="n">
        <f>9020</f>
        <v>9020.0</v>
      </c>
      <c r="P169" s="34" t="s">
        <v>51</v>
      </c>
      <c r="Q169" s="33" t="n">
        <f>9082</f>
        <v>9082.0</v>
      </c>
      <c r="R169" s="34" t="s">
        <v>51</v>
      </c>
      <c r="S169" s="35" t="n">
        <f>9528.19</f>
        <v>9528.19</v>
      </c>
      <c r="T169" s="32" t="n">
        <f>12370</f>
        <v>12370.0</v>
      </c>
      <c r="U169" s="32" t="str">
        <f>"－"</f>
        <v>－</v>
      </c>
      <c r="V169" s="32" t="n">
        <f>117591218</f>
        <v>1.17591218E8</v>
      </c>
      <c r="W169" s="32" t="str">
        <f>"－"</f>
        <v>－</v>
      </c>
      <c r="X169" s="36" t="n">
        <f>21</f>
        <v>21.0</v>
      </c>
    </row>
    <row r="170">
      <c r="A170" s="27" t="s">
        <v>42</v>
      </c>
      <c r="B170" s="27" t="s">
        <v>557</v>
      </c>
      <c r="C170" s="27" t="s">
        <v>558</v>
      </c>
      <c r="D170" s="27" t="s">
        <v>559</v>
      </c>
      <c r="E170" s="28" t="s">
        <v>46</v>
      </c>
      <c r="F170" s="29" t="s">
        <v>46</v>
      </c>
      <c r="G170" s="30" t="s">
        <v>46</v>
      </c>
      <c r="H170" s="31"/>
      <c r="I170" s="31" t="s">
        <v>553</v>
      </c>
      <c r="J170" s="32" t="n">
        <v>1.0</v>
      </c>
      <c r="K170" s="33" t="n">
        <f>12240</f>
        <v>12240.0</v>
      </c>
      <c r="L170" s="34" t="s">
        <v>48</v>
      </c>
      <c r="M170" s="33" t="n">
        <f>13845</f>
        <v>13845.0</v>
      </c>
      <c r="N170" s="34" t="s">
        <v>51</v>
      </c>
      <c r="O170" s="33" t="n">
        <f>11990</f>
        <v>11990.0</v>
      </c>
      <c r="P170" s="34" t="s">
        <v>203</v>
      </c>
      <c r="Q170" s="33" t="n">
        <f>13155</f>
        <v>13155.0</v>
      </c>
      <c r="R170" s="34" t="s">
        <v>51</v>
      </c>
      <c r="S170" s="35" t="n">
        <f>12513.61</f>
        <v>12513.61</v>
      </c>
      <c r="T170" s="32" t="n">
        <f>794</f>
        <v>794.0</v>
      </c>
      <c r="U170" s="32" t="str">
        <f>"－"</f>
        <v>－</v>
      </c>
      <c r="V170" s="32" t="n">
        <f>9930100</f>
        <v>9930100.0</v>
      </c>
      <c r="W170" s="32" t="str">
        <f>"－"</f>
        <v>－</v>
      </c>
      <c r="X170" s="36" t="n">
        <f>18</f>
        <v>18.0</v>
      </c>
    </row>
    <row r="171">
      <c r="A171" s="27" t="s">
        <v>42</v>
      </c>
      <c r="B171" s="27" t="s">
        <v>560</v>
      </c>
      <c r="C171" s="27" t="s">
        <v>561</v>
      </c>
      <c r="D171" s="27" t="s">
        <v>562</v>
      </c>
      <c r="E171" s="28" t="s">
        <v>46</v>
      </c>
      <c r="F171" s="29" t="s">
        <v>46</v>
      </c>
      <c r="G171" s="30" t="s">
        <v>46</v>
      </c>
      <c r="H171" s="31"/>
      <c r="I171" s="31" t="s">
        <v>553</v>
      </c>
      <c r="J171" s="32" t="n">
        <v>1.0</v>
      </c>
      <c r="K171" s="33" t="n">
        <f>8357</f>
        <v>8357.0</v>
      </c>
      <c r="L171" s="34" t="s">
        <v>48</v>
      </c>
      <c r="M171" s="33" t="n">
        <f>8440</f>
        <v>8440.0</v>
      </c>
      <c r="N171" s="34" t="s">
        <v>48</v>
      </c>
      <c r="O171" s="33" t="n">
        <f>7450</f>
        <v>7450.0</v>
      </c>
      <c r="P171" s="34" t="s">
        <v>51</v>
      </c>
      <c r="Q171" s="33" t="n">
        <f>7570</f>
        <v>7570.0</v>
      </c>
      <c r="R171" s="34" t="s">
        <v>51</v>
      </c>
      <c r="S171" s="35" t="n">
        <f>7995.67</f>
        <v>7995.67</v>
      </c>
      <c r="T171" s="32" t="n">
        <f>9970</f>
        <v>9970.0</v>
      </c>
      <c r="U171" s="32" t="str">
        <f>"－"</f>
        <v>－</v>
      </c>
      <c r="V171" s="32" t="n">
        <f>78213478</f>
        <v>7.8213478E7</v>
      </c>
      <c r="W171" s="32" t="str">
        <f>"－"</f>
        <v>－</v>
      </c>
      <c r="X171" s="36" t="n">
        <f>21</f>
        <v>21.0</v>
      </c>
    </row>
    <row r="172">
      <c r="A172" s="27" t="s">
        <v>42</v>
      </c>
      <c r="B172" s="27" t="s">
        <v>563</v>
      </c>
      <c r="C172" s="27" t="s">
        <v>564</v>
      </c>
      <c r="D172" s="27" t="s">
        <v>565</v>
      </c>
      <c r="E172" s="28" t="s">
        <v>46</v>
      </c>
      <c r="F172" s="29" t="s">
        <v>46</v>
      </c>
      <c r="G172" s="30" t="s">
        <v>46</v>
      </c>
      <c r="H172" s="31"/>
      <c r="I172" s="31" t="s">
        <v>553</v>
      </c>
      <c r="J172" s="32" t="n">
        <v>1.0</v>
      </c>
      <c r="K172" s="33" t="n">
        <f>39230</f>
        <v>39230.0</v>
      </c>
      <c r="L172" s="34" t="s">
        <v>48</v>
      </c>
      <c r="M172" s="33" t="n">
        <f>41190</f>
        <v>41190.0</v>
      </c>
      <c r="N172" s="34" t="s">
        <v>89</v>
      </c>
      <c r="O172" s="33" t="n">
        <f>35340</f>
        <v>35340.0</v>
      </c>
      <c r="P172" s="34" t="s">
        <v>50</v>
      </c>
      <c r="Q172" s="33" t="n">
        <f>36770</f>
        <v>36770.0</v>
      </c>
      <c r="R172" s="34" t="s">
        <v>51</v>
      </c>
      <c r="S172" s="35" t="n">
        <f>37211.9</f>
        <v>37211.9</v>
      </c>
      <c r="T172" s="32" t="n">
        <f>53793</f>
        <v>53793.0</v>
      </c>
      <c r="U172" s="32" t="n">
        <f>27</f>
        <v>27.0</v>
      </c>
      <c r="V172" s="32" t="n">
        <f>2010054720</f>
        <v>2.01005472E9</v>
      </c>
      <c r="W172" s="32" t="n">
        <f>985330</f>
        <v>985330.0</v>
      </c>
      <c r="X172" s="36" t="n">
        <f>21</f>
        <v>21.0</v>
      </c>
    </row>
    <row r="173">
      <c r="A173" s="27" t="s">
        <v>42</v>
      </c>
      <c r="B173" s="27" t="s">
        <v>566</v>
      </c>
      <c r="C173" s="27" t="s">
        <v>567</v>
      </c>
      <c r="D173" s="27" t="s">
        <v>568</v>
      </c>
      <c r="E173" s="28" t="s">
        <v>46</v>
      </c>
      <c r="F173" s="29" t="s">
        <v>46</v>
      </c>
      <c r="G173" s="30" t="s">
        <v>46</v>
      </c>
      <c r="H173" s="31"/>
      <c r="I173" s="31" t="s">
        <v>553</v>
      </c>
      <c r="J173" s="32" t="n">
        <v>1.0</v>
      </c>
      <c r="K173" s="33" t="n">
        <f>3490</f>
        <v>3490.0</v>
      </c>
      <c r="L173" s="34" t="s">
        <v>48</v>
      </c>
      <c r="M173" s="33" t="n">
        <f>3620</f>
        <v>3620.0</v>
      </c>
      <c r="N173" s="34" t="s">
        <v>90</v>
      </c>
      <c r="O173" s="33" t="n">
        <f>3405</f>
        <v>3405.0</v>
      </c>
      <c r="P173" s="34" t="s">
        <v>89</v>
      </c>
      <c r="Q173" s="33" t="n">
        <f>3530</f>
        <v>3530.0</v>
      </c>
      <c r="R173" s="34" t="s">
        <v>51</v>
      </c>
      <c r="S173" s="35" t="n">
        <f>3534.52</f>
        <v>3534.52</v>
      </c>
      <c r="T173" s="32" t="n">
        <f>15011</f>
        <v>15011.0</v>
      </c>
      <c r="U173" s="32" t="str">
        <f>"－"</f>
        <v>－</v>
      </c>
      <c r="V173" s="32" t="n">
        <f>52771225</f>
        <v>5.2771225E7</v>
      </c>
      <c r="W173" s="32" t="str">
        <f>"－"</f>
        <v>－</v>
      </c>
      <c r="X173" s="36" t="n">
        <f>21</f>
        <v>21.0</v>
      </c>
    </row>
    <row r="174">
      <c r="A174" s="27" t="s">
        <v>42</v>
      </c>
      <c r="B174" s="27" t="s">
        <v>569</v>
      </c>
      <c r="C174" s="27" t="s">
        <v>570</v>
      </c>
      <c r="D174" s="27" t="s">
        <v>571</v>
      </c>
      <c r="E174" s="28" t="s">
        <v>46</v>
      </c>
      <c r="F174" s="29" t="s">
        <v>46</v>
      </c>
      <c r="G174" s="30" t="s">
        <v>46</v>
      </c>
      <c r="H174" s="31"/>
      <c r="I174" s="31" t="s">
        <v>553</v>
      </c>
      <c r="J174" s="32" t="n">
        <v>1.0</v>
      </c>
      <c r="K174" s="33" t="n">
        <f>1847</f>
        <v>1847.0</v>
      </c>
      <c r="L174" s="34" t="s">
        <v>48</v>
      </c>
      <c r="M174" s="33" t="n">
        <f>1860</f>
        <v>1860.0</v>
      </c>
      <c r="N174" s="34" t="s">
        <v>48</v>
      </c>
      <c r="O174" s="33" t="n">
        <f>1473</f>
        <v>1473.0</v>
      </c>
      <c r="P174" s="34" t="s">
        <v>90</v>
      </c>
      <c r="Q174" s="33" t="n">
        <f>1562</f>
        <v>1562.0</v>
      </c>
      <c r="R174" s="34" t="s">
        <v>51</v>
      </c>
      <c r="S174" s="35" t="n">
        <f>1637.1</f>
        <v>1637.1</v>
      </c>
      <c r="T174" s="32" t="n">
        <f>17693806</f>
        <v>1.7693806E7</v>
      </c>
      <c r="U174" s="32" t="n">
        <f>830158</f>
        <v>830158.0</v>
      </c>
      <c r="V174" s="32" t="n">
        <f>29009525085</f>
        <v>2.9009525085E10</v>
      </c>
      <c r="W174" s="32" t="n">
        <f>1464388134</f>
        <v>1.464388134E9</v>
      </c>
      <c r="X174" s="36" t="n">
        <f>21</f>
        <v>21.0</v>
      </c>
    </row>
    <row r="175">
      <c r="A175" s="27" t="s">
        <v>42</v>
      </c>
      <c r="B175" s="27" t="s">
        <v>572</v>
      </c>
      <c r="C175" s="27" t="s">
        <v>573</v>
      </c>
      <c r="D175" s="27" t="s">
        <v>574</v>
      </c>
      <c r="E175" s="28" t="s">
        <v>46</v>
      </c>
      <c r="F175" s="29" t="s">
        <v>46</v>
      </c>
      <c r="G175" s="30" t="s">
        <v>46</v>
      </c>
      <c r="H175" s="31"/>
      <c r="I175" s="31" t="s">
        <v>553</v>
      </c>
      <c r="J175" s="32" t="n">
        <v>1.0</v>
      </c>
      <c r="K175" s="33" t="n">
        <f>1083</f>
        <v>1083.0</v>
      </c>
      <c r="L175" s="34" t="s">
        <v>48</v>
      </c>
      <c r="M175" s="33" t="n">
        <f>1202</f>
        <v>1202.0</v>
      </c>
      <c r="N175" s="34" t="s">
        <v>90</v>
      </c>
      <c r="O175" s="33" t="n">
        <f>1080</f>
        <v>1080.0</v>
      </c>
      <c r="P175" s="34" t="s">
        <v>48</v>
      </c>
      <c r="Q175" s="33" t="n">
        <f>1156</f>
        <v>1156.0</v>
      </c>
      <c r="R175" s="34" t="s">
        <v>51</v>
      </c>
      <c r="S175" s="35" t="n">
        <f>1139.19</f>
        <v>1139.19</v>
      </c>
      <c r="T175" s="32" t="n">
        <f>2235512</f>
        <v>2235512.0</v>
      </c>
      <c r="U175" s="32" t="n">
        <f>20001</f>
        <v>20001.0</v>
      </c>
      <c r="V175" s="32" t="n">
        <f>2576519360</f>
        <v>2.57651936E9</v>
      </c>
      <c r="W175" s="32" t="n">
        <f>23201138</f>
        <v>2.3201138E7</v>
      </c>
      <c r="X175" s="36" t="n">
        <f>21</f>
        <v>21.0</v>
      </c>
    </row>
    <row r="176">
      <c r="A176" s="27" t="s">
        <v>42</v>
      </c>
      <c r="B176" s="27" t="s">
        <v>575</v>
      </c>
      <c r="C176" s="27" t="s">
        <v>576</v>
      </c>
      <c r="D176" s="27" t="s">
        <v>577</v>
      </c>
      <c r="E176" s="28" t="s">
        <v>46</v>
      </c>
      <c r="F176" s="29" t="s">
        <v>46</v>
      </c>
      <c r="G176" s="30" t="s">
        <v>46</v>
      </c>
      <c r="H176" s="31"/>
      <c r="I176" s="31" t="s">
        <v>553</v>
      </c>
      <c r="J176" s="32" t="n">
        <v>1.0</v>
      </c>
      <c r="K176" s="33" t="n">
        <f>25500</f>
        <v>25500.0</v>
      </c>
      <c r="L176" s="34" t="s">
        <v>48</v>
      </c>
      <c r="M176" s="33" t="n">
        <f>27750</f>
        <v>27750.0</v>
      </c>
      <c r="N176" s="34" t="s">
        <v>51</v>
      </c>
      <c r="O176" s="33" t="n">
        <f>25495</f>
        <v>25495.0</v>
      </c>
      <c r="P176" s="34" t="s">
        <v>48</v>
      </c>
      <c r="Q176" s="33" t="n">
        <f>27730</f>
        <v>27730.0</v>
      </c>
      <c r="R176" s="34" t="s">
        <v>51</v>
      </c>
      <c r="S176" s="35" t="n">
        <f>26712.62</f>
        <v>26712.62</v>
      </c>
      <c r="T176" s="32" t="n">
        <f>93028</f>
        <v>93028.0</v>
      </c>
      <c r="U176" s="32" t="n">
        <f>53</f>
        <v>53.0</v>
      </c>
      <c r="V176" s="32" t="n">
        <f>2498908795</f>
        <v>2.498908795E9</v>
      </c>
      <c r="W176" s="32" t="n">
        <f>1466155</f>
        <v>1466155.0</v>
      </c>
      <c r="X176" s="36" t="n">
        <f>21</f>
        <v>21.0</v>
      </c>
    </row>
    <row r="177">
      <c r="A177" s="27" t="s">
        <v>42</v>
      </c>
      <c r="B177" s="27" t="s">
        <v>578</v>
      </c>
      <c r="C177" s="27" t="s">
        <v>579</v>
      </c>
      <c r="D177" s="27" t="s">
        <v>580</v>
      </c>
      <c r="E177" s="28" t="s">
        <v>46</v>
      </c>
      <c r="F177" s="29" t="s">
        <v>46</v>
      </c>
      <c r="G177" s="30" t="s">
        <v>46</v>
      </c>
      <c r="H177" s="31"/>
      <c r="I177" s="31" t="s">
        <v>553</v>
      </c>
      <c r="J177" s="32" t="n">
        <v>1.0</v>
      </c>
      <c r="K177" s="33" t="n">
        <f>2764</f>
        <v>2764.0</v>
      </c>
      <c r="L177" s="34" t="s">
        <v>48</v>
      </c>
      <c r="M177" s="33" t="n">
        <f>2765</f>
        <v>2765.0</v>
      </c>
      <c r="N177" s="34" t="s">
        <v>48</v>
      </c>
      <c r="O177" s="33" t="n">
        <f>2652</f>
        <v>2652.0</v>
      </c>
      <c r="P177" s="34" t="s">
        <v>51</v>
      </c>
      <c r="Q177" s="33" t="n">
        <f>2656</f>
        <v>2656.0</v>
      </c>
      <c r="R177" s="34" t="s">
        <v>51</v>
      </c>
      <c r="S177" s="35" t="n">
        <f>2706.05</f>
        <v>2706.05</v>
      </c>
      <c r="T177" s="32" t="n">
        <f>452897</f>
        <v>452897.0</v>
      </c>
      <c r="U177" s="32" t="n">
        <f>347</f>
        <v>347.0</v>
      </c>
      <c r="V177" s="32" t="n">
        <f>1227028922</f>
        <v>1.227028922E9</v>
      </c>
      <c r="W177" s="32" t="n">
        <f>953843</f>
        <v>953843.0</v>
      </c>
      <c r="X177" s="36" t="n">
        <f>21</f>
        <v>21.0</v>
      </c>
    </row>
    <row r="178">
      <c r="A178" s="27" t="s">
        <v>42</v>
      </c>
      <c r="B178" s="27" t="s">
        <v>581</v>
      </c>
      <c r="C178" s="27" t="s">
        <v>582</v>
      </c>
      <c r="D178" s="27" t="s">
        <v>583</v>
      </c>
      <c r="E178" s="28" t="s">
        <v>46</v>
      </c>
      <c r="F178" s="29" t="s">
        <v>46</v>
      </c>
      <c r="G178" s="30" t="s">
        <v>46</v>
      </c>
      <c r="H178" s="31"/>
      <c r="I178" s="31" t="s">
        <v>553</v>
      </c>
      <c r="J178" s="32" t="n">
        <v>1.0</v>
      </c>
      <c r="K178" s="33" t="n">
        <f>7565</f>
        <v>7565.0</v>
      </c>
      <c r="L178" s="34" t="s">
        <v>48</v>
      </c>
      <c r="M178" s="33" t="n">
        <f>7600</f>
        <v>7600.0</v>
      </c>
      <c r="N178" s="34" t="s">
        <v>89</v>
      </c>
      <c r="O178" s="33" t="n">
        <f>6995</f>
        <v>6995.0</v>
      </c>
      <c r="P178" s="34" t="s">
        <v>90</v>
      </c>
      <c r="Q178" s="33" t="n">
        <f>7501</f>
        <v>7501.0</v>
      </c>
      <c r="R178" s="34" t="s">
        <v>51</v>
      </c>
      <c r="S178" s="35" t="n">
        <f>7249.81</f>
        <v>7249.81</v>
      </c>
      <c r="T178" s="32" t="n">
        <f>112790</f>
        <v>112790.0</v>
      </c>
      <c r="U178" s="32" t="n">
        <f>2</f>
        <v>2.0</v>
      </c>
      <c r="V178" s="32" t="n">
        <f>815713502</f>
        <v>8.15713502E8</v>
      </c>
      <c r="W178" s="32" t="n">
        <f>14100</f>
        <v>14100.0</v>
      </c>
      <c r="X178" s="36" t="n">
        <f>21</f>
        <v>21.0</v>
      </c>
    </row>
    <row r="179">
      <c r="A179" s="27" t="s">
        <v>42</v>
      </c>
      <c r="B179" s="27" t="s">
        <v>584</v>
      </c>
      <c r="C179" s="27" t="s">
        <v>585</v>
      </c>
      <c r="D179" s="27" t="s">
        <v>586</v>
      </c>
      <c r="E179" s="28" t="s">
        <v>46</v>
      </c>
      <c r="F179" s="29" t="s">
        <v>46</v>
      </c>
      <c r="G179" s="30" t="s">
        <v>46</v>
      </c>
      <c r="H179" s="31"/>
      <c r="I179" s="31" t="s">
        <v>553</v>
      </c>
      <c r="J179" s="32" t="n">
        <v>1.0</v>
      </c>
      <c r="K179" s="33" t="n">
        <f>17525</f>
        <v>17525.0</v>
      </c>
      <c r="L179" s="34" t="s">
        <v>48</v>
      </c>
      <c r="M179" s="33" t="n">
        <f>17685</f>
        <v>17685.0</v>
      </c>
      <c r="N179" s="34" t="s">
        <v>89</v>
      </c>
      <c r="O179" s="33" t="n">
        <f>16500</f>
        <v>16500.0</v>
      </c>
      <c r="P179" s="34" t="s">
        <v>90</v>
      </c>
      <c r="Q179" s="33" t="n">
        <f>17060</f>
        <v>17060.0</v>
      </c>
      <c r="R179" s="34" t="s">
        <v>51</v>
      </c>
      <c r="S179" s="35" t="n">
        <f>17026.75</f>
        <v>17026.75</v>
      </c>
      <c r="T179" s="32" t="n">
        <f>651</f>
        <v>651.0</v>
      </c>
      <c r="U179" s="32" t="str">
        <f>"－"</f>
        <v>－</v>
      </c>
      <c r="V179" s="32" t="n">
        <f>11084925</f>
        <v>1.1084925E7</v>
      </c>
      <c r="W179" s="32" t="str">
        <f>"－"</f>
        <v>－</v>
      </c>
      <c r="X179" s="36" t="n">
        <f>20</f>
        <v>20.0</v>
      </c>
    </row>
    <row r="180">
      <c r="A180" s="27" t="s">
        <v>42</v>
      </c>
      <c r="B180" s="27" t="s">
        <v>587</v>
      </c>
      <c r="C180" s="27" t="s">
        <v>588</v>
      </c>
      <c r="D180" s="27" t="s">
        <v>589</v>
      </c>
      <c r="E180" s="28" t="s">
        <v>46</v>
      </c>
      <c r="F180" s="29" t="s">
        <v>46</v>
      </c>
      <c r="G180" s="30" t="s">
        <v>46</v>
      </c>
      <c r="H180" s="31"/>
      <c r="I180" s="31" t="s">
        <v>553</v>
      </c>
      <c r="J180" s="32" t="n">
        <v>1.0</v>
      </c>
      <c r="K180" s="33" t="n">
        <f>25335</f>
        <v>25335.0</v>
      </c>
      <c r="L180" s="34" t="s">
        <v>48</v>
      </c>
      <c r="M180" s="33" t="n">
        <f>25900</f>
        <v>25900.0</v>
      </c>
      <c r="N180" s="34" t="s">
        <v>103</v>
      </c>
      <c r="O180" s="33" t="n">
        <f>24650</f>
        <v>24650.0</v>
      </c>
      <c r="P180" s="34" t="s">
        <v>73</v>
      </c>
      <c r="Q180" s="33" t="n">
        <f>25700</f>
        <v>25700.0</v>
      </c>
      <c r="R180" s="34" t="s">
        <v>51</v>
      </c>
      <c r="S180" s="35" t="n">
        <f>25445</f>
        <v>25445.0</v>
      </c>
      <c r="T180" s="32" t="n">
        <f>18729</f>
        <v>18729.0</v>
      </c>
      <c r="U180" s="32" t="str">
        <f>"－"</f>
        <v>－</v>
      </c>
      <c r="V180" s="32" t="n">
        <f>476617265</f>
        <v>4.76617265E8</v>
      </c>
      <c r="W180" s="32" t="str">
        <f>"－"</f>
        <v>－</v>
      </c>
      <c r="X180" s="36" t="n">
        <f>21</f>
        <v>21.0</v>
      </c>
    </row>
    <row r="181">
      <c r="A181" s="27" t="s">
        <v>42</v>
      </c>
      <c r="B181" s="27" t="s">
        <v>590</v>
      </c>
      <c r="C181" s="27" t="s">
        <v>591</v>
      </c>
      <c r="D181" s="27" t="s">
        <v>592</v>
      </c>
      <c r="E181" s="28" t="s">
        <v>46</v>
      </c>
      <c r="F181" s="29" t="s">
        <v>46</v>
      </c>
      <c r="G181" s="30" t="s">
        <v>46</v>
      </c>
      <c r="H181" s="31"/>
      <c r="I181" s="31" t="s">
        <v>553</v>
      </c>
      <c r="J181" s="32" t="n">
        <v>1.0</v>
      </c>
      <c r="K181" s="33" t="n">
        <f>15865</f>
        <v>15865.0</v>
      </c>
      <c r="L181" s="34" t="s">
        <v>48</v>
      </c>
      <c r="M181" s="33" t="n">
        <f>16500</f>
        <v>16500.0</v>
      </c>
      <c r="N181" s="34" t="s">
        <v>116</v>
      </c>
      <c r="O181" s="33" t="n">
        <f>15470</f>
        <v>15470.0</v>
      </c>
      <c r="P181" s="34" t="s">
        <v>73</v>
      </c>
      <c r="Q181" s="33" t="n">
        <f>16450</f>
        <v>16450.0</v>
      </c>
      <c r="R181" s="34" t="s">
        <v>51</v>
      </c>
      <c r="S181" s="35" t="n">
        <f>16100.77</f>
        <v>16100.77</v>
      </c>
      <c r="T181" s="32" t="n">
        <f>338</f>
        <v>338.0</v>
      </c>
      <c r="U181" s="32" t="str">
        <f>"－"</f>
        <v>－</v>
      </c>
      <c r="V181" s="32" t="n">
        <f>5407340</f>
        <v>5407340.0</v>
      </c>
      <c r="W181" s="32" t="str">
        <f>"－"</f>
        <v>－</v>
      </c>
      <c r="X181" s="36" t="n">
        <f>13</f>
        <v>13.0</v>
      </c>
    </row>
    <row r="182">
      <c r="A182" s="27" t="s">
        <v>42</v>
      </c>
      <c r="B182" s="27" t="s">
        <v>593</v>
      </c>
      <c r="C182" s="27" t="s">
        <v>594</v>
      </c>
      <c r="D182" s="27" t="s">
        <v>595</v>
      </c>
      <c r="E182" s="28" t="s">
        <v>46</v>
      </c>
      <c r="F182" s="29" t="s">
        <v>46</v>
      </c>
      <c r="G182" s="30" t="s">
        <v>46</v>
      </c>
      <c r="H182" s="31"/>
      <c r="I182" s="31" t="s">
        <v>553</v>
      </c>
      <c r="J182" s="32" t="n">
        <v>1.0</v>
      </c>
      <c r="K182" s="33" t="n">
        <f>23400</f>
        <v>23400.0</v>
      </c>
      <c r="L182" s="34" t="s">
        <v>48</v>
      </c>
      <c r="M182" s="33" t="n">
        <f>28705</f>
        <v>28705.0</v>
      </c>
      <c r="N182" s="34" t="s">
        <v>89</v>
      </c>
      <c r="O182" s="33" t="n">
        <f>23390</f>
        <v>23390.0</v>
      </c>
      <c r="P182" s="34" t="s">
        <v>48</v>
      </c>
      <c r="Q182" s="33" t="n">
        <f>26185</f>
        <v>26185.0</v>
      </c>
      <c r="R182" s="34" t="s">
        <v>51</v>
      </c>
      <c r="S182" s="35" t="n">
        <f>25577.14</f>
        <v>25577.14</v>
      </c>
      <c r="T182" s="32" t="n">
        <f>122604</f>
        <v>122604.0</v>
      </c>
      <c r="U182" s="32" t="n">
        <f>41</f>
        <v>41.0</v>
      </c>
      <c r="V182" s="32" t="n">
        <f>3190921025</f>
        <v>3.190921025E9</v>
      </c>
      <c r="W182" s="32" t="n">
        <f>1066320</f>
        <v>1066320.0</v>
      </c>
      <c r="X182" s="36" t="n">
        <f>21</f>
        <v>21.0</v>
      </c>
    </row>
    <row r="183">
      <c r="A183" s="27" t="s">
        <v>42</v>
      </c>
      <c r="B183" s="27" t="s">
        <v>596</v>
      </c>
      <c r="C183" s="27" t="s">
        <v>597</v>
      </c>
      <c r="D183" s="27" t="s">
        <v>598</v>
      </c>
      <c r="E183" s="28" t="s">
        <v>46</v>
      </c>
      <c r="F183" s="29" t="s">
        <v>46</v>
      </c>
      <c r="G183" s="30" t="s">
        <v>46</v>
      </c>
      <c r="H183" s="31"/>
      <c r="I183" s="31" t="s">
        <v>553</v>
      </c>
      <c r="J183" s="32" t="n">
        <v>1.0</v>
      </c>
      <c r="K183" s="33" t="n">
        <f>4135</f>
        <v>4135.0</v>
      </c>
      <c r="L183" s="34" t="s">
        <v>48</v>
      </c>
      <c r="M183" s="33" t="n">
        <f>4185</f>
        <v>4185.0</v>
      </c>
      <c r="N183" s="34" t="s">
        <v>89</v>
      </c>
      <c r="O183" s="33" t="n">
        <f>3670</f>
        <v>3670.0</v>
      </c>
      <c r="P183" s="34" t="s">
        <v>177</v>
      </c>
      <c r="Q183" s="33" t="n">
        <f>3700</f>
        <v>3700.0</v>
      </c>
      <c r="R183" s="34" t="s">
        <v>51</v>
      </c>
      <c r="S183" s="35" t="n">
        <f>3883.1</f>
        <v>3883.1</v>
      </c>
      <c r="T183" s="32" t="n">
        <f>7057</f>
        <v>7057.0</v>
      </c>
      <c r="U183" s="32" t="str">
        <f>"－"</f>
        <v>－</v>
      </c>
      <c r="V183" s="32" t="n">
        <f>27610120</f>
        <v>2.761012E7</v>
      </c>
      <c r="W183" s="32" t="str">
        <f>"－"</f>
        <v>－</v>
      </c>
      <c r="X183" s="36" t="n">
        <f>21</f>
        <v>21.0</v>
      </c>
    </row>
    <row r="184">
      <c r="A184" s="27" t="s">
        <v>42</v>
      </c>
      <c r="B184" s="27" t="s">
        <v>599</v>
      </c>
      <c r="C184" s="27" t="s">
        <v>600</v>
      </c>
      <c r="D184" s="27" t="s">
        <v>601</v>
      </c>
      <c r="E184" s="28" t="s">
        <v>46</v>
      </c>
      <c r="F184" s="29" t="s">
        <v>46</v>
      </c>
      <c r="G184" s="30" t="s">
        <v>46</v>
      </c>
      <c r="H184" s="31"/>
      <c r="I184" s="31" t="s">
        <v>553</v>
      </c>
      <c r="J184" s="32" t="n">
        <v>1.0</v>
      </c>
      <c r="K184" s="33" t="n">
        <f>23970</f>
        <v>23970.0</v>
      </c>
      <c r="L184" s="34" t="s">
        <v>48</v>
      </c>
      <c r="M184" s="33" t="n">
        <f>24165</f>
        <v>24165.0</v>
      </c>
      <c r="N184" s="34" t="s">
        <v>89</v>
      </c>
      <c r="O184" s="33" t="n">
        <f>22365</f>
        <v>22365.0</v>
      </c>
      <c r="P184" s="34" t="s">
        <v>157</v>
      </c>
      <c r="Q184" s="33" t="n">
        <f>22745</f>
        <v>22745.0</v>
      </c>
      <c r="R184" s="34" t="s">
        <v>177</v>
      </c>
      <c r="S184" s="35" t="n">
        <f>23175</f>
        <v>23175.0</v>
      </c>
      <c r="T184" s="32" t="n">
        <f>933</f>
        <v>933.0</v>
      </c>
      <c r="U184" s="32" t="n">
        <f>490</f>
        <v>490.0</v>
      </c>
      <c r="V184" s="32" t="n">
        <f>22018475</f>
        <v>2.2018475E7</v>
      </c>
      <c r="W184" s="32" t="n">
        <f>11574780</f>
        <v>1.157478E7</v>
      </c>
      <c r="X184" s="36" t="n">
        <f>14</f>
        <v>14.0</v>
      </c>
    </row>
    <row r="185">
      <c r="A185" s="27" t="s">
        <v>42</v>
      </c>
      <c r="B185" s="27" t="s">
        <v>602</v>
      </c>
      <c r="C185" s="27" t="s">
        <v>603</v>
      </c>
      <c r="D185" s="27" t="s">
        <v>604</v>
      </c>
      <c r="E185" s="28" t="s">
        <v>46</v>
      </c>
      <c r="F185" s="29" t="s">
        <v>46</v>
      </c>
      <c r="G185" s="30" t="s">
        <v>46</v>
      </c>
      <c r="H185" s="31"/>
      <c r="I185" s="31" t="s">
        <v>553</v>
      </c>
      <c r="J185" s="32" t="n">
        <v>1.0</v>
      </c>
      <c r="K185" s="33" t="n">
        <f>16230</f>
        <v>16230.0</v>
      </c>
      <c r="L185" s="34" t="s">
        <v>48</v>
      </c>
      <c r="M185" s="33" t="n">
        <f>16590</f>
        <v>16590.0</v>
      </c>
      <c r="N185" s="34" t="s">
        <v>156</v>
      </c>
      <c r="O185" s="33" t="n">
        <f>16000</f>
        <v>16000.0</v>
      </c>
      <c r="P185" s="34" t="s">
        <v>73</v>
      </c>
      <c r="Q185" s="33" t="n">
        <f>16590</f>
        <v>16590.0</v>
      </c>
      <c r="R185" s="34" t="s">
        <v>156</v>
      </c>
      <c r="S185" s="35" t="n">
        <f>16256.43</f>
        <v>16256.43</v>
      </c>
      <c r="T185" s="32" t="n">
        <f>52</f>
        <v>52.0</v>
      </c>
      <c r="U185" s="32" t="str">
        <f>"－"</f>
        <v>－</v>
      </c>
      <c r="V185" s="32" t="n">
        <f>843615</f>
        <v>843615.0</v>
      </c>
      <c r="W185" s="32" t="str">
        <f>"－"</f>
        <v>－</v>
      </c>
      <c r="X185" s="36" t="n">
        <f>7</f>
        <v>7.0</v>
      </c>
    </row>
    <row r="186">
      <c r="A186" s="27" t="s">
        <v>42</v>
      </c>
      <c r="B186" s="27" t="s">
        <v>605</v>
      </c>
      <c r="C186" s="27" t="s">
        <v>606</v>
      </c>
      <c r="D186" s="27" t="s">
        <v>607</v>
      </c>
      <c r="E186" s="28" t="s">
        <v>46</v>
      </c>
      <c r="F186" s="29" t="s">
        <v>46</v>
      </c>
      <c r="G186" s="30" t="s">
        <v>46</v>
      </c>
      <c r="H186" s="31"/>
      <c r="I186" s="31" t="s">
        <v>553</v>
      </c>
      <c r="J186" s="32" t="n">
        <v>1.0</v>
      </c>
      <c r="K186" s="33" t="n">
        <f>27780</f>
        <v>27780.0</v>
      </c>
      <c r="L186" s="34" t="s">
        <v>49</v>
      </c>
      <c r="M186" s="33" t="n">
        <f>27795</f>
        <v>27795.0</v>
      </c>
      <c r="N186" s="34" t="s">
        <v>49</v>
      </c>
      <c r="O186" s="33" t="n">
        <f>25990</f>
        <v>25990.0</v>
      </c>
      <c r="P186" s="34" t="s">
        <v>176</v>
      </c>
      <c r="Q186" s="33" t="n">
        <f>26415</f>
        <v>26415.0</v>
      </c>
      <c r="R186" s="34" t="s">
        <v>51</v>
      </c>
      <c r="S186" s="35" t="n">
        <f>26574.17</f>
        <v>26574.17</v>
      </c>
      <c r="T186" s="32" t="n">
        <f>89</f>
        <v>89.0</v>
      </c>
      <c r="U186" s="32" t="str">
        <f>"－"</f>
        <v>－</v>
      </c>
      <c r="V186" s="32" t="n">
        <f>2370175</f>
        <v>2370175.0</v>
      </c>
      <c r="W186" s="32" t="str">
        <f>"－"</f>
        <v>－</v>
      </c>
      <c r="X186" s="36" t="n">
        <f>12</f>
        <v>12.0</v>
      </c>
    </row>
    <row r="187">
      <c r="A187" s="27" t="s">
        <v>42</v>
      </c>
      <c r="B187" s="27" t="s">
        <v>608</v>
      </c>
      <c r="C187" s="27" t="s">
        <v>609</v>
      </c>
      <c r="D187" s="27" t="s">
        <v>610</v>
      </c>
      <c r="E187" s="28" t="s">
        <v>46</v>
      </c>
      <c r="F187" s="29" t="s">
        <v>46</v>
      </c>
      <c r="G187" s="30" t="s">
        <v>46</v>
      </c>
      <c r="H187" s="31"/>
      <c r="I187" s="31" t="s">
        <v>553</v>
      </c>
      <c r="J187" s="32" t="n">
        <v>1.0</v>
      </c>
      <c r="K187" s="33" t="n">
        <f>17510</f>
        <v>17510.0</v>
      </c>
      <c r="L187" s="34" t="s">
        <v>103</v>
      </c>
      <c r="M187" s="33" t="n">
        <f>17530</f>
        <v>17530.0</v>
      </c>
      <c r="N187" s="34" t="s">
        <v>51</v>
      </c>
      <c r="O187" s="33" t="n">
        <f>17510</f>
        <v>17510.0</v>
      </c>
      <c r="P187" s="34" t="s">
        <v>103</v>
      </c>
      <c r="Q187" s="33" t="n">
        <f>17530</f>
        <v>17530.0</v>
      </c>
      <c r="R187" s="34" t="s">
        <v>51</v>
      </c>
      <c r="S187" s="35" t="n">
        <f>17525</f>
        <v>17525.0</v>
      </c>
      <c r="T187" s="32" t="n">
        <f>4956</f>
        <v>4956.0</v>
      </c>
      <c r="U187" s="32" t="n">
        <f>4900</f>
        <v>4900.0</v>
      </c>
      <c r="V187" s="32" t="n">
        <f>88052005</f>
        <v>8.8052005E7</v>
      </c>
      <c r="W187" s="32" t="n">
        <f>87070500</f>
        <v>8.70705E7</v>
      </c>
      <c r="X187" s="36" t="n">
        <f>2</f>
        <v>2.0</v>
      </c>
    </row>
    <row r="188">
      <c r="A188" s="27" t="s">
        <v>42</v>
      </c>
      <c r="B188" s="27" t="s">
        <v>611</v>
      </c>
      <c r="C188" s="27" t="s">
        <v>612</v>
      </c>
      <c r="D188" s="27" t="s">
        <v>613</v>
      </c>
      <c r="E188" s="28" t="s">
        <v>46</v>
      </c>
      <c r="F188" s="29" t="s">
        <v>46</v>
      </c>
      <c r="G188" s="30" t="s">
        <v>46</v>
      </c>
      <c r="H188" s="31"/>
      <c r="I188" s="31" t="s">
        <v>553</v>
      </c>
      <c r="J188" s="32" t="n">
        <v>1.0</v>
      </c>
      <c r="K188" s="33" t="n">
        <f>16560</f>
        <v>16560.0</v>
      </c>
      <c r="L188" s="34" t="s">
        <v>48</v>
      </c>
      <c r="M188" s="33" t="n">
        <f>16685</f>
        <v>16685.0</v>
      </c>
      <c r="N188" s="34" t="s">
        <v>156</v>
      </c>
      <c r="O188" s="33" t="n">
        <f>16155</f>
        <v>16155.0</v>
      </c>
      <c r="P188" s="34" t="s">
        <v>50</v>
      </c>
      <c r="Q188" s="33" t="n">
        <f>16685</f>
        <v>16685.0</v>
      </c>
      <c r="R188" s="34" t="s">
        <v>156</v>
      </c>
      <c r="S188" s="35" t="n">
        <f>16462.5</f>
        <v>16462.5</v>
      </c>
      <c r="T188" s="32" t="n">
        <f>455</f>
        <v>455.0</v>
      </c>
      <c r="U188" s="32" t="str">
        <f>"－"</f>
        <v>－</v>
      </c>
      <c r="V188" s="32" t="n">
        <f>7440620</f>
        <v>7440620.0</v>
      </c>
      <c r="W188" s="32" t="str">
        <f>"－"</f>
        <v>－</v>
      </c>
      <c r="X188" s="36" t="n">
        <f>10</f>
        <v>10.0</v>
      </c>
    </row>
    <row r="189">
      <c r="A189" s="27" t="s">
        <v>42</v>
      </c>
      <c r="B189" s="27" t="s">
        <v>614</v>
      </c>
      <c r="C189" s="27" t="s">
        <v>615</v>
      </c>
      <c r="D189" s="27" t="s">
        <v>616</v>
      </c>
      <c r="E189" s="28" t="s">
        <v>46</v>
      </c>
      <c r="F189" s="29" t="s">
        <v>46</v>
      </c>
      <c r="G189" s="30" t="s">
        <v>46</v>
      </c>
      <c r="H189" s="31"/>
      <c r="I189" s="31" t="s">
        <v>553</v>
      </c>
      <c r="J189" s="32" t="n">
        <v>1.0</v>
      </c>
      <c r="K189" s="33" t="n">
        <f>19060</f>
        <v>19060.0</v>
      </c>
      <c r="L189" s="34" t="s">
        <v>48</v>
      </c>
      <c r="M189" s="33" t="n">
        <f>19060</f>
        <v>19060.0</v>
      </c>
      <c r="N189" s="34" t="s">
        <v>48</v>
      </c>
      <c r="O189" s="33" t="n">
        <f>18205</f>
        <v>18205.0</v>
      </c>
      <c r="P189" s="34" t="s">
        <v>157</v>
      </c>
      <c r="Q189" s="33" t="n">
        <f>18665</f>
        <v>18665.0</v>
      </c>
      <c r="R189" s="34" t="s">
        <v>116</v>
      </c>
      <c r="S189" s="35" t="n">
        <f>18537.5</f>
        <v>18537.5</v>
      </c>
      <c r="T189" s="32" t="n">
        <f>32</f>
        <v>32.0</v>
      </c>
      <c r="U189" s="32" t="str">
        <f>"－"</f>
        <v>－</v>
      </c>
      <c r="V189" s="32" t="n">
        <f>584470</f>
        <v>584470.0</v>
      </c>
      <c r="W189" s="32" t="str">
        <f>"－"</f>
        <v>－</v>
      </c>
      <c r="X189" s="36" t="n">
        <f>4</f>
        <v>4.0</v>
      </c>
    </row>
    <row r="190">
      <c r="A190" s="27" t="s">
        <v>42</v>
      </c>
      <c r="B190" s="27" t="s">
        <v>617</v>
      </c>
      <c r="C190" s="27" t="s">
        <v>618</v>
      </c>
      <c r="D190" s="27" t="s">
        <v>619</v>
      </c>
      <c r="E190" s="28" t="s">
        <v>46</v>
      </c>
      <c r="F190" s="29" t="s">
        <v>46</v>
      </c>
      <c r="G190" s="30" t="s">
        <v>46</v>
      </c>
      <c r="H190" s="31"/>
      <c r="I190" s="31" t="s">
        <v>553</v>
      </c>
      <c r="J190" s="32" t="n">
        <v>1.0</v>
      </c>
      <c r="K190" s="33" t="str">
        <f>"－"</f>
        <v>－</v>
      </c>
      <c r="L190" s="34"/>
      <c r="M190" s="33" t="str">
        <f>"－"</f>
        <v>－</v>
      </c>
      <c r="N190" s="34"/>
      <c r="O190" s="33" t="str">
        <f>"－"</f>
        <v>－</v>
      </c>
      <c r="P190" s="34"/>
      <c r="Q190" s="33" t="str">
        <f>"－"</f>
        <v>－</v>
      </c>
      <c r="R190" s="34"/>
      <c r="S190" s="35" t="str">
        <f>"－"</f>
        <v>－</v>
      </c>
      <c r="T190" s="32" t="str">
        <f>"－"</f>
        <v>－</v>
      </c>
      <c r="U190" s="32" t="str">
        <f>"－"</f>
        <v>－</v>
      </c>
      <c r="V190" s="32" t="str">
        <f>"－"</f>
        <v>－</v>
      </c>
      <c r="W190" s="32" t="str">
        <f>"－"</f>
        <v>－</v>
      </c>
      <c r="X190" s="36" t="str">
        <f>"－"</f>
        <v>－</v>
      </c>
    </row>
    <row r="191">
      <c r="A191" s="27" t="s">
        <v>42</v>
      </c>
      <c r="B191" s="27" t="s">
        <v>620</v>
      </c>
      <c r="C191" s="27" t="s">
        <v>621</v>
      </c>
      <c r="D191" s="27" t="s">
        <v>622</v>
      </c>
      <c r="E191" s="28" t="s">
        <v>46</v>
      </c>
      <c r="F191" s="29" t="s">
        <v>46</v>
      </c>
      <c r="G191" s="30" t="s">
        <v>46</v>
      </c>
      <c r="H191" s="31"/>
      <c r="I191" s="31" t="s">
        <v>553</v>
      </c>
      <c r="J191" s="32" t="n">
        <v>1.0</v>
      </c>
      <c r="K191" s="33" t="n">
        <f>10620</f>
        <v>10620.0</v>
      </c>
      <c r="L191" s="34" t="s">
        <v>48</v>
      </c>
      <c r="M191" s="33" t="n">
        <f>10620</f>
        <v>10620.0</v>
      </c>
      <c r="N191" s="34" t="s">
        <v>48</v>
      </c>
      <c r="O191" s="33" t="n">
        <f>10425</f>
        <v>10425.0</v>
      </c>
      <c r="P191" s="34" t="s">
        <v>103</v>
      </c>
      <c r="Q191" s="33" t="n">
        <f>10530</f>
        <v>10530.0</v>
      </c>
      <c r="R191" s="34" t="s">
        <v>51</v>
      </c>
      <c r="S191" s="35" t="n">
        <f>10505</f>
        <v>10505.0</v>
      </c>
      <c r="T191" s="32" t="n">
        <f>1857</f>
        <v>1857.0</v>
      </c>
      <c r="U191" s="32" t="str">
        <f>"－"</f>
        <v>－</v>
      </c>
      <c r="V191" s="32" t="n">
        <f>19431690</f>
        <v>1.943169E7</v>
      </c>
      <c r="W191" s="32" t="str">
        <f>"－"</f>
        <v>－</v>
      </c>
      <c r="X191" s="36" t="n">
        <f>7</f>
        <v>7.0</v>
      </c>
    </row>
    <row r="192">
      <c r="A192" s="27" t="s">
        <v>42</v>
      </c>
      <c r="B192" s="27" t="s">
        <v>623</v>
      </c>
      <c r="C192" s="27" t="s">
        <v>624</v>
      </c>
      <c r="D192" s="27" t="s">
        <v>625</v>
      </c>
      <c r="E192" s="28" t="s">
        <v>46</v>
      </c>
      <c r="F192" s="29" t="s">
        <v>46</v>
      </c>
      <c r="G192" s="30" t="s">
        <v>46</v>
      </c>
      <c r="H192" s="31"/>
      <c r="I192" s="31" t="s">
        <v>553</v>
      </c>
      <c r="J192" s="32" t="n">
        <v>1.0</v>
      </c>
      <c r="K192" s="33" t="n">
        <f>12070</f>
        <v>12070.0</v>
      </c>
      <c r="L192" s="34" t="s">
        <v>48</v>
      </c>
      <c r="M192" s="33" t="n">
        <f>12770</f>
        <v>12770.0</v>
      </c>
      <c r="N192" s="34" t="s">
        <v>51</v>
      </c>
      <c r="O192" s="33" t="n">
        <f>11895</f>
        <v>11895.0</v>
      </c>
      <c r="P192" s="34" t="s">
        <v>187</v>
      </c>
      <c r="Q192" s="33" t="n">
        <f>12715</f>
        <v>12715.0</v>
      </c>
      <c r="R192" s="34" t="s">
        <v>51</v>
      </c>
      <c r="S192" s="35" t="n">
        <f>12328.33</f>
        <v>12328.33</v>
      </c>
      <c r="T192" s="32" t="n">
        <f>35221</f>
        <v>35221.0</v>
      </c>
      <c r="U192" s="32" t="str">
        <f>"－"</f>
        <v>－</v>
      </c>
      <c r="V192" s="32" t="n">
        <f>435434305</f>
        <v>4.35434305E8</v>
      </c>
      <c r="W192" s="32" t="str">
        <f>"－"</f>
        <v>－</v>
      </c>
      <c r="X192" s="36" t="n">
        <f>21</f>
        <v>21.0</v>
      </c>
    </row>
    <row r="193">
      <c r="A193" s="27" t="s">
        <v>42</v>
      </c>
      <c r="B193" s="27" t="s">
        <v>626</v>
      </c>
      <c r="C193" s="27" t="s">
        <v>627</v>
      </c>
      <c r="D193" s="27" t="s">
        <v>628</v>
      </c>
      <c r="E193" s="28" t="s">
        <v>46</v>
      </c>
      <c r="F193" s="29" t="s">
        <v>46</v>
      </c>
      <c r="G193" s="30" t="s">
        <v>46</v>
      </c>
      <c r="H193" s="31"/>
      <c r="I193" s="31" t="s">
        <v>553</v>
      </c>
      <c r="J193" s="32" t="n">
        <v>1.0</v>
      </c>
      <c r="K193" s="33" t="n">
        <f>11420</f>
        <v>11420.0</v>
      </c>
      <c r="L193" s="34" t="s">
        <v>48</v>
      </c>
      <c r="M193" s="33" t="n">
        <f>11600</f>
        <v>11600.0</v>
      </c>
      <c r="N193" s="34" t="s">
        <v>156</v>
      </c>
      <c r="O193" s="33" t="n">
        <f>11300</f>
        <v>11300.0</v>
      </c>
      <c r="P193" s="34" t="s">
        <v>73</v>
      </c>
      <c r="Q193" s="33" t="n">
        <f>11600</f>
        <v>11600.0</v>
      </c>
      <c r="R193" s="34" t="s">
        <v>51</v>
      </c>
      <c r="S193" s="35" t="n">
        <f>11452.5</f>
        <v>11452.5</v>
      </c>
      <c r="T193" s="32" t="n">
        <f>12419</f>
        <v>12419.0</v>
      </c>
      <c r="U193" s="32" t="str">
        <f>"－"</f>
        <v>－</v>
      </c>
      <c r="V193" s="32" t="n">
        <f>142009025</f>
        <v>1.42009025E8</v>
      </c>
      <c r="W193" s="32" t="str">
        <f>"－"</f>
        <v>－</v>
      </c>
      <c r="X193" s="36" t="n">
        <f>14</f>
        <v>14.0</v>
      </c>
    </row>
    <row r="194">
      <c r="A194" s="27" t="s">
        <v>42</v>
      </c>
      <c r="B194" s="27" t="s">
        <v>629</v>
      </c>
      <c r="C194" s="27" t="s">
        <v>630</v>
      </c>
      <c r="D194" s="27" t="s">
        <v>631</v>
      </c>
      <c r="E194" s="28" t="s">
        <v>46</v>
      </c>
      <c r="F194" s="29" t="s">
        <v>46</v>
      </c>
      <c r="G194" s="30" t="s">
        <v>46</v>
      </c>
      <c r="H194" s="31"/>
      <c r="I194" s="31" t="s">
        <v>553</v>
      </c>
      <c r="J194" s="32" t="n">
        <v>1.0</v>
      </c>
      <c r="K194" s="33" t="n">
        <f>11820</f>
        <v>11820.0</v>
      </c>
      <c r="L194" s="34" t="s">
        <v>187</v>
      </c>
      <c r="M194" s="33" t="n">
        <f>12100</f>
        <v>12100.0</v>
      </c>
      <c r="N194" s="34" t="s">
        <v>90</v>
      </c>
      <c r="O194" s="33" t="n">
        <f>11700</f>
        <v>11700.0</v>
      </c>
      <c r="P194" s="34" t="s">
        <v>187</v>
      </c>
      <c r="Q194" s="33" t="n">
        <f>12060</f>
        <v>12060.0</v>
      </c>
      <c r="R194" s="34" t="s">
        <v>51</v>
      </c>
      <c r="S194" s="35" t="n">
        <f>11907.86</f>
        <v>11907.86</v>
      </c>
      <c r="T194" s="32" t="n">
        <f>1416</f>
        <v>1416.0</v>
      </c>
      <c r="U194" s="32" t="str">
        <f>"－"</f>
        <v>－</v>
      </c>
      <c r="V194" s="32" t="n">
        <f>17019755</f>
        <v>1.7019755E7</v>
      </c>
      <c r="W194" s="32" t="str">
        <f>"－"</f>
        <v>－</v>
      </c>
      <c r="X194" s="36" t="n">
        <f>7</f>
        <v>7.0</v>
      </c>
    </row>
    <row r="195">
      <c r="A195" s="27" t="s">
        <v>42</v>
      </c>
      <c r="B195" s="27" t="s">
        <v>632</v>
      </c>
      <c r="C195" s="27" t="s">
        <v>633</v>
      </c>
      <c r="D195" s="27" t="s">
        <v>634</v>
      </c>
      <c r="E195" s="28" t="s">
        <v>46</v>
      </c>
      <c r="F195" s="29" t="s">
        <v>46</v>
      </c>
      <c r="G195" s="30" t="s">
        <v>46</v>
      </c>
      <c r="H195" s="31"/>
      <c r="I195" s="31" t="s">
        <v>47</v>
      </c>
      <c r="J195" s="32" t="n">
        <v>1.0</v>
      </c>
      <c r="K195" s="33" t="n">
        <f>1019</f>
        <v>1019.0</v>
      </c>
      <c r="L195" s="34" t="s">
        <v>48</v>
      </c>
      <c r="M195" s="33" t="n">
        <f>1022</f>
        <v>1022.0</v>
      </c>
      <c r="N195" s="34" t="s">
        <v>48</v>
      </c>
      <c r="O195" s="33" t="n">
        <f>963</f>
        <v>963.0</v>
      </c>
      <c r="P195" s="34" t="s">
        <v>50</v>
      </c>
      <c r="Q195" s="33" t="n">
        <f>992</f>
        <v>992.0</v>
      </c>
      <c r="R195" s="34" t="s">
        <v>51</v>
      </c>
      <c r="S195" s="35" t="n">
        <f>994.38</f>
        <v>994.38</v>
      </c>
      <c r="T195" s="32" t="n">
        <f>7485556</f>
        <v>7485556.0</v>
      </c>
      <c r="U195" s="32" t="n">
        <f>97843</f>
        <v>97843.0</v>
      </c>
      <c r="V195" s="32" t="n">
        <f>7418555406</f>
        <v>7.418555406E9</v>
      </c>
      <c r="W195" s="32" t="n">
        <f>96499860</f>
        <v>9.649986E7</v>
      </c>
      <c r="X195" s="36" t="n">
        <f>21</f>
        <v>21.0</v>
      </c>
    </row>
    <row r="196">
      <c r="A196" s="27" t="s">
        <v>42</v>
      </c>
      <c r="B196" s="27" t="s">
        <v>635</v>
      </c>
      <c r="C196" s="27" t="s">
        <v>636</v>
      </c>
      <c r="D196" s="27" t="s">
        <v>637</v>
      </c>
      <c r="E196" s="28" t="s">
        <v>46</v>
      </c>
      <c r="F196" s="29" t="s">
        <v>46</v>
      </c>
      <c r="G196" s="30" t="s">
        <v>46</v>
      </c>
      <c r="H196" s="31"/>
      <c r="I196" s="31" t="s">
        <v>47</v>
      </c>
      <c r="J196" s="32" t="n">
        <v>1.0</v>
      </c>
      <c r="K196" s="33" t="n">
        <f>1017</f>
        <v>1017.0</v>
      </c>
      <c r="L196" s="34" t="s">
        <v>48</v>
      </c>
      <c r="M196" s="33" t="n">
        <f>1020</f>
        <v>1020.0</v>
      </c>
      <c r="N196" s="34" t="s">
        <v>61</v>
      </c>
      <c r="O196" s="33" t="n">
        <f>962</f>
        <v>962.0</v>
      </c>
      <c r="P196" s="34" t="s">
        <v>50</v>
      </c>
      <c r="Q196" s="33" t="n">
        <f>989</f>
        <v>989.0</v>
      </c>
      <c r="R196" s="34" t="s">
        <v>51</v>
      </c>
      <c r="S196" s="35" t="n">
        <f>990.38</f>
        <v>990.38</v>
      </c>
      <c r="T196" s="32" t="n">
        <f>380539</f>
        <v>380539.0</v>
      </c>
      <c r="U196" s="32" t="str">
        <f>"－"</f>
        <v>－</v>
      </c>
      <c r="V196" s="32" t="n">
        <f>376092594</f>
        <v>3.76092594E8</v>
      </c>
      <c r="W196" s="32" t="str">
        <f>"－"</f>
        <v>－</v>
      </c>
      <c r="X196" s="36" t="n">
        <f>21</f>
        <v>21.0</v>
      </c>
    </row>
    <row r="197">
      <c r="A197" s="27" t="s">
        <v>42</v>
      </c>
      <c r="B197" s="27" t="s">
        <v>638</v>
      </c>
      <c r="C197" s="27" t="s">
        <v>639</v>
      </c>
      <c r="D197" s="27" t="s">
        <v>640</v>
      </c>
      <c r="E197" s="28" t="s">
        <v>46</v>
      </c>
      <c r="F197" s="29" t="s">
        <v>46</v>
      </c>
      <c r="G197" s="30" t="s">
        <v>46</v>
      </c>
      <c r="H197" s="31"/>
      <c r="I197" s="31" t="s">
        <v>47</v>
      </c>
      <c r="J197" s="32" t="n">
        <v>1.0</v>
      </c>
      <c r="K197" s="33" t="n">
        <f>974</f>
        <v>974.0</v>
      </c>
      <c r="L197" s="34" t="s">
        <v>48</v>
      </c>
      <c r="M197" s="33" t="n">
        <f>974</f>
        <v>974.0</v>
      </c>
      <c r="N197" s="34" t="s">
        <v>48</v>
      </c>
      <c r="O197" s="33" t="n">
        <f>939</f>
        <v>939.0</v>
      </c>
      <c r="P197" s="34" t="s">
        <v>73</v>
      </c>
      <c r="Q197" s="33" t="n">
        <f>970</f>
        <v>970.0</v>
      </c>
      <c r="R197" s="34" t="s">
        <v>51</v>
      </c>
      <c r="S197" s="35" t="n">
        <f>956.19</f>
        <v>956.19</v>
      </c>
      <c r="T197" s="32" t="n">
        <f>71019</f>
        <v>71019.0</v>
      </c>
      <c r="U197" s="32" t="str">
        <f>"－"</f>
        <v>－</v>
      </c>
      <c r="V197" s="32" t="n">
        <f>68093264</f>
        <v>6.8093264E7</v>
      </c>
      <c r="W197" s="32" t="str">
        <f>"－"</f>
        <v>－</v>
      </c>
      <c r="X197" s="36" t="n">
        <f>21</f>
        <v>21.0</v>
      </c>
    </row>
    <row r="198">
      <c r="A198" s="27" t="s">
        <v>42</v>
      </c>
      <c r="B198" s="27" t="s">
        <v>641</v>
      </c>
      <c r="C198" s="27" t="s">
        <v>642</v>
      </c>
      <c r="D198" s="27" t="s">
        <v>643</v>
      </c>
      <c r="E198" s="28" t="s">
        <v>46</v>
      </c>
      <c r="F198" s="29" t="s">
        <v>46</v>
      </c>
      <c r="G198" s="30" t="s">
        <v>46</v>
      </c>
      <c r="H198" s="31"/>
      <c r="I198" s="31" t="s">
        <v>47</v>
      </c>
      <c r="J198" s="32" t="n">
        <v>1.0</v>
      </c>
      <c r="K198" s="33" t="n">
        <f>2029</f>
        <v>2029.0</v>
      </c>
      <c r="L198" s="34" t="s">
        <v>48</v>
      </c>
      <c r="M198" s="33" t="n">
        <f>2035</f>
        <v>2035.0</v>
      </c>
      <c r="N198" s="34" t="s">
        <v>51</v>
      </c>
      <c r="O198" s="33" t="n">
        <f>1955</f>
        <v>1955.0</v>
      </c>
      <c r="P198" s="34" t="s">
        <v>50</v>
      </c>
      <c r="Q198" s="33" t="n">
        <f>2033</f>
        <v>2033.0</v>
      </c>
      <c r="R198" s="34" t="s">
        <v>51</v>
      </c>
      <c r="S198" s="35" t="n">
        <f>1998.48</f>
        <v>1998.48</v>
      </c>
      <c r="T198" s="32" t="n">
        <f>338862</f>
        <v>338862.0</v>
      </c>
      <c r="U198" s="32" t="n">
        <f>9900</f>
        <v>9900.0</v>
      </c>
      <c r="V198" s="32" t="n">
        <f>677242860</f>
        <v>6.7724286E8</v>
      </c>
      <c r="W198" s="32" t="n">
        <f>19847800</f>
        <v>1.98478E7</v>
      </c>
      <c r="X198" s="36" t="n">
        <f>21</f>
        <v>21.0</v>
      </c>
    </row>
    <row r="199">
      <c r="A199" s="27" t="s">
        <v>42</v>
      </c>
      <c r="B199" s="27" t="s">
        <v>644</v>
      </c>
      <c r="C199" s="27" t="s">
        <v>645</v>
      </c>
      <c r="D199" s="27" t="s">
        <v>646</v>
      </c>
      <c r="E199" s="28" t="s">
        <v>46</v>
      </c>
      <c r="F199" s="29" t="s">
        <v>46</v>
      </c>
      <c r="G199" s="30" t="s">
        <v>46</v>
      </c>
      <c r="H199" s="31"/>
      <c r="I199" s="31" t="s">
        <v>47</v>
      </c>
      <c r="J199" s="32" t="n">
        <v>1.0</v>
      </c>
      <c r="K199" s="33" t="n">
        <f>2025</f>
        <v>2025.0</v>
      </c>
      <c r="L199" s="34" t="s">
        <v>48</v>
      </c>
      <c r="M199" s="33" t="n">
        <f>2037</f>
        <v>2037.0</v>
      </c>
      <c r="N199" s="34" t="s">
        <v>49</v>
      </c>
      <c r="O199" s="33" t="n">
        <f>1947</f>
        <v>1947.0</v>
      </c>
      <c r="P199" s="34" t="s">
        <v>50</v>
      </c>
      <c r="Q199" s="33" t="n">
        <f>2021</f>
        <v>2021.0</v>
      </c>
      <c r="R199" s="34" t="s">
        <v>51</v>
      </c>
      <c r="S199" s="35" t="n">
        <f>2001.29</f>
        <v>2001.29</v>
      </c>
      <c r="T199" s="32" t="n">
        <f>1081077</f>
        <v>1081077.0</v>
      </c>
      <c r="U199" s="32" t="n">
        <f>14960</f>
        <v>14960.0</v>
      </c>
      <c r="V199" s="32" t="n">
        <f>2155214154</f>
        <v>2.155214154E9</v>
      </c>
      <c r="W199" s="32" t="n">
        <f>29962110</f>
        <v>2.996211E7</v>
      </c>
      <c r="X199" s="36" t="n">
        <f>21</f>
        <v>21.0</v>
      </c>
    </row>
    <row r="200">
      <c r="A200" s="27" t="s">
        <v>42</v>
      </c>
      <c r="B200" s="27" t="s">
        <v>647</v>
      </c>
      <c r="C200" s="27" t="s">
        <v>648</v>
      </c>
      <c r="D200" s="27" t="s">
        <v>649</v>
      </c>
      <c r="E200" s="28" t="s">
        <v>46</v>
      </c>
      <c r="F200" s="29" t="s">
        <v>46</v>
      </c>
      <c r="G200" s="30" t="s">
        <v>46</v>
      </c>
      <c r="H200" s="31"/>
      <c r="I200" s="31" t="s">
        <v>47</v>
      </c>
      <c r="J200" s="32" t="n">
        <v>10.0</v>
      </c>
      <c r="K200" s="33" t="n">
        <f>514.7</f>
        <v>514.7</v>
      </c>
      <c r="L200" s="34" t="s">
        <v>48</v>
      </c>
      <c r="M200" s="33" t="n">
        <f>515.7</f>
        <v>515.7</v>
      </c>
      <c r="N200" s="34" t="s">
        <v>48</v>
      </c>
      <c r="O200" s="33" t="n">
        <f>493</f>
        <v>493.0</v>
      </c>
      <c r="P200" s="34" t="s">
        <v>50</v>
      </c>
      <c r="Q200" s="33" t="n">
        <f>512.2</f>
        <v>512.2</v>
      </c>
      <c r="R200" s="34" t="s">
        <v>51</v>
      </c>
      <c r="S200" s="35" t="n">
        <f>505.94</f>
        <v>505.94</v>
      </c>
      <c r="T200" s="32" t="n">
        <f>5742800</f>
        <v>5742800.0</v>
      </c>
      <c r="U200" s="32" t="n">
        <f>1799640</f>
        <v>1799640.0</v>
      </c>
      <c r="V200" s="32" t="n">
        <f>2903721137</f>
        <v>2.903721137E9</v>
      </c>
      <c r="W200" s="32" t="n">
        <f>912287855</f>
        <v>9.12287855E8</v>
      </c>
      <c r="X200" s="36" t="n">
        <f>21</f>
        <v>21.0</v>
      </c>
    </row>
    <row r="201">
      <c r="A201" s="27" t="s">
        <v>42</v>
      </c>
      <c r="B201" s="27" t="s">
        <v>650</v>
      </c>
      <c r="C201" s="27" t="s">
        <v>651</v>
      </c>
      <c r="D201" s="27" t="s">
        <v>652</v>
      </c>
      <c r="E201" s="28" t="s">
        <v>46</v>
      </c>
      <c r="F201" s="29" t="s">
        <v>46</v>
      </c>
      <c r="G201" s="30" t="s">
        <v>46</v>
      </c>
      <c r="H201" s="31"/>
      <c r="I201" s="31" t="s">
        <v>47</v>
      </c>
      <c r="J201" s="32" t="n">
        <v>10.0</v>
      </c>
      <c r="K201" s="33" t="n">
        <f>2054</f>
        <v>2054.0</v>
      </c>
      <c r="L201" s="34" t="s">
        <v>48</v>
      </c>
      <c r="M201" s="33" t="n">
        <f>2142</f>
        <v>2142.0</v>
      </c>
      <c r="N201" s="34" t="s">
        <v>177</v>
      </c>
      <c r="O201" s="33" t="n">
        <f>2044.5</f>
        <v>2044.5</v>
      </c>
      <c r="P201" s="34" t="s">
        <v>231</v>
      </c>
      <c r="Q201" s="33" t="n">
        <f>2141</f>
        <v>2141.0</v>
      </c>
      <c r="R201" s="34" t="s">
        <v>51</v>
      </c>
      <c r="S201" s="35" t="n">
        <f>2086.15</f>
        <v>2086.15</v>
      </c>
      <c r="T201" s="32" t="n">
        <f>1297990</f>
        <v>1297990.0</v>
      </c>
      <c r="U201" s="32" t="n">
        <f>1193000</f>
        <v>1193000.0</v>
      </c>
      <c r="V201" s="32" t="n">
        <f>2721969132</f>
        <v>2.721969132E9</v>
      </c>
      <c r="W201" s="32" t="n">
        <f>2501384427</f>
        <v>2.501384427E9</v>
      </c>
      <c r="X201" s="36" t="n">
        <f>10</f>
        <v>10.0</v>
      </c>
    </row>
    <row r="202">
      <c r="A202" s="27" t="s">
        <v>42</v>
      </c>
      <c r="B202" s="27" t="s">
        <v>653</v>
      </c>
      <c r="C202" s="27" t="s">
        <v>654</v>
      </c>
      <c r="D202" s="27" t="s">
        <v>655</v>
      </c>
      <c r="E202" s="28" t="s">
        <v>46</v>
      </c>
      <c r="F202" s="29" t="s">
        <v>46</v>
      </c>
      <c r="G202" s="30" t="s">
        <v>46</v>
      </c>
      <c r="H202" s="31"/>
      <c r="I202" s="31" t="s">
        <v>47</v>
      </c>
      <c r="J202" s="32" t="n">
        <v>10.0</v>
      </c>
      <c r="K202" s="33" t="n">
        <f>2102.5</f>
        <v>2102.5</v>
      </c>
      <c r="L202" s="34" t="s">
        <v>89</v>
      </c>
      <c r="M202" s="33" t="n">
        <f>2215</f>
        <v>2215.0</v>
      </c>
      <c r="N202" s="34" t="s">
        <v>51</v>
      </c>
      <c r="O202" s="33" t="n">
        <f>2081.5</f>
        <v>2081.5</v>
      </c>
      <c r="P202" s="34" t="s">
        <v>231</v>
      </c>
      <c r="Q202" s="33" t="n">
        <f>2215</f>
        <v>2215.0</v>
      </c>
      <c r="R202" s="34" t="s">
        <v>51</v>
      </c>
      <c r="S202" s="35" t="n">
        <f>2141.73</f>
        <v>2141.73</v>
      </c>
      <c r="T202" s="32" t="n">
        <f>209090</f>
        <v>209090.0</v>
      </c>
      <c r="U202" s="32" t="str">
        <f>"－"</f>
        <v>－</v>
      </c>
      <c r="V202" s="32" t="n">
        <f>443800795</f>
        <v>4.43800795E8</v>
      </c>
      <c r="W202" s="32" t="str">
        <f>"－"</f>
        <v>－</v>
      </c>
      <c r="X202" s="36" t="n">
        <f>11</f>
        <v>11.0</v>
      </c>
    </row>
    <row r="203">
      <c r="A203" s="27" t="s">
        <v>42</v>
      </c>
      <c r="B203" s="27" t="s">
        <v>656</v>
      </c>
      <c r="C203" s="27" t="s">
        <v>657</v>
      </c>
      <c r="D203" s="27" t="s">
        <v>658</v>
      </c>
      <c r="E203" s="28" t="s">
        <v>46</v>
      </c>
      <c r="F203" s="29" t="s">
        <v>46</v>
      </c>
      <c r="G203" s="30" t="s">
        <v>46</v>
      </c>
      <c r="H203" s="31"/>
      <c r="I203" s="31" t="s">
        <v>47</v>
      </c>
      <c r="J203" s="32" t="n">
        <v>10.0</v>
      </c>
      <c r="K203" s="33" t="n">
        <f>2079.5</f>
        <v>2079.5</v>
      </c>
      <c r="L203" s="34" t="s">
        <v>89</v>
      </c>
      <c r="M203" s="33" t="n">
        <f>2137.5</f>
        <v>2137.5</v>
      </c>
      <c r="N203" s="34" t="s">
        <v>50</v>
      </c>
      <c r="O203" s="33" t="n">
        <f>2070.5</f>
        <v>2070.5</v>
      </c>
      <c r="P203" s="34" t="s">
        <v>231</v>
      </c>
      <c r="Q203" s="33" t="n">
        <f>2130</f>
        <v>2130.0</v>
      </c>
      <c r="R203" s="34" t="s">
        <v>540</v>
      </c>
      <c r="S203" s="35" t="n">
        <f>2092.71</f>
        <v>2092.71</v>
      </c>
      <c r="T203" s="32" t="n">
        <f>522940</f>
        <v>522940.0</v>
      </c>
      <c r="U203" s="32" t="n">
        <f>470000</f>
        <v>470000.0</v>
      </c>
      <c r="V203" s="32" t="n">
        <f>1112055930</f>
        <v>1.11205593E9</v>
      </c>
      <c r="W203" s="32" t="n">
        <f>1001965740</f>
        <v>1.00196574E9</v>
      </c>
      <c r="X203" s="36" t="n">
        <f>7</f>
        <v>7.0</v>
      </c>
    </row>
    <row r="204">
      <c r="A204" s="27" t="s">
        <v>42</v>
      </c>
      <c r="B204" s="27" t="s">
        <v>659</v>
      </c>
      <c r="C204" s="27" t="s">
        <v>660</v>
      </c>
      <c r="D204" s="27" t="s">
        <v>661</v>
      </c>
      <c r="E204" s="28" t="s">
        <v>46</v>
      </c>
      <c r="F204" s="29" t="s">
        <v>46</v>
      </c>
      <c r="G204" s="30" t="s">
        <v>46</v>
      </c>
      <c r="H204" s="31"/>
      <c r="I204" s="31" t="s">
        <v>47</v>
      </c>
      <c r="J204" s="32" t="n">
        <v>10.0</v>
      </c>
      <c r="K204" s="33" t="n">
        <f>2116</f>
        <v>2116.0</v>
      </c>
      <c r="L204" s="34" t="s">
        <v>73</v>
      </c>
      <c r="M204" s="33" t="n">
        <f>2131</f>
        <v>2131.0</v>
      </c>
      <c r="N204" s="34" t="s">
        <v>61</v>
      </c>
      <c r="O204" s="33" t="n">
        <f>2116</f>
        <v>2116.0</v>
      </c>
      <c r="P204" s="34" t="s">
        <v>73</v>
      </c>
      <c r="Q204" s="33" t="n">
        <f>2131</f>
        <v>2131.0</v>
      </c>
      <c r="R204" s="34" t="s">
        <v>61</v>
      </c>
      <c r="S204" s="35" t="n">
        <f>2125</f>
        <v>2125.0</v>
      </c>
      <c r="T204" s="32" t="n">
        <f>52180</f>
        <v>52180.0</v>
      </c>
      <c r="U204" s="32" t="str">
        <f>"－"</f>
        <v>－</v>
      </c>
      <c r="V204" s="32" t="n">
        <f>110414680</f>
        <v>1.1041468E8</v>
      </c>
      <c r="W204" s="32" t="str">
        <f>"－"</f>
        <v>－</v>
      </c>
      <c r="X204" s="36" t="n">
        <f>2</f>
        <v>2.0</v>
      </c>
    </row>
    <row r="205">
      <c r="A205" s="27" t="s">
        <v>42</v>
      </c>
      <c r="B205" s="27" t="s">
        <v>662</v>
      </c>
      <c r="C205" s="27" t="s">
        <v>663</v>
      </c>
      <c r="D205" s="27" t="s">
        <v>664</v>
      </c>
      <c r="E205" s="28" t="s">
        <v>46</v>
      </c>
      <c r="F205" s="29" t="s">
        <v>46</v>
      </c>
      <c r="G205" s="30" t="s">
        <v>46</v>
      </c>
      <c r="H205" s="31"/>
      <c r="I205" s="31" t="s">
        <v>47</v>
      </c>
      <c r="J205" s="32" t="n">
        <v>10.0</v>
      </c>
      <c r="K205" s="33" t="n">
        <f>5027</f>
        <v>5027.0</v>
      </c>
      <c r="L205" s="34" t="s">
        <v>48</v>
      </c>
      <c r="M205" s="33" t="n">
        <f>5215</f>
        <v>5215.0</v>
      </c>
      <c r="N205" s="34" t="s">
        <v>177</v>
      </c>
      <c r="O205" s="33" t="n">
        <f>5023</f>
        <v>5023.0</v>
      </c>
      <c r="P205" s="34" t="s">
        <v>48</v>
      </c>
      <c r="Q205" s="33" t="n">
        <f>5215</f>
        <v>5215.0</v>
      </c>
      <c r="R205" s="34" t="s">
        <v>177</v>
      </c>
      <c r="S205" s="35" t="n">
        <f>5147.29</f>
        <v>5147.29</v>
      </c>
      <c r="T205" s="32" t="n">
        <f>90630</f>
        <v>90630.0</v>
      </c>
      <c r="U205" s="32" t="str">
        <f>"－"</f>
        <v>－</v>
      </c>
      <c r="V205" s="32" t="n">
        <f>460191320</f>
        <v>4.6019132E8</v>
      </c>
      <c r="W205" s="32" t="str">
        <f>"－"</f>
        <v>－</v>
      </c>
      <c r="X205" s="36" t="n">
        <f>7</f>
        <v>7.0</v>
      </c>
    </row>
    <row r="206">
      <c r="A206" s="27" t="s">
        <v>42</v>
      </c>
      <c r="B206" s="27" t="s">
        <v>665</v>
      </c>
      <c r="C206" s="27" t="s">
        <v>666</v>
      </c>
      <c r="D206" s="27" t="s">
        <v>667</v>
      </c>
      <c r="E206" s="28" t="s">
        <v>46</v>
      </c>
      <c r="F206" s="29" t="s">
        <v>46</v>
      </c>
      <c r="G206" s="30" t="s">
        <v>46</v>
      </c>
      <c r="H206" s="31"/>
      <c r="I206" s="31" t="s">
        <v>47</v>
      </c>
      <c r="J206" s="32" t="n">
        <v>10.0</v>
      </c>
      <c r="K206" s="33" t="n">
        <f>5012</f>
        <v>5012.0</v>
      </c>
      <c r="L206" s="34" t="s">
        <v>48</v>
      </c>
      <c r="M206" s="33" t="n">
        <f>6012</f>
        <v>6012.0</v>
      </c>
      <c r="N206" s="34" t="s">
        <v>89</v>
      </c>
      <c r="O206" s="33" t="n">
        <f>4903</f>
        <v>4903.0</v>
      </c>
      <c r="P206" s="34" t="s">
        <v>73</v>
      </c>
      <c r="Q206" s="33" t="n">
        <f>5259</f>
        <v>5259.0</v>
      </c>
      <c r="R206" s="34" t="s">
        <v>156</v>
      </c>
      <c r="S206" s="35" t="n">
        <f>5157.2</f>
        <v>5157.2</v>
      </c>
      <c r="T206" s="32" t="n">
        <f>20580</f>
        <v>20580.0</v>
      </c>
      <c r="U206" s="32" t="str">
        <f>"－"</f>
        <v>－</v>
      </c>
      <c r="V206" s="32" t="n">
        <f>105686770</f>
        <v>1.0568677E8</v>
      </c>
      <c r="W206" s="32" t="str">
        <f>"－"</f>
        <v>－</v>
      </c>
      <c r="X206" s="36" t="n">
        <f>10</f>
        <v>10.0</v>
      </c>
    </row>
    <row r="207">
      <c r="A207" s="27" t="s">
        <v>42</v>
      </c>
      <c r="B207" s="27" t="s">
        <v>668</v>
      </c>
      <c r="C207" s="27" t="s">
        <v>669</v>
      </c>
      <c r="D207" s="27" t="s">
        <v>670</v>
      </c>
      <c r="E207" s="28" t="s">
        <v>46</v>
      </c>
      <c r="F207" s="29" t="s">
        <v>46</v>
      </c>
      <c r="G207" s="30" t="s">
        <v>46</v>
      </c>
      <c r="H207" s="31"/>
      <c r="I207" s="31" t="s">
        <v>47</v>
      </c>
      <c r="J207" s="32" t="n">
        <v>10.0</v>
      </c>
      <c r="K207" s="33" t="n">
        <f>5327</f>
        <v>5327.0</v>
      </c>
      <c r="L207" s="34" t="s">
        <v>177</v>
      </c>
      <c r="M207" s="33" t="n">
        <f>5327</f>
        <v>5327.0</v>
      </c>
      <c r="N207" s="34" t="s">
        <v>177</v>
      </c>
      <c r="O207" s="33" t="n">
        <f>5327</f>
        <v>5327.0</v>
      </c>
      <c r="P207" s="34" t="s">
        <v>177</v>
      </c>
      <c r="Q207" s="33" t="n">
        <f>5327</f>
        <v>5327.0</v>
      </c>
      <c r="R207" s="34" t="s">
        <v>177</v>
      </c>
      <c r="S207" s="35" t="n">
        <f>5327</f>
        <v>5327.0</v>
      </c>
      <c r="T207" s="32" t="n">
        <f>30</f>
        <v>30.0</v>
      </c>
      <c r="U207" s="32" t="str">
        <f>"－"</f>
        <v>－</v>
      </c>
      <c r="V207" s="32" t="n">
        <f>159810</f>
        <v>159810.0</v>
      </c>
      <c r="W207" s="32" t="str">
        <f>"－"</f>
        <v>－</v>
      </c>
      <c r="X207" s="36" t="n">
        <f>1</f>
        <v>1.0</v>
      </c>
    </row>
    <row r="208">
      <c r="A208" s="27" t="s">
        <v>42</v>
      </c>
      <c r="B208" s="27" t="s">
        <v>671</v>
      </c>
      <c r="C208" s="27" t="s">
        <v>672</v>
      </c>
      <c r="D208" s="27" t="s">
        <v>673</v>
      </c>
      <c r="E208" s="28" t="s">
        <v>46</v>
      </c>
      <c r="F208" s="29" t="s">
        <v>46</v>
      </c>
      <c r="G208" s="30" t="s">
        <v>46</v>
      </c>
      <c r="H208" s="31"/>
      <c r="I208" s="31" t="s">
        <v>47</v>
      </c>
      <c r="J208" s="32" t="n">
        <v>10.0</v>
      </c>
      <c r="K208" s="33" t="n">
        <f>4974</f>
        <v>4974.0</v>
      </c>
      <c r="L208" s="34" t="s">
        <v>48</v>
      </c>
      <c r="M208" s="33" t="n">
        <f>5011</f>
        <v>5011.0</v>
      </c>
      <c r="N208" s="34" t="s">
        <v>89</v>
      </c>
      <c r="O208" s="33" t="n">
        <f>4759</f>
        <v>4759.0</v>
      </c>
      <c r="P208" s="34" t="s">
        <v>90</v>
      </c>
      <c r="Q208" s="33" t="n">
        <f>4782</f>
        <v>4782.0</v>
      </c>
      <c r="R208" s="34" t="s">
        <v>51</v>
      </c>
      <c r="S208" s="35" t="n">
        <f>4853.38</f>
        <v>4853.38</v>
      </c>
      <c r="T208" s="32" t="n">
        <f>2033330</f>
        <v>2033330.0</v>
      </c>
      <c r="U208" s="32" t="n">
        <f>1950020</f>
        <v>1950020.0</v>
      </c>
      <c r="V208" s="32" t="n">
        <f>9786890154</f>
        <v>9.786890154E9</v>
      </c>
      <c r="W208" s="32" t="n">
        <f>9386071314</f>
        <v>9.386071314E9</v>
      </c>
      <c r="X208" s="36" t="n">
        <f>21</f>
        <v>21.0</v>
      </c>
    </row>
    <row r="209">
      <c r="A209" s="27" t="s">
        <v>42</v>
      </c>
      <c r="B209" s="27" t="s">
        <v>674</v>
      </c>
      <c r="C209" s="27" t="s">
        <v>675</v>
      </c>
      <c r="D209" s="27" t="s">
        <v>676</v>
      </c>
      <c r="E209" s="28" t="s">
        <v>46</v>
      </c>
      <c r="F209" s="29" t="s">
        <v>46</v>
      </c>
      <c r="G209" s="30" t="s">
        <v>46</v>
      </c>
      <c r="H209" s="31"/>
      <c r="I209" s="31" t="s">
        <v>47</v>
      </c>
      <c r="J209" s="32" t="n">
        <v>1.0</v>
      </c>
      <c r="K209" s="33" t="n">
        <f>988</f>
        <v>988.0</v>
      </c>
      <c r="L209" s="34" t="s">
        <v>48</v>
      </c>
      <c r="M209" s="33" t="n">
        <f>1015</f>
        <v>1015.0</v>
      </c>
      <c r="N209" s="34" t="s">
        <v>103</v>
      </c>
      <c r="O209" s="33" t="n">
        <f>977</f>
        <v>977.0</v>
      </c>
      <c r="P209" s="34" t="s">
        <v>89</v>
      </c>
      <c r="Q209" s="33" t="n">
        <f>988</f>
        <v>988.0</v>
      </c>
      <c r="R209" s="34" t="s">
        <v>51</v>
      </c>
      <c r="S209" s="35" t="n">
        <f>995.24</f>
        <v>995.24</v>
      </c>
      <c r="T209" s="32" t="n">
        <f>14880</f>
        <v>14880.0</v>
      </c>
      <c r="U209" s="32" t="str">
        <f>"－"</f>
        <v>－</v>
      </c>
      <c r="V209" s="32" t="n">
        <f>14934538</f>
        <v>1.4934538E7</v>
      </c>
      <c r="W209" s="32" t="str">
        <f>"－"</f>
        <v>－</v>
      </c>
      <c r="X209" s="36" t="n">
        <f>21</f>
        <v>21.0</v>
      </c>
    </row>
    <row r="210">
      <c r="A210" s="27" t="s">
        <v>42</v>
      </c>
      <c r="B210" s="27" t="s">
        <v>677</v>
      </c>
      <c r="C210" s="27" t="s">
        <v>678</v>
      </c>
      <c r="D210" s="27" t="s">
        <v>679</v>
      </c>
      <c r="E210" s="28" t="s">
        <v>46</v>
      </c>
      <c r="F210" s="29" t="s">
        <v>46</v>
      </c>
      <c r="G210" s="30" t="s">
        <v>46</v>
      </c>
      <c r="H210" s="31"/>
      <c r="I210" s="31" t="s">
        <v>47</v>
      </c>
      <c r="J210" s="32" t="n">
        <v>1.0</v>
      </c>
      <c r="K210" s="33" t="n">
        <f>1064</f>
        <v>1064.0</v>
      </c>
      <c r="L210" s="34" t="s">
        <v>48</v>
      </c>
      <c r="M210" s="33" t="n">
        <f>1119</f>
        <v>1119.0</v>
      </c>
      <c r="N210" s="34" t="s">
        <v>103</v>
      </c>
      <c r="O210" s="33" t="n">
        <f>1003</f>
        <v>1003.0</v>
      </c>
      <c r="P210" s="34" t="s">
        <v>73</v>
      </c>
      <c r="Q210" s="33" t="n">
        <f>1117</f>
        <v>1117.0</v>
      </c>
      <c r="R210" s="34" t="s">
        <v>51</v>
      </c>
      <c r="S210" s="35" t="n">
        <f>1093.19</f>
        <v>1093.19</v>
      </c>
      <c r="T210" s="32" t="n">
        <f>343580</f>
        <v>343580.0</v>
      </c>
      <c r="U210" s="32" t="str">
        <f>"－"</f>
        <v>－</v>
      </c>
      <c r="V210" s="32" t="n">
        <f>368535431</f>
        <v>3.68535431E8</v>
      </c>
      <c r="W210" s="32" t="str">
        <f>"－"</f>
        <v>－</v>
      </c>
      <c r="X210" s="36" t="n">
        <f>21</f>
        <v>21.0</v>
      </c>
    </row>
    <row r="211">
      <c r="A211" s="27" t="s">
        <v>42</v>
      </c>
      <c r="B211" s="27" t="s">
        <v>680</v>
      </c>
      <c r="C211" s="27" t="s">
        <v>681</v>
      </c>
      <c r="D211" s="27" t="s">
        <v>682</v>
      </c>
      <c r="E211" s="28" t="s">
        <v>46</v>
      </c>
      <c r="F211" s="29" t="s">
        <v>46</v>
      </c>
      <c r="G211" s="30" t="s">
        <v>46</v>
      </c>
      <c r="H211" s="31"/>
      <c r="I211" s="31" t="s">
        <v>47</v>
      </c>
      <c r="J211" s="32" t="n">
        <v>1.0</v>
      </c>
      <c r="K211" s="33" t="n">
        <f>1016</f>
        <v>1016.0</v>
      </c>
      <c r="L211" s="34" t="s">
        <v>48</v>
      </c>
      <c r="M211" s="33" t="n">
        <f>1016</f>
        <v>1016.0</v>
      </c>
      <c r="N211" s="34" t="s">
        <v>48</v>
      </c>
      <c r="O211" s="33" t="n">
        <f>980</f>
        <v>980.0</v>
      </c>
      <c r="P211" s="34" t="s">
        <v>103</v>
      </c>
      <c r="Q211" s="33" t="n">
        <f>1000</f>
        <v>1000.0</v>
      </c>
      <c r="R211" s="34" t="s">
        <v>51</v>
      </c>
      <c r="S211" s="35" t="n">
        <f>998.71</f>
        <v>998.71</v>
      </c>
      <c r="T211" s="32" t="n">
        <f>6036</f>
        <v>6036.0</v>
      </c>
      <c r="U211" s="32" t="str">
        <f>"－"</f>
        <v>－</v>
      </c>
      <c r="V211" s="32" t="n">
        <f>6023355</f>
        <v>6023355.0</v>
      </c>
      <c r="W211" s="32" t="str">
        <f>"－"</f>
        <v>－</v>
      </c>
      <c r="X211" s="36" t="n">
        <f>21</f>
        <v>21.0</v>
      </c>
    </row>
    <row r="212">
      <c r="A212" s="27" t="s">
        <v>42</v>
      </c>
      <c r="B212" s="27" t="s">
        <v>683</v>
      </c>
      <c r="C212" s="27" t="s">
        <v>684</v>
      </c>
      <c r="D212" s="27" t="s">
        <v>685</v>
      </c>
      <c r="E212" s="28" t="s">
        <v>46</v>
      </c>
      <c r="F212" s="29" t="s">
        <v>46</v>
      </c>
      <c r="G212" s="30" t="s">
        <v>46</v>
      </c>
      <c r="H212" s="31"/>
      <c r="I212" s="31" t="s">
        <v>47</v>
      </c>
      <c r="J212" s="32" t="n">
        <v>1.0</v>
      </c>
      <c r="K212" s="33" t="n">
        <f>1013</f>
        <v>1013.0</v>
      </c>
      <c r="L212" s="34" t="s">
        <v>48</v>
      </c>
      <c r="M212" s="33" t="n">
        <f>1015</f>
        <v>1015.0</v>
      </c>
      <c r="N212" s="34" t="s">
        <v>49</v>
      </c>
      <c r="O212" s="33" t="n">
        <f>962</f>
        <v>962.0</v>
      </c>
      <c r="P212" s="34" t="s">
        <v>103</v>
      </c>
      <c r="Q212" s="33" t="n">
        <f>987</f>
        <v>987.0</v>
      </c>
      <c r="R212" s="34" t="s">
        <v>51</v>
      </c>
      <c r="S212" s="35" t="n">
        <f>993.52</f>
        <v>993.52</v>
      </c>
      <c r="T212" s="32" t="n">
        <f>30556</f>
        <v>30556.0</v>
      </c>
      <c r="U212" s="32" t="str">
        <f>"－"</f>
        <v>－</v>
      </c>
      <c r="V212" s="32" t="n">
        <f>30203943</f>
        <v>3.0203943E7</v>
      </c>
      <c r="W212" s="32" t="str">
        <f>"－"</f>
        <v>－</v>
      </c>
      <c r="X212" s="36" t="n">
        <f>21</f>
        <v>21.0</v>
      </c>
    </row>
    <row r="213">
      <c r="A213" s="27" t="s">
        <v>42</v>
      </c>
      <c r="B213" s="27" t="s">
        <v>686</v>
      </c>
      <c r="C213" s="27" t="s">
        <v>687</v>
      </c>
      <c r="D213" s="27" t="s">
        <v>688</v>
      </c>
      <c r="E213" s="28" t="s">
        <v>46</v>
      </c>
      <c r="F213" s="29" t="s">
        <v>46</v>
      </c>
      <c r="G213" s="30" t="s">
        <v>46</v>
      </c>
      <c r="H213" s="31"/>
      <c r="I213" s="31" t="s">
        <v>47</v>
      </c>
      <c r="J213" s="32" t="n">
        <v>1.0</v>
      </c>
      <c r="K213" s="33" t="n">
        <f>1016</f>
        <v>1016.0</v>
      </c>
      <c r="L213" s="34" t="s">
        <v>48</v>
      </c>
      <c r="M213" s="33" t="n">
        <f>1021</f>
        <v>1021.0</v>
      </c>
      <c r="N213" s="34" t="s">
        <v>51</v>
      </c>
      <c r="O213" s="33" t="n">
        <f>979</f>
        <v>979.0</v>
      </c>
      <c r="P213" s="34" t="s">
        <v>176</v>
      </c>
      <c r="Q213" s="33" t="n">
        <f>1020</f>
        <v>1020.0</v>
      </c>
      <c r="R213" s="34" t="s">
        <v>51</v>
      </c>
      <c r="S213" s="35" t="n">
        <f>1002.48</f>
        <v>1002.48</v>
      </c>
      <c r="T213" s="32" t="n">
        <f>6387</f>
        <v>6387.0</v>
      </c>
      <c r="U213" s="32" t="str">
        <f>"－"</f>
        <v>－</v>
      </c>
      <c r="V213" s="32" t="n">
        <f>6387266</f>
        <v>6387266.0</v>
      </c>
      <c r="W213" s="32" t="str">
        <f>"－"</f>
        <v>－</v>
      </c>
      <c r="X213" s="36" t="n">
        <f>21</f>
        <v>21.0</v>
      </c>
    </row>
    <row r="214">
      <c r="A214" s="27" t="s">
        <v>42</v>
      </c>
      <c r="B214" s="27" t="s">
        <v>689</v>
      </c>
      <c r="C214" s="27" t="s">
        <v>690</v>
      </c>
      <c r="D214" s="27" t="s">
        <v>691</v>
      </c>
      <c r="E214" s="28" t="s">
        <v>46</v>
      </c>
      <c r="F214" s="29" t="s">
        <v>46</v>
      </c>
      <c r="G214" s="30" t="s">
        <v>46</v>
      </c>
      <c r="H214" s="31"/>
      <c r="I214" s="31" t="s">
        <v>47</v>
      </c>
      <c r="J214" s="32" t="n">
        <v>10.0</v>
      </c>
      <c r="K214" s="33" t="n">
        <f>2327.5</f>
        <v>2327.5</v>
      </c>
      <c r="L214" s="34" t="s">
        <v>48</v>
      </c>
      <c r="M214" s="33" t="n">
        <f>2457</f>
        <v>2457.0</v>
      </c>
      <c r="N214" s="34" t="s">
        <v>116</v>
      </c>
      <c r="O214" s="33" t="n">
        <f>2265</f>
        <v>2265.0</v>
      </c>
      <c r="P214" s="34" t="s">
        <v>73</v>
      </c>
      <c r="Q214" s="33" t="n">
        <f>2337</f>
        <v>2337.0</v>
      </c>
      <c r="R214" s="34" t="s">
        <v>51</v>
      </c>
      <c r="S214" s="35" t="n">
        <f>2329.21</f>
        <v>2329.21</v>
      </c>
      <c r="T214" s="32" t="n">
        <f>35300</f>
        <v>35300.0</v>
      </c>
      <c r="U214" s="32" t="str">
        <f>"－"</f>
        <v>－</v>
      </c>
      <c r="V214" s="32" t="n">
        <f>81952265</f>
        <v>8.1952265E7</v>
      </c>
      <c r="W214" s="32" t="str">
        <f>"－"</f>
        <v>－</v>
      </c>
      <c r="X214" s="36" t="n">
        <f>21</f>
        <v>21.0</v>
      </c>
    </row>
    <row r="215">
      <c r="A215" s="27" t="s">
        <v>42</v>
      </c>
      <c r="B215" s="27" t="s">
        <v>692</v>
      </c>
      <c r="C215" s="27" t="s">
        <v>693</v>
      </c>
      <c r="D215" s="27" t="s">
        <v>694</v>
      </c>
      <c r="E215" s="28" t="s">
        <v>46</v>
      </c>
      <c r="F215" s="29" t="s">
        <v>46</v>
      </c>
      <c r="G215" s="30" t="s">
        <v>46</v>
      </c>
      <c r="H215" s="31"/>
      <c r="I215" s="31" t="s">
        <v>47</v>
      </c>
      <c r="J215" s="32" t="n">
        <v>1.0</v>
      </c>
      <c r="K215" s="33" t="n">
        <f>1087</f>
        <v>1087.0</v>
      </c>
      <c r="L215" s="34" t="s">
        <v>48</v>
      </c>
      <c r="M215" s="33" t="n">
        <f>1113</f>
        <v>1113.0</v>
      </c>
      <c r="N215" s="34" t="s">
        <v>69</v>
      </c>
      <c r="O215" s="33" t="n">
        <f>1065</f>
        <v>1065.0</v>
      </c>
      <c r="P215" s="34" t="s">
        <v>73</v>
      </c>
      <c r="Q215" s="33" t="n">
        <f>1100</f>
        <v>1100.0</v>
      </c>
      <c r="R215" s="34" t="s">
        <v>51</v>
      </c>
      <c r="S215" s="35" t="n">
        <f>1094.48</f>
        <v>1094.48</v>
      </c>
      <c r="T215" s="32" t="n">
        <f>577366</f>
        <v>577366.0</v>
      </c>
      <c r="U215" s="32" t="n">
        <f>28010</f>
        <v>28010.0</v>
      </c>
      <c r="V215" s="32" t="n">
        <f>632871299</f>
        <v>6.32871299E8</v>
      </c>
      <c r="W215" s="32" t="n">
        <f>30531000</f>
        <v>3.0531E7</v>
      </c>
      <c r="X215" s="36" t="n">
        <f>21</f>
        <v>21.0</v>
      </c>
    </row>
    <row r="216">
      <c r="A216" s="27" t="s">
        <v>42</v>
      </c>
      <c r="B216" s="27" t="s">
        <v>695</v>
      </c>
      <c r="C216" s="27" t="s">
        <v>696</v>
      </c>
      <c r="D216" s="27" t="s">
        <v>697</v>
      </c>
      <c r="E216" s="28" t="s">
        <v>46</v>
      </c>
      <c r="F216" s="29" t="s">
        <v>46</v>
      </c>
      <c r="G216" s="30" t="s">
        <v>46</v>
      </c>
      <c r="H216" s="31"/>
      <c r="I216" s="31" t="s">
        <v>47</v>
      </c>
      <c r="J216" s="32" t="n">
        <v>1.0</v>
      </c>
      <c r="K216" s="33" t="n">
        <f>58980</f>
        <v>58980.0</v>
      </c>
      <c r="L216" s="34" t="s">
        <v>48</v>
      </c>
      <c r="M216" s="33" t="n">
        <f>64410</f>
        <v>64410.0</v>
      </c>
      <c r="N216" s="34" t="s">
        <v>177</v>
      </c>
      <c r="O216" s="33" t="n">
        <f>58400</f>
        <v>58400.0</v>
      </c>
      <c r="P216" s="34" t="s">
        <v>231</v>
      </c>
      <c r="Q216" s="33" t="n">
        <f>64280</f>
        <v>64280.0</v>
      </c>
      <c r="R216" s="34" t="s">
        <v>51</v>
      </c>
      <c r="S216" s="35" t="n">
        <f>61750.48</f>
        <v>61750.48</v>
      </c>
      <c r="T216" s="32" t="n">
        <f>31798</f>
        <v>31798.0</v>
      </c>
      <c r="U216" s="32" t="n">
        <f>87</f>
        <v>87.0</v>
      </c>
      <c r="V216" s="32" t="n">
        <f>1964361552</f>
        <v>1.964361552E9</v>
      </c>
      <c r="W216" s="32" t="n">
        <f>5476362</f>
        <v>5476362.0</v>
      </c>
      <c r="X216" s="36" t="n">
        <f>21</f>
        <v>21.0</v>
      </c>
    </row>
    <row r="217">
      <c r="A217" s="27" t="s">
        <v>42</v>
      </c>
      <c r="B217" s="27" t="s">
        <v>698</v>
      </c>
      <c r="C217" s="27" t="s">
        <v>699</v>
      </c>
      <c r="D217" s="27" t="s">
        <v>700</v>
      </c>
      <c r="E217" s="28" t="s">
        <v>46</v>
      </c>
      <c r="F217" s="29" t="s">
        <v>46</v>
      </c>
      <c r="G217" s="30" t="s">
        <v>46</v>
      </c>
      <c r="H217" s="31"/>
      <c r="I217" s="31" t="s">
        <v>47</v>
      </c>
      <c r="J217" s="32" t="n">
        <v>1.0</v>
      </c>
      <c r="K217" s="33" t="n">
        <f>8616</f>
        <v>8616.0</v>
      </c>
      <c r="L217" s="34" t="s">
        <v>48</v>
      </c>
      <c r="M217" s="33" t="n">
        <f>8659</f>
        <v>8659.0</v>
      </c>
      <c r="N217" s="34" t="s">
        <v>231</v>
      </c>
      <c r="O217" s="33" t="n">
        <f>8222</f>
        <v>8222.0</v>
      </c>
      <c r="P217" s="34" t="s">
        <v>177</v>
      </c>
      <c r="Q217" s="33" t="n">
        <f>8240</f>
        <v>8240.0</v>
      </c>
      <c r="R217" s="34" t="s">
        <v>51</v>
      </c>
      <c r="S217" s="35" t="n">
        <f>8416.95</f>
        <v>8416.95</v>
      </c>
      <c r="T217" s="32" t="n">
        <f>339394</f>
        <v>339394.0</v>
      </c>
      <c r="U217" s="32" t="n">
        <f>251302</f>
        <v>251302.0</v>
      </c>
      <c r="V217" s="32" t="n">
        <f>2852816643</f>
        <v>2.852816643E9</v>
      </c>
      <c r="W217" s="32" t="n">
        <f>2114021128</f>
        <v>2.114021128E9</v>
      </c>
      <c r="X217" s="36" t="n">
        <f>21</f>
        <v>21.0</v>
      </c>
    </row>
    <row r="218">
      <c r="A218" s="27" t="s">
        <v>42</v>
      </c>
      <c r="B218" s="27" t="s">
        <v>701</v>
      </c>
      <c r="C218" s="27" t="s">
        <v>702</v>
      </c>
      <c r="D218" s="27" t="s">
        <v>703</v>
      </c>
      <c r="E218" s="28" t="s">
        <v>46</v>
      </c>
      <c r="F218" s="29" t="s">
        <v>46</v>
      </c>
      <c r="G218" s="30" t="s">
        <v>46</v>
      </c>
      <c r="H218" s="31"/>
      <c r="I218" s="31" t="s">
        <v>47</v>
      </c>
      <c r="J218" s="32" t="n">
        <v>10.0</v>
      </c>
      <c r="K218" s="33" t="n">
        <f>12655</f>
        <v>12655.0</v>
      </c>
      <c r="L218" s="34" t="s">
        <v>48</v>
      </c>
      <c r="M218" s="33" t="n">
        <f>14000</f>
        <v>14000.0</v>
      </c>
      <c r="N218" s="34" t="s">
        <v>116</v>
      </c>
      <c r="O218" s="33" t="n">
        <f>12525</f>
        <v>12525.0</v>
      </c>
      <c r="P218" s="34" t="s">
        <v>231</v>
      </c>
      <c r="Q218" s="33" t="n">
        <f>13785</f>
        <v>13785.0</v>
      </c>
      <c r="R218" s="34" t="s">
        <v>51</v>
      </c>
      <c r="S218" s="35" t="n">
        <f>13246.67</f>
        <v>13246.67</v>
      </c>
      <c r="T218" s="32" t="n">
        <f>53910</f>
        <v>53910.0</v>
      </c>
      <c r="U218" s="32" t="n">
        <f>90</f>
        <v>90.0</v>
      </c>
      <c r="V218" s="32" t="n">
        <f>719028500</f>
        <v>7.190285E8</v>
      </c>
      <c r="W218" s="32" t="n">
        <f>1217700</f>
        <v>1217700.0</v>
      </c>
      <c r="X218" s="36" t="n">
        <f>21</f>
        <v>21.0</v>
      </c>
    </row>
    <row r="219">
      <c r="A219" s="27" t="s">
        <v>42</v>
      </c>
      <c r="B219" s="27" t="s">
        <v>704</v>
      </c>
      <c r="C219" s="27" t="s">
        <v>705</v>
      </c>
      <c r="D219" s="27" t="s">
        <v>706</v>
      </c>
      <c r="E219" s="28" t="s">
        <v>46</v>
      </c>
      <c r="F219" s="29" t="s">
        <v>46</v>
      </c>
      <c r="G219" s="30" t="s">
        <v>46</v>
      </c>
      <c r="H219" s="31"/>
      <c r="I219" s="31" t="s">
        <v>47</v>
      </c>
      <c r="J219" s="32" t="n">
        <v>10.0</v>
      </c>
      <c r="K219" s="33" t="n">
        <f>8664</f>
        <v>8664.0</v>
      </c>
      <c r="L219" s="34" t="s">
        <v>48</v>
      </c>
      <c r="M219" s="33" t="n">
        <f>8704</f>
        <v>8704.0</v>
      </c>
      <c r="N219" s="34" t="s">
        <v>231</v>
      </c>
      <c r="O219" s="33" t="n">
        <f>8270</f>
        <v>8270.0</v>
      </c>
      <c r="P219" s="34" t="s">
        <v>177</v>
      </c>
      <c r="Q219" s="33" t="n">
        <f>8427</f>
        <v>8427.0</v>
      </c>
      <c r="R219" s="34" t="s">
        <v>51</v>
      </c>
      <c r="S219" s="35" t="n">
        <f>8476.2</f>
        <v>8476.2</v>
      </c>
      <c r="T219" s="32" t="n">
        <f>15040</f>
        <v>15040.0</v>
      </c>
      <c r="U219" s="32" t="n">
        <f>1000</f>
        <v>1000.0</v>
      </c>
      <c r="V219" s="32" t="n">
        <f>127786040</f>
        <v>1.2778604E8</v>
      </c>
      <c r="W219" s="32" t="n">
        <f>8650700</f>
        <v>8650700.0</v>
      </c>
      <c r="X219" s="36" t="n">
        <f>20</f>
        <v>20.0</v>
      </c>
    </row>
    <row r="220">
      <c r="A220" s="27" t="s">
        <v>42</v>
      </c>
      <c r="B220" s="27" t="s">
        <v>707</v>
      </c>
      <c r="C220" s="27" t="s">
        <v>708</v>
      </c>
      <c r="D220" s="27" t="s">
        <v>709</v>
      </c>
      <c r="E220" s="28" t="s">
        <v>46</v>
      </c>
      <c r="F220" s="29" t="s">
        <v>46</v>
      </c>
      <c r="G220" s="30" t="s">
        <v>46</v>
      </c>
      <c r="H220" s="31"/>
      <c r="I220" s="31" t="s">
        <v>47</v>
      </c>
      <c r="J220" s="32" t="n">
        <v>10.0</v>
      </c>
      <c r="K220" s="33" t="n">
        <f>591.9</f>
        <v>591.9</v>
      </c>
      <c r="L220" s="34" t="s">
        <v>48</v>
      </c>
      <c r="M220" s="33" t="n">
        <f>630</f>
        <v>630.0</v>
      </c>
      <c r="N220" s="34" t="s">
        <v>116</v>
      </c>
      <c r="O220" s="33" t="n">
        <f>574.8</f>
        <v>574.8</v>
      </c>
      <c r="P220" s="34" t="s">
        <v>73</v>
      </c>
      <c r="Q220" s="33" t="n">
        <f>595.1</f>
        <v>595.1</v>
      </c>
      <c r="R220" s="34" t="s">
        <v>51</v>
      </c>
      <c r="S220" s="35" t="n">
        <f>592.11</f>
        <v>592.11</v>
      </c>
      <c r="T220" s="32" t="n">
        <f>336390</f>
        <v>336390.0</v>
      </c>
      <c r="U220" s="32" t="str">
        <f>"－"</f>
        <v>－</v>
      </c>
      <c r="V220" s="32" t="n">
        <f>200051072</f>
        <v>2.00051072E8</v>
      </c>
      <c r="W220" s="32" t="str">
        <f>"－"</f>
        <v>－</v>
      </c>
      <c r="X220" s="36" t="n">
        <f>21</f>
        <v>21.0</v>
      </c>
    </row>
    <row r="221">
      <c r="A221" s="27" t="s">
        <v>42</v>
      </c>
      <c r="B221" s="27" t="s">
        <v>710</v>
      </c>
      <c r="C221" s="27" t="s">
        <v>711</v>
      </c>
      <c r="D221" s="27" t="s">
        <v>712</v>
      </c>
      <c r="E221" s="28" t="s">
        <v>46</v>
      </c>
      <c r="F221" s="29" t="s">
        <v>46</v>
      </c>
      <c r="G221" s="30" t="s">
        <v>46</v>
      </c>
      <c r="H221" s="31"/>
      <c r="I221" s="31" t="s">
        <v>47</v>
      </c>
      <c r="J221" s="32" t="n">
        <v>10.0</v>
      </c>
      <c r="K221" s="33" t="n">
        <f>523</f>
        <v>523.0</v>
      </c>
      <c r="L221" s="34" t="s">
        <v>48</v>
      </c>
      <c r="M221" s="33" t="n">
        <f>550.7</f>
        <v>550.7</v>
      </c>
      <c r="N221" s="34" t="s">
        <v>69</v>
      </c>
      <c r="O221" s="33" t="n">
        <f>523</f>
        <v>523.0</v>
      </c>
      <c r="P221" s="34" t="s">
        <v>48</v>
      </c>
      <c r="Q221" s="33" t="n">
        <f>545.7</f>
        <v>545.7</v>
      </c>
      <c r="R221" s="34" t="s">
        <v>51</v>
      </c>
      <c r="S221" s="35" t="n">
        <f>535.49</f>
        <v>535.49</v>
      </c>
      <c r="T221" s="32" t="n">
        <f>2232140</f>
        <v>2232140.0</v>
      </c>
      <c r="U221" s="32" t="n">
        <f>2027140</f>
        <v>2027140.0</v>
      </c>
      <c r="V221" s="32" t="n">
        <f>1211050579</f>
        <v>1.211050579E9</v>
      </c>
      <c r="W221" s="32" t="n">
        <f>1100220598</f>
        <v>1.100220598E9</v>
      </c>
      <c r="X221" s="36" t="n">
        <f>21</f>
        <v>21.0</v>
      </c>
    </row>
    <row r="222">
      <c r="A222" s="27" t="s">
        <v>42</v>
      </c>
      <c r="B222" s="27" t="s">
        <v>713</v>
      </c>
      <c r="C222" s="27" t="s">
        <v>714</v>
      </c>
      <c r="D222" s="27" t="s">
        <v>715</v>
      </c>
      <c r="E222" s="28" t="s">
        <v>46</v>
      </c>
      <c r="F222" s="29" t="s">
        <v>46</v>
      </c>
      <c r="G222" s="30" t="s">
        <v>46</v>
      </c>
      <c r="H222" s="31"/>
      <c r="I222" s="31" t="s">
        <v>47</v>
      </c>
      <c r="J222" s="32" t="n">
        <v>1.0</v>
      </c>
      <c r="K222" s="33" t="n">
        <f>1316</f>
        <v>1316.0</v>
      </c>
      <c r="L222" s="34" t="s">
        <v>48</v>
      </c>
      <c r="M222" s="33" t="n">
        <f>1443</f>
        <v>1443.0</v>
      </c>
      <c r="N222" s="34" t="s">
        <v>156</v>
      </c>
      <c r="O222" s="33" t="n">
        <f>1275</f>
        <v>1275.0</v>
      </c>
      <c r="P222" s="34" t="s">
        <v>73</v>
      </c>
      <c r="Q222" s="33" t="n">
        <f>1427</f>
        <v>1427.0</v>
      </c>
      <c r="R222" s="34" t="s">
        <v>51</v>
      </c>
      <c r="S222" s="35" t="n">
        <f>1368.62</f>
        <v>1368.62</v>
      </c>
      <c r="T222" s="32" t="n">
        <f>5387016</f>
        <v>5387016.0</v>
      </c>
      <c r="U222" s="32" t="n">
        <f>2975185</f>
        <v>2975185.0</v>
      </c>
      <c r="V222" s="32" t="n">
        <f>7410070342</f>
        <v>7.410070342E9</v>
      </c>
      <c r="W222" s="32" t="n">
        <f>4093544706</f>
        <v>4.093544706E9</v>
      </c>
      <c r="X222" s="36" t="n">
        <f>21</f>
        <v>21.0</v>
      </c>
    </row>
    <row r="223">
      <c r="A223" s="27" t="s">
        <v>42</v>
      </c>
      <c r="B223" s="27" t="s">
        <v>716</v>
      </c>
      <c r="C223" s="27" t="s">
        <v>717</v>
      </c>
      <c r="D223" s="27" t="s">
        <v>718</v>
      </c>
      <c r="E223" s="28" t="s">
        <v>46</v>
      </c>
      <c r="F223" s="29" t="s">
        <v>46</v>
      </c>
      <c r="G223" s="30" t="s">
        <v>46</v>
      </c>
      <c r="H223" s="31"/>
      <c r="I223" s="31" t="s">
        <v>47</v>
      </c>
      <c r="J223" s="32" t="n">
        <v>1.0</v>
      </c>
      <c r="K223" s="33" t="n">
        <f>1542</f>
        <v>1542.0</v>
      </c>
      <c r="L223" s="34" t="s">
        <v>48</v>
      </c>
      <c r="M223" s="33" t="n">
        <f>1596</f>
        <v>1596.0</v>
      </c>
      <c r="N223" s="34" t="s">
        <v>69</v>
      </c>
      <c r="O223" s="33" t="n">
        <f>1482</f>
        <v>1482.0</v>
      </c>
      <c r="P223" s="34" t="s">
        <v>73</v>
      </c>
      <c r="Q223" s="33" t="n">
        <f>1568</f>
        <v>1568.0</v>
      </c>
      <c r="R223" s="34" t="s">
        <v>51</v>
      </c>
      <c r="S223" s="35" t="n">
        <f>1546.29</f>
        <v>1546.29</v>
      </c>
      <c r="T223" s="32" t="n">
        <f>2387324</f>
        <v>2387324.0</v>
      </c>
      <c r="U223" s="32" t="n">
        <f>11</f>
        <v>11.0</v>
      </c>
      <c r="V223" s="32" t="n">
        <f>3710451856</f>
        <v>3.710451856E9</v>
      </c>
      <c r="W223" s="32" t="n">
        <f>15367</f>
        <v>15367.0</v>
      </c>
      <c r="X223" s="36" t="n">
        <f>21</f>
        <v>21.0</v>
      </c>
    </row>
    <row r="224">
      <c r="A224" s="27" t="s">
        <v>42</v>
      </c>
      <c r="B224" s="27" t="s">
        <v>719</v>
      </c>
      <c r="C224" s="27" t="s">
        <v>720</v>
      </c>
      <c r="D224" s="27" t="s">
        <v>721</v>
      </c>
      <c r="E224" s="28" t="s">
        <v>46</v>
      </c>
      <c r="F224" s="29" t="s">
        <v>46</v>
      </c>
      <c r="G224" s="30" t="s">
        <v>46</v>
      </c>
      <c r="H224" s="31"/>
      <c r="I224" s="31" t="s">
        <v>47</v>
      </c>
      <c r="J224" s="32" t="n">
        <v>10.0</v>
      </c>
      <c r="K224" s="33" t="n">
        <f>791</f>
        <v>791.0</v>
      </c>
      <c r="L224" s="34" t="s">
        <v>48</v>
      </c>
      <c r="M224" s="33" t="n">
        <f>901.8</f>
        <v>901.8</v>
      </c>
      <c r="N224" s="34" t="s">
        <v>116</v>
      </c>
      <c r="O224" s="33" t="n">
        <f>791</f>
        <v>791.0</v>
      </c>
      <c r="P224" s="34" t="s">
        <v>48</v>
      </c>
      <c r="Q224" s="33" t="n">
        <f>815.5</f>
        <v>815.5</v>
      </c>
      <c r="R224" s="34" t="s">
        <v>51</v>
      </c>
      <c r="S224" s="35" t="n">
        <f>806.41</f>
        <v>806.41</v>
      </c>
      <c r="T224" s="32" t="n">
        <f>8010</f>
        <v>8010.0</v>
      </c>
      <c r="U224" s="32" t="str">
        <f>"－"</f>
        <v>－</v>
      </c>
      <c r="V224" s="32" t="n">
        <f>6520610</f>
        <v>6520610.0</v>
      </c>
      <c r="W224" s="32" t="str">
        <f>"－"</f>
        <v>－</v>
      </c>
      <c r="X224" s="36" t="n">
        <f>17</f>
        <v>17.0</v>
      </c>
    </row>
    <row r="225">
      <c r="A225" s="27" t="s">
        <v>42</v>
      </c>
      <c r="B225" s="27" t="s">
        <v>722</v>
      </c>
      <c r="C225" s="27" t="s">
        <v>723</v>
      </c>
      <c r="D225" s="27" t="s">
        <v>724</v>
      </c>
      <c r="E225" s="28" t="s">
        <v>46</v>
      </c>
      <c r="F225" s="29" t="s">
        <v>46</v>
      </c>
      <c r="G225" s="30" t="s">
        <v>46</v>
      </c>
      <c r="H225" s="31"/>
      <c r="I225" s="31" t="s">
        <v>47</v>
      </c>
      <c r="J225" s="32" t="n">
        <v>10.0</v>
      </c>
      <c r="K225" s="33" t="n">
        <f>814.6</f>
        <v>814.6</v>
      </c>
      <c r="L225" s="34" t="s">
        <v>48</v>
      </c>
      <c r="M225" s="33" t="n">
        <f>908.2</f>
        <v>908.2</v>
      </c>
      <c r="N225" s="34" t="s">
        <v>116</v>
      </c>
      <c r="O225" s="33" t="n">
        <f>796.4</f>
        <v>796.4</v>
      </c>
      <c r="P225" s="34" t="s">
        <v>89</v>
      </c>
      <c r="Q225" s="33" t="n">
        <f>822.1</f>
        <v>822.1</v>
      </c>
      <c r="R225" s="34" t="s">
        <v>177</v>
      </c>
      <c r="S225" s="35" t="n">
        <f>816.24</f>
        <v>816.24</v>
      </c>
      <c r="T225" s="32" t="n">
        <f>2920</f>
        <v>2920.0</v>
      </c>
      <c r="U225" s="32" t="str">
        <f>"－"</f>
        <v>－</v>
      </c>
      <c r="V225" s="32" t="n">
        <f>2394220</f>
        <v>2394220.0</v>
      </c>
      <c r="W225" s="32" t="str">
        <f>"－"</f>
        <v>－</v>
      </c>
      <c r="X225" s="36" t="n">
        <f>16</f>
        <v>16.0</v>
      </c>
    </row>
    <row r="226">
      <c r="A226" s="27" t="s">
        <v>42</v>
      </c>
      <c r="B226" s="27" t="s">
        <v>725</v>
      </c>
      <c r="C226" s="27" t="s">
        <v>726</v>
      </c>
      <c r="D226" s="27" t="s">
        <v>727</v>
      </c>
      <c r="E226" s="28" t="s">
        <v>46</v>
      </c>
      <c r="F226" s="29" t="s">
        <v>46</v>
      </c>
      <c r="G226" s="30" t="s">
        <v>46</v>
      </c>
      <c r="H226" s="31"/>
      <c r="I226" s="31" t="s">
        <v>47</v>
      </c>
      <c r="J226" s="32" t="n">
        <v>1.0</v>
      </c>
      <c r="K226" s="33" t="n">
        <f>12655</f>
        <v>12655.0</v>
      </c>
      <c r="L226" s="34" t="s">
        <v>48</v>
      </c>
      <c r="M226" s="33" t="n">
        <f>12895</f>
        <v>12895.0</v>
      </c>
      <c r="N226" s="34" t="s">
        <v>69</v>
      </c>
      <c r="O226" s="33" t="n">
        <f>12270</f>
        <v>12270.0</v>
      </c>
      <c r="P226" s="34" t="s">
        <v>73</v>
      </c>
      <c r="Q226" s="33" t="n">
        <f>12695</f>
        <v>12695.0</v>
      </c>
      <c r="R226" s="34" t="s">
        <v>51</v>
      </c>
      <c r="S226" s="35" t="n">
        <f>12633.1</f>
        <v>12633.1</v>
      </c>
      <c r="T226" s="32" t="n">
        <f>446739</f>
        <v>446739.0</v>
      </c>
      <c r="U226" s="32" t="n">
        <f>20</f>
        <v>20.0</v>
      </c>
      <c r="V226" s="32" t="n">
        <f>5620273675</f>
        <v>5.620273675E9</v>
      </c>
      <c r="W226" s="32" t="n">
        <f>254000</f>
        <v>254000.0</v>
      </c>
      <c r="X226" s="36" t="n">
        <f>21</f>
        <v>21.0</v>
      </c>
    </row>
    <row r="227">
      <c r="A227" s="27" t="s">
        <v>42</v>
      </c>
      <c r="B227" s="27" t="s">
        <v>728</v>
      </c>
      <c r="C227" s="27" t="s">
        <v>729</v>
      </c>
      <c r="D227" s="27" t="s">
        <v>730</v>
      </c>
      <c r="E227" s="28" t="s">
        <v>46</v>
      </c>
      <c r="F227" s="29" t="s">
        <v>46</v>
      </c>
      <c r="G227" s="30" t="s">
        <v>46</v>
      </c>
      <c r="H227" s="31"/>
      <c r="I227" s="31" t="s">
        <v>47</v>
      </c>
      <c r="J227" s="32" t="n">
        <v>1.0</v>
      </c>
      <c r="K227" s="33" t="n">
        <f>37010</f>
        <v>37010.0</v>
      </c>
      <c r="L227" s="34" t="s">
        <v>48</v>
      </c>
      <c r="M227" s="33" t="n">
        <f>38680</f>
        <v>38680.0</v>
      </c>
      <c r="N227" s="34" t="s">
        <v>177</v>
      </c>
      <c r="O227" s="33" t="n">
        <f>36870</f>
        <v>36870.0</v>
      </c>
      <c r="P227" s="34" t="s">
        <v>231</v>
      </c>
      <c r="Q227" s="33" t="n">
        <f>38630</f>
        <v>38630.0</v>
      </c>
      <c r="R227" s="34" t="s">
        <v>51</v>
      </c>
      <c r="S227" s="35" t="n">
        <f>37858.57</f>
        <v>37858.57</v>
      </c>
      <c r="T227" s="32" t="n">
        <f>120021</f>
        <v>120021.0</v>
      </c>
      <c r="U227" s="32" t="n">
        <f>66196</f>
        <v>66196.0</v>
      </c>
      <c r="V227" s="32" t="n">
        <f>4571487842</f>
        <v>4.571487842E9</v>
      </c>
      <c r="W227" s="32" t="n">
        <f>2525689692</f>
        <v>2.525689692E9</v>
      </c>
      <c r="X227" s="36" t="n">
        <f>21</f>
        <v>21.0</v>
      </c>
    </row>
    <row r="228">
      <c r="A228" s="27" t="s">
        <v>42</v>
      </c>
      <c r="B228" s="27" t="s">
        <v>731</v>
      </c>
      <c r="C228" s="27" t="s">
        <v>732</v>
      </c>
      <c r="D228" s="27" t="s">
        <v>733</v>
      </c>
      <c r="E228" s="28" t="s">
        <v>46</v>
      </c>
      <c r="F228" s="29" t="s">
        <v>46</v>
      </c>
      <c r="G228" s="30" t="s">
        <v>46</v>
      </c>
      <c r="H228" s="31"/>
      <c r="I228" s="31" t="s">
        <v>47</v>
      </c>
      <c r="J228" s="32" t="n">
        <v>1.0</v>
      </c>
      <c r="K228" s="33" t="n">
        <f>27405</f>
        <v>27405.0</v>
      </c>
      <c r="L228" s="34" t="s">
        <v>48</v>
      </c>
      <c r="M228" s="33" t="n">
        <f>27630</f>
        <v>27630.0</v>
      </c>
      <c r="N228" s="34" t="s">
        <v>231</v>
      </c>
      <c r="O228" s="33" t="n">
        <f>24915</f>
        <v>24915.0</v>
      </c>
      <c r="P228" s="34" t="s">
        <v>177</v>
      </c>
      <c r="Q228" s="33" t="n">
        <f>24980</f>
        <v>24980.0</v>
      </c>
      <c r="R228" s="34" t="s">
        <v>51</v>
      </c>
      <c r="S228" s="35" t="n">
        <f>26123.81</f>
        <v>26123.81</v>
      </c>
      <c r="T228" s="32" t="n">
        <f>21235</f>
        <v>21235.0</v>
      </c>
      <c r="U228" s="32" t="str">
        <f>"－"</f>
        <v>－</v>
      </c>
      <c r="V228" s="32" t="n">
        <f>554930750</f>
        <v>5.5493075E8</v>
      </c>
      <c r="W228" s="32" t="str">
        <f>"－"</f>
        <v>－</v>
      </c>
      <c r="X228" s="36" t="n">
        <f>21</f>
        <v>21.0</v>
      </c>
    </row>
    <row r="229">
      <c r="A229" s="27" t="s">
        <v>42</v>
      </c>
      <c r="B229" s="27" t="s">
        <v>734</v>
      </c>
      <c r="C229" s="27" t="s">
        <v>735</v>
      </c>
      <c r="D229" s="27" t="s">
        <v>736</v>
      </c>
      <c r="E229" s="28" t="s">
        <v>46</v>
      </c>
      <c r="F229" s="29" t="s">
        <v>46</v>
      </c>
      <c r="G229" s="30" t="s">
        <v>46</v>
      </c>
      <c r="H229" s="31"/>
      <c r="I229" s="31" t="s">
        <v>47</v>
      </c>
      <c r="J229" s="32" t="n">
        <v>10.0</v>
      </c>
      <c r="K229" s="33" t="n">
        <f>210.4</f>
        <v>210.4</v>
      </c>
      <c r="L229" s="34" t="s">
        <v>48</v>
      </c>
      <c r="M229" s="33" t="n">
        <f>215.3</f>
        <v>215.3</v>
      </c>
      <c r="N229" s="34" t="s">
        <v>61</v>
      </c>
      <c r="O229" s="33" t="n">
        <f>200.2</f>
        <v>200.2</v>
      </c>
      <c r="P229" s="34" t="s">
        <v>68</v>
      </c>
      <c r="Q229" s="33" t="n">
        <f>209.3</f>
        <v>209.3</v>
      </c>
      <c r="R229" s="34" t="s">
        <v>51</v>
      </c>
      <c r="S229" s="35" t="n">
        <f>207.93</f>
        <v>207.93</v>
      </c>
      <c r="T229" s="32" t="n">
        <f>60120</f>
        <v>60120.0</v>
      </c>
      <c r="U229" s="32" t="str">
        <f>"－"</f>
        <v>－</v>
      </c>
      <c r="V229" s="32" t="n">
        <f>12511455</f>
        <v>1.2511455E7</v>
      </c>
      <c r="W229" s="32" t="str">
        <f>"－"</f>
        <v>－</v>
      </c>
      <c r="X229" s="36" t="n">
        <f>21</f>
        <v>21.0</v>
      </c>
    </row>
    <row r="230">
      <c r="A230" s="27" t="s">
        <v>42</v>
      </c>
      <c r="B230" s="27" t="s">
        <v>737</v>
      </c>
      <c r="C230" s="27" t="s">
        <v>738</v>
      </c>
      <c r="D230" s="27" t="s">
        <v>739</v>
      </c>
      <c r="E230" s="28" t="s">
        <v>46</v>
      </c>
      <c r="F230" s="29" t="s">
        <v>46</v>
      </c>
      <c r="G230" s="30" t="s">
        <v>46</v>
      </c>
      <c r="H230" s="31"/>
      <c r="I230" s="31" t="s">
        <v>47</v>
      </c>
      <c r="J230" s="32" t="n">
        <v>10.0</v>
      </c>
      <c r="K230" s="33" t="n">
        <f>762.6</f>
        <v>762.6</v>
      </c>
      <c r="L230" s="34" t="s">
        <v>48</v>
      </c>
      <c r="M230" s="33" t="n">
        <f>771.5</f>
        <v>771.5</v>
      </c>
      <c r="N230" s="34" t="s">
        <v>73</v>
      </c>
      <c r="O230" s="33" t="n">
        <f>745.8</f>
        <v>745.8</v>
      </c>
      <c r="P230" s="34" t="s">
        <v>69</v>
      </c>
      <c r="Q230" s="33" t="n">
        <f>749.5</f>
        <v>749.5</v>
      </c>
      <c r="R230" s="34" t="s">
        <v>51</v>
      </c>
      <c r="S230" s="35" t="n">
        <f>756.52</f>
        <v>756.52</v>
      </c>
      <c r="T230" s="32" t="n">
        <f>7897940</f>
        <v>7897940.0</v>
      </c>
      <c r="U230" s="32" t="n">
        <f>7076650</f>
        <v>7076650.0</v>
      </c>
      <c r="V230" s="32" t="n">
        <f>5925061853</f>
        <v>5.925061853E9</v>
      </c>
      <c r="W230" s="32" t="n">
        <f>5302882036</f>
        <v>5.302882036E9</v>
      </c>
      <c r="X230" s="36" t="n">
        <f>21</f>
        <v>21.0</v>
      </c>
    </row>
    <row r="231">
      <c r="A231" s="27" t="s">
        <v>42</v>
      </c>
      <c r="B231" s="27" t="s">
        <v>740</v>
      </c>
      <c r="C231" s="27" t="s">
        <v>741</v>
      </c>
      <c r="D231" s="27" t="s">
        <v>742</v>
      </c>
      <c r="E231" s="28" t="s">
        <v>46</v>
      </c>
      <c r="F231" s="29" t="s">
        <v>46</v>
      </c>
      <c r="G231" s="30" t="s">
        <v>46</v>
      </c>
      <c r="H231" s="31"/>
      <c r="I231" s="31" t="s">
        <v>47</v>
      </c>
      <c r="J231" s="32" t="n">
        <v>1.0</v>
      </c>
      <c r="K231" s="33" t="n">
        <f>993</f>
        <v>993.0</v>
      </c>
      <c r="L231" s="34" t="s">
        <v>48</v>
      </c>
      <c r="M231" s="33" t="n">
        <f>1057</f>
        <v>1057.0</v>
      </c>
      <c r="N231" s="34" t="s">
        <v>69</v>
      </c>
      <c r="O231" s="33" t="n">
        <f>977</f>
        <v>977.0</v>
      </c>
      <c r="P231" s="34" t="s">
        <v>73</v>
      </c>
      <c r="Q231" s="33" t="n">
        <f>1047</f>
        <v>1047.0</v>
      </c>
      <c r="R231" s="34" t="s">
        <v>51</v>
      </c>
      <c r="S231" s="35" t="n">
        <f>1025</f>
        <v>1025.0</v>
      </c>
      <c r="T231" s="32" t="n">
        <f>455970</f>
        <v>455970.0</v>
      </c>
      <c r="U231" s="32" t="str">
        <f>"－"</f>
        <v>－</v>
      </c>
      <c r="V231" s="32" t="n">
        <f>472065778</f>
        <v>4.72065778E8</v>
      </c>
      <c r="W231" s="32" t="str">
        <f>"－"</f>
        <v>－</v>
      </c>
      <c r="X231" s="36" t="n">
        <f>21</f>
        <v>21.0</v>
      </c>
    </row>
    <row r="232">
      <c r="A232" s="27" t="s">
        <v>42</v>
      </c>
      <c r="B232" s="27" t="s">
        <v>743</v>
      </c>
      <c r="C232" s="27" t="s">
        <v>744</v>
      </c>
      <c r="D232" s="27" t="s">
        <v>745</v>
      </c>
      <c r="E232" s="28" t="s">
        <v>46</v>
      </c>
      <c r="F232" s="29" t="s">
        <v>46</v>
      </c>
      <c r="G232" s="30" t="s">
        <v>46</v>
      </c>
      <c r="H232" s="31"/>
      <c r="I232" s="31" t="s">
        <v>47</v>
      </c>
      <c r="J232" s="32" t="n">
        <v>1.0</v>
      </c>
      <c r="K232" s="33" t="n">
        <f>1034</f>
        <v>1034.0</v>
      </c>
      <c r="L232" s="34" t="s">
        <v>48</v>
      </c>
      <c r="M232" s="33" t="n">
        <f>1062</f>
        <v>1062.0</v>
      </c>
      <c r="N232" s="34" t="s">
        <v>156</v>
      </c>
      <c r="O232" s="33" t="n">
        <f>1008</f>
        <v>1008.0</v>
      </c>
      <c r="P232" s="34" t="s">
        <v>73</v>
      </c>
      <c r="Q232" s="33" t="n">
        <f>1052</f>
        <v>1052.0</v>
      </c>
      <c r="R232" s="34" t="s">
        <v>51</v>
      </c>
      <c r="S232" s="35" t="n">
        <f>1043.95</f>
        <v>1043.95</v>
      </c>
      <c r="T232" s="32" t="n">
        <f>91926</f>
        <v>91926.0</v>
      </c>
      <c r="U232" s="32" t="str">
        <f>"－"</f>
        <v>－</v>
      </c>
      <c r="V232" s="32" t="n">
        <f>95671752</f>
        <v>9.5671752E7</v>
      </c>
      <c r="W232" s="32" t="str">
        <f>"－"</f>
        <v>－</v>
      </c>
      <c r="X232" s="36" t="n">
        <f>21</f>
        <v>21.0</v>
      </c>
    </row>
    <row r="233">
      <c r="A233" s="27" t="s">
        <v>42</v>
      </c>
      <c r="B233" s="27" t="s">
        <v>746</v>
      </c>
      <c r="C233" s="27" t="s">
        <v>747</v>
      </c>
      <c r="D233" s="27" t="s">
        <v>748</v>
      </c>
      <c r="E233" s="28" t="s">
        <v>46</v>
      </c>
      <c r="F233" s="29" t="s">
        <v>46</v>
      </c>
      <c r="G233" s="30" t="s">
        <v>46</v>
      </c>
      <c r="H233" s="31"/>
      <c r="I233" s="31" t="s">
        <v>47</v>
      </c>
      <c r="J233" s="32" t="n">
        <v>1.0</v>
      </c>
      <c r="K233" s="33" t="n">
        <f>820</f>
        <v>820.0</v>
      </c>
      <c r="L233" s="34" t="s">
        <v>48</v>
      </c>
      <c r="M233" s="33" t="n">
        <f>820</f>
        <v>820.0</v>
      </c>
      <c r="N233" s="34" t="s">
        <v>48</v>
      </c>
      <c r="O233" s="33" t="n">
        <f>721</f>
        <v>721.0</v>
      </c>
      <c r="P233" s="34" t="s">
        <v>68</v>
      </c>
      <c r="Q233" s="33" t="n">
        <f>781</f>
        <v>781.0</v>
      </c>
      <c r="R233" s="34" t="s">
        <v>51</v>
      </c>
      <c r="S233" s="35" t="n">
        <f>765.05</f>
        <v>765.05</v>
      </c>
      <c r="T233" s="32" t="n">
        <f>565690</f>
        <v>565690.0</v>
      </c>
      <c r="U233" s="32" t="str">
        <f>"－"</f>
        <v>－</v>
      </c>
      <c r="V233" s="32" t="n">
        <f>426413814</f>
        <v>4.26413814E8</v>
      </c>
      <c r="W233" s="32" t="str">
        <f>"－"</f>
        <v>－</v>
      </c>
      <c r="X233" s="36" t="n">
        <f>21</f>
        <v>21.0</v>
      </c>
    </row>
    <row r="234">
      <c r="A234" s="27" t="s">
        <v>42</v>
      </c>
      <c r="B234" s="27" t="s">
        <v>749</v>
      </c>
      <c r="C234" s="27" t="s">
        <v>750</v>
      </c>
      <c r="D234" s="27" t="s">
        <v>751</v>
      </c>
      <c r="E234" s="28" t="s">
        <v>46</v>
      </c>
      <c r="F234" s="29" t="s">
        <v>46</v>
      </c>
      <c r="G234" s="30" t="s">
        <v>46</v>
      </c>
      <c r="H234" s="31"/>
      <c r="I234" s="31" t="s">
        <v>47</v>
      </c>
      <c r="J234" s="32" t="n">
        <v>10.0</v>
      </c>
      <c r="K234" s="33" t="n">
        <f>204.3</f>
        <v>204.3</v>
      </c>
      <c r="L234" s="34" t="s">
        <v>48</v>
      </c>
      <c r="M234" s="33" t="n">
        <f>214.8</f>
        <v>214.8</v>
      </c>
      <c r="N234" s="34" t="s">
        <v>69</v>
      </c>
      <c r="O234" s="33" t="n">
        <f>201.7</f>
        <v>201.7</v>
      </c>
      <c r="P234" s="34" t="s">
        <v>48</v>
      </c>
      <c r="Q234" s="33" t="n">
        <f>211.3</f>
        <v>211.3</v>
      </c>
      <c r="R234" s="34" t="s">
        <v>51</v>
      </c>
      <c r="S234" s="35" t="n">
        <f>208.9</f>
        <v>208.9</v>
      </c>
      <c r="T234" s="32" t="n">
        <f>15162770</f>
        <v>1.516277E7</v>
      </c>
      <c r="U234" s="32" t="n">
        <f>4730</f>
        <v>4730.0</v>
      </c>
      <c r="V234" s="32" t="n">
        <f>3130849206</f>
        <v>3.130849206E9</v>
      </c>
      <c r="W234" s="32" t="n">
        <f>999922</f>
        <v>999922.0</v>
      </c>
      <c r="X234" s="36" t="n">
        <f>21</f>
        <v>21.0</v>
      </c>
    </row>
    <row r="235">
      <c r="A235" s="27" t="s">
        <v>42</v>
      </c>
      <c r="B235" s="27" t="s">
        <v>752</v>
      </c>
      <c r="C235" s="27" t="s">
        <v>753</v>
      </c>
      <c r="D235" s="27" t="s">
        <v>754</v>
      </c>
      <c r="E235" s="28" t="s">
        <v>46</v>
      </c>
      <c r="F235" s="29" t="s">
        <v>46</v>
      </c>
      <c r="G235" s="30" t="s">
        <v>46</v>
      </c>
      <c r="H235" s="31"/>
      <c r="I235" s="31" t="s">
        <v>47</v>
      </c>
      <c r="J235" s="32" t="n">
        <v>10.0</v>
      </c>
      <c r="K235" s="33" t="n">
        <f>203.2</f>
        <v>203.2</v>
      </c>
      <c r="L235" s="34" t="s">
        <v>48</v>
      </c>
      <c r="M235" s="33" t="n">
        <f>208</f>
        <v>208.0</v>
      </c>
      <c r="N235" s="34" t="s">
        <v>89</v>
      </c>
      <c r="O235" s="33" t="n">
        <f>195.6</f>
        <v>195.6</v>
      </c>
      <c r="P235" s="34" t="s">
        <v>73</v>
      </c>
      <c r="Q235" s="33" t="n">
        <f>198.8</f>
        <v>198.8</v>
      </c>
      <c r="R235" s="34" t="s">
        <v>51</v>
      </c>
      <c r="S235" s="35" t="n">
        <f>199.39</f>
        <v>199.39</v>
      </c>
      <c r="T235" s="32" t="n">
        <f>1050380</f>
        <v>1050380.0</v>
      </c>
      <c r="U235" s="32" t="n">
        <f>500</f>
        <v>500.0</v>
      </c>
      <c r="V235" s="32" t="n">
        <f>209418111</f>
        <v>2.09418111E8</v>
      </c>
      <c r="W235" s="32" t="n">
        <f>99400</f>
        <v>99400.0</v>
      </c>
      <c r="X235" s="36" t="n">
        <f>21</f>
        <v>21.0</v>
      </c>
    </row>
    <row r="236">
      <c r="A236" s="27" t="s">
        <v>42</v>
      </c>
      <c r="B236" s="27" t="s">
        <v>755</v>
      </c>
      <c r="C236" s="27" t="s">
        <v>756</v>
      </c>
      <c r="D236" s="27" t="s">
        <v>757</v>
      </c>
      <c r="E236" s="28" t="s">
        <v>46</v>
      </c>
      <c r="F236" s="29" t="s">
        <v>46</v>
      </c>
      <c r="G236" s="30" t="s">
        <v>46</v>
      </c>
      <c r="H236" s="31"/>
      <c r="I236" s="31" t="s">
        <v>47</v>
      </c>
      <c r="J236" s="32" t="n">
        <v>10.0</v>
      </c>
      <c r="K236" s="33" t="n">
        <f>203</f>
        <v>203.0</v>
      </c>
      <c r="L236" s="34" t="s">
        <v>48</v>
      </c>
      <c r="M236" s="33" t="n">
        <f>219.1</f>
        <v>219.1</v>
      </c>
      <c r="N236" s="34" t="s">
        <v>61</v>
      </c>
      <c r="O236" s="33" t="n">
        <f>196.1</f>
        <v>196.1</v>
      </c>
      <c r="P236" s="34" t="s">
        <v>73</v>
      </c>
      <c r="Q236" s="33" t="n">
        <f>199.7</f>
        <v>199.7</v>
      </c>
      <c r="R236" s="34" t="s">
        <v>51</v>
      </c>
      <c r="S236" s="35" t="n">
        <f>200.04</f>
        <v>200.04</v>
      </c>
      <c r="T236" s="32" t="n">
        <f>549660</f>
        <v>549660.0</v>
      </c>
      <c r="U236" s="32" t="n">
        <f>2590</f>
        <v>2590.0</v>
      </c>
      <c r="V236" s="32" t="n">
        <f>109925590</f>
        <v>1.0992559E8</v>
      </c>
      <c r="W236" s="32" t="n">
        <f>482356</f>
        <v>482356.0</v>
      </c>
      <c r="X236" s="36" t="n">
        <f>21</f>
        <v>21.0</v>
      </c>
    </row>
    <row r="237">
      <c r="A237" s="27" t="s">
        <v>42</v>
      </c>
      <c r="B237" s="27" t="s">
        <v>758</v>
      </c>
      <c r="C237" s="27" t="s">
        <v>759</v>
      </c>
      <c r="D237" s="27" t="s">
        <v>760</v>
      </c>
      <c r="E237" s="28" t="s">
        <v>46</v>
      </c>
      <c r="F237" s="29" t="s">
        <v>46</v>
      </c>
      <c r="G237" s="30" t="s">
        <v>46</v>
      </c>
      <c r="H237" s="31"/>
      <c r="I237" s="31" t="s">
        <v>47</v>
      </c>
      <c r="J237" s="32" t="n">
        <v>10.0</v>
      </c>
      <c r="K237" s="33" t="n">
        <f>199.5</f>
        <v>199.5</v>
      </c>
      <c r="L237" s="34" t="s">
        <v>48</v>
      </c>
      <c r="M237" s="33" t="n">
        <f>222</f>
        <v>222.0</v>
      </c>
      <c r="N237" s="34" t="s">
        <v>116</v>
      </c>
      <c r="O237" s="33" t="n">
        <f>194.3</f>
        <v>194.3</v>
      </c>
      <c r="P237" s="34" t="s">
        <v>73</v>
      </c>
      <c r="Q237" s="33" t="n">
        <f>197.8</f>
        <v>197.8</v>
      </c>
      <c r="R237" s="34" t="s">
        <v>51</v>
      </c>
      <c r="S237" s="35" t="n">
        <f>198.5</f>
        <v>198.5</v>
      </c>
      <c r="T237" s="32" t="n">
        <f>1430610</f>
        <v>1430610.0</v>
      </c>
      <c r="U237" s="32" t="n">
        <f>3250</f>
        <v>3250.0</v>
      </c>
      <c r="V237" s="32" t="n">
        <f>283991265</f>
        <v>2.83991265E8</v>
      </c>
      <c r="W237" s="32" t="n">
        <f>599927</f>
        <v>599927.0</v>
      </c>
      <c r="X237" s="36" t="n">
        <f>21</f>
        <v>21.0</v>
      </c>
    </row>
    <row r="238">
      <c r="A238" s="27" t="s">
        <v>42</v>
      </c>
      <c r="B238" s="27" t="s">
        <v>761</v>
      </c>
      <c r="C238" s="27" t="s">
        <v>762</v>
      </c>
      <c r="D238" s="27" t="s">
        <v>763</v>
      </c>
      <c r="E238" s="28" t="s">
        <v>46</v>
      </c>
      <c r="F238" s="29" t="s">
        <v>46</v>
      </c>
      <c r="G238" s="30" t="s">
        <v>46</v>
      </c>
      <c r="H238" s="31"/>
      <c r="I238" s="31" t="s">
        <v>47</v>
      </c>
      <c r="J238" s="32" t="n">
        <v>10.0</v>
      </c>
      <c r="K238" s="33" t="n">
        <f>201.6</f>
        <v>201.6</v>
      </c>
      <c r="L238" s="34" t="s">
        <v>48</v>
      </c>
      <c r="M238" s="33" t="n">
        <f>221.6</f>
        <v>221.6</v>
      </c>
      <c r="N238" s="34" t="s">
        <v>73</v>
      </c>
      <c r="O238" s="33" t="n">
        <f>201.6</f>
        <v>201.6</v>
      </c>
      <c r="P238" s="34" t="s">
        <v>48</v>
      </c>
      <c r="Q238" s="33" t="n">
        <f>211</f>
        <v>211.0</v>
      </c>
      <c r="R238" s="34" t="s">
        <v>51</v>
      </c>
      <c r="S238" s="35" t="n">
        <f>208.22</f>
        <v>208.22</v>
      </c>
      <c r="T238" s="32" t="n">
        <f>1308760</f>
        <v>1308760.0</v>
      </c>
      <c r="U238" s="32" t="n">
        <f>1200000</f>
        <v>1200000.0</v>
      </c>
      <c r="V238" s="32" t="n">
        <f>274611462</f>
        <v>2.74611462E8</v>
      </c>
      <c r="W238" s="32" t="n">
        <f>252162990</f>
        <v>2.5216299E8</v>
      </c>
      <c r="X238" s="36" t="n">
        <f>21</f>
        <v>21.0</v>
      </c>
    </row>
    <row r="239">
      <c r="A239" s="27" t="s">
        <v>42</v>
      </c>
      <c r="B239" s="27" t="s">
        <v>764</v>
      </c>
      <c r="C239" s="27" t="s">
        <v>765</v>
      </c>
      <c r="D239" s="27" t="s">
        <v>766</v>
      </c>
      <c r="E239" s="28" t="s">
        <v>46</v>
      </c>
      <c r="F239" s="29" t="s">
        <v>46</v>
      </c>
      <c r="G239" s="30" t="s">
        <v>46</v>
      </c>
      <c r="H239" s="31"/>
      <c r="I239" s="31" t="s">
        <v>47</v>
      </c>
      <c r="J239" s="32" t="n">
        <v>10.0</v>
      </c>
      <c r="K239" s="33" t="n">
        <f>928.9</f>
        <v>928.9</v>
      </c>
      <c r="L239" s="34" t="s">
        <v>48</v>
      </c>
      <c r="M239" s="33" t="n">
        <f>941</f>
        <v>941.0</v>
      </c>
      <c r="N239" s="34" t="s">
        <v>68</v>
      </c>
      <c r="O239" s="33" t="n">
        <f>920.3</f>
        <v>920.3</v>
      </c>
      <c r="P239" s="34" t="s">
        <v>61</v>
      </c>
      <c r="Q239" s="33" t="n">
        <f>933</f>
        <v>933.0</v>
      </c>
      <c r="R239" s="34" t="s">
        <v>51</v>
      </c>
      <c r="S239" s="35" t="n">
        <f>931.34</f>
        <v>931.34</v>
      </c>
      <c r="T239" s="32" t="n">
        <f>4251310</f>
        <v>4251310.0</v>
      </c>
      <c r="U239" s="32" t="n">
        <f>3128650</f>
        <v>3128650.0</v>
      </c>
      <c r="V239" s="32" t="n">
        <f>3964919352</f>
        <v>3.964919352E9</v>
      </c>
      <c r="W239" s="32" t="n">
        <f>2919315562</f>
        <v>2.919315562E9</v>
      </c>
      <c r="X239" s="36" t="n">
        <f>21</f>
        <v>21.0</v>
      </c>
    </row>
    <row r="240">
      <c r="A240" s="27" t="s">
        <v>42</v>
      </c>
      <c r="B240" s="27" t="s">
        <v>767</v>
      </c>
      <c r="C240" s="27" t="s">
        <v>768</v>
      </c>
      <c r="D240" s="27" t="s">
        <v>769</v>
      </c>
      <c r="E240" s="28" t="s">
        <v>46</v>
      </c>
      <c r="F240" s="29" t="s">
        <v>46</v>
      </c>
      <c r="G240" s="30" t="s">
        <v>46</v>
      </c>
      <c r="H240" s="31"/>
      <c r="I240" s="31" t="s">
        <v>47</v>
      </c>
      <c r="J240" s="32" t="n">
        <v>10.0</v>
      </c>
      <c r="K240" s="33" t="n">
        <f>1051.5</f>
        <v>1051.5</v>
      </c>
      <c r="L240" s="34" t="s">
        <v>48</v>
      </c>
      <c r="M240" s="33" t="n">
        <f>1058.5</f>
        <v>1058.5</v>
      </c>
      <c r="N240" s="34" t="s">
        <v>69</v>
      </c>
      <c r="O240" s="33" t="n">
        <f>1005</f>
        <v>1005.0</v>
      </c>
      <c r="P240" s="34" t="s">
        <v>73</v>
      </c>
      <c r="Q240" s="33" t="n">
        <f>1048</f>
        <v>1048.0</v>
      </c>
      <c r="R240" s="34" t="s">
        <v>51</v>
      </c>
      <c r="S240" s="35" t="n">
        <f>1047.43</f>
        <v>1047.43</v>
      </c>
      <c r="T240" s="32" t="n">
        <f>5464460</f>
        <v>5464460.0</v>
      </c>
      <c r="U240" s="32" t="n">
        <f>4223220</f>
        <v>4223220.0</v>
      </c>
      <c r="V240" s="32" t="n">
        <f>5747045319</f>
        <v>5.747045319E9</v>
      </c>
      <c r="W240" s="32" t="n">
        <f>4446533784</f>
        <v>4.446533784E9</v>
      </c>
      <c r="X240" s="36" t="n">
        <f>21</f>
        <v>21.0</v>
      </c>
    </row>
    <row r="241">
      <c r="A241" s="27" t="s">
        <v>42</v>
      </c>
      <c r="B241" s="27" t="s">
        <v>770</v>
      </c>
      <c r="C241" s="27" t="s">
        <v>771</v>
      </c>
      <c r="D241" s="27" t="s">
        <v>772</v>
      </c>
      <c r="E241" s="28" t="s">
        <v>46</v>
      </c>
      <c r="F241" s="29" t="s">
        <v>46</v>
      </c>
      <c r="G241" s="30" t="s">
        <v>46</v>
      </c>
      <c r="H241" s="31"/>
      <c r="I241" s="31" t="s">
        <v>47</v>
      </c>
      <c r="J241" s="32" t="n">
        <v>10.0</v>
      </c>
      <c r="K241" s="33" t="n">
        <f>796</f>
        <v>796.0</v>
      </c>
      <c r="L241" s="34" t="s">
        <v>48</v>
      </c>
      <c r="M241" s="33" t="n">
        <f>842.5</f>
        <v>842.5</v>
      </c>
      <c r="N241" s="34" t="s">
        <v>116</v>
      </c>
      <c r="O241" s="33" t="n">
        <f>791</f>
        <v>791.0</v>
      </c>
      <c r="P241" s="34" t="s">
        <v>48</v>
      </c>
      <c r="Q241" s="33" t="n">
        <f>814.6</f>
        <v>814.6</v>
      </c>
      <c r="R241" s="34" t="s">
        <v>51</v>
      </c>
      <c r="S241" s="35" t="n">
        <f>807.1</f>
        <v>807.1</v>
      </c>
      <c r="T241" s="32" t="n">
        <f>3851970</f>
        <v>3851970.0</v>
      </c>
      <c r="U241" s="32" t="n">
        <f>3378950</f>
        <v>3378950.0</v>
      </c>
      <c r="V241" s="32" t="n">
        <f>3114811267</f>
        <v>3.114811267E9</v>
      </c>
      <c r="W241" s="32" t="n">
        <f>2732873347</f>
        <v>2.732873347E9</v>
      </c>
      <c r="X241" s="36" t="n">
        <f>21</f>
        <v>21.0</v>
      </c>
    </row>
    <row r="242">
      <c r="A242" s="27" t="s">
        <v>42</v>
      </c>
      <c r="B242" s="27" t="s">
        <v>773</v>
      </c>
      <c r="C242" s="27" t="s">
        <v>774</v>
      </c>
      <c r="D242" s="27" t="s">
        <v>775</v>
      </c>
      <c r="E242" s="28" t="s">
        <v>46</v>
      </c>
      <c r="F242" s="29" t="s">
        <v>46</v>
      </c>
      <c r="G242" s="30" t="s">
        <v>46</v>
      </c>
      <c r="H242" s="31"/>
      <c r="I242" s="31" t="s">
        <v>47</v>
      </c>
      <c r="J242" s="32" t="n">
        <v>10.0</v>
      </c>
      <c r="K242" s="33" t="n">
        <f>2041.5</f>
        <v>2041.5</v>
      </c>
      <c r="L242" s="34" t="s">
        <v>48</v>
      </c>
      <c r="M242" s="33" t="n">
        <f>2079</f>
        <v>2079.0</v>
      </c>
      <c r="N242" s="34" t="s">
        <v>69</v>
      </c>
      <c r="O242" s="33" t="n">
        <f>1977</f>
        <v>1977.0</v>
      </c>
      <c r="P242" s="34" t="s">
        <v>73</v>
      </c>
      <c r="Q242" s="33" t="n">
        <f>2053</f>
        <v>2053.0</v>
      </c>
      <c r="R242" s="34" t="s">
        <v>51</v>
      </c>
      <c r="S242" s="35" t="n">
        <f>2041.26</f>
        <v>2041.26</v>
      </c>
      <c r="T242" s="32" t="n">
        <f>832280</f>
        <v>832280.0</v>
      </c>
      <c r="U242" s="32" t="n">
        <f>625920</f>
        <v>625920.0</v>
      </c>
      <c r="V242" s="32" t="n">
        <f>1702261882</f>
        <v>1.702261882E9</v>
      </c>
      <c r="W242" s="32" t="n">
        <f>1281797342</f>
        <v>1.281797342E9</v>
      </c>
      <c r="X242" s="36" t="n">
        <f>21</f>
        <v>21.0</v>
      </c>
    </row>
    <row r="243">
      <c r="A243" s="27" t="s">
        <v>42</v>
      </c>
      <c r="B243" s="27" t="s">
        <v>776</v>
      </c>
      <c r="C243" s="27" t="s">
        <v>777</v>
      </c>
      <c r="D243" s="27" t="s">
        <v>778</v>
      </c>
      <c r="E243" s="28" t="s">
        <v>46</v>
      </c>
      <c r="F243" s="29" t="s">
        <v>46</v>
      </c>
      <c r="G243" s="30" t="s">
        <v>46</v>
      </c>
      <c r="H243" s="31"/>
      <c r="I243" s="31" t="s">
        <v>47</v>
      </c>
      <c r="J243" s="32" t="n">
        <v>10.0</v>
      </c>
      <c r="K243" s="33" t="n">
        <f>1408</f>
        <v>1408.0</v>
      </c>
      <c r="L243" s="34" t="s">
        <v>48</v>
      </c>
      <c r="M243" s="33" t="n">
        <f>1466</f>
        <v>1466.0</v>
      </c>
      <c r="N243" s="34" t="s">
        <v>177</v>
      </c>
      <c r="O243" s="33" t="n">
        <f>1401</f>
        <v>1401.0</v>
      </c>
      <c r="P243" s="34" t="s">
        <v>73</v>
      </c>
      <c r="Q243" s="33" t="n">
        <f>1462.5</f>
        <v>1462.5</v>
      </c>
      <c r="R243" s="34" t="s">
        <v>51</v>
      </c>
      <c r="S243" s="35" t="n">
        <f>1437.14</f>
        <v>1437.14</v>
      </c>
      <c r="T243" s="32" t="n">
        <f>375500</f>
        <v>375500.0</v>
      </c>
      <c r="U243" s="32" t="n">
        <f>194310</f>
        <v>194310.0</v>
      </c>
      <c r="V243" s="32" t="n">
        <f>544780926</f>
        <v>5.44780926E8</v>
      </c>
      <c r="W243" s="32" t="n">
        <f>283166276</f>
        <v>2.83166276E8</v>
      </c>
      <c r="X243" s="36" t="n">
        <f>21</f>
        <v>21.0</v>
      </c>
    </row>
    <row r="244">
      <c r="A244" s="27" t="s">
        <v>42</v>
      </c>
      <c r="B244" s="27" t="s">
        <v>779</v>
      </c>
      <c r="C244" s="27" t="s">
        <v>780</v>
      </c>
      <c r="D244" s="27" t="s">
        <v>781</v>
      </c>
      <c r="E244" s="28" t="s">
        <v>46</v>
      </c>
      <c r="F244" s="29" t="s">
        <v>46</v>
      </c>
      <c r="G244" s="30" t="s">
        <v>46</v>
      </c>
      <c r="H244" s="31"/>
      <c r="I244" s="31" t="s">
        <v>47</v>
      </c>
      <c r="J244" s="32" t="n">
        <v>10.0</v>
      </c>
      <c r="K244" s="33" t="n">
        <f>1230.5</f>
        <v>1230.5</v>
      </c>
      <c r="L244" s="34" t="s">
        <v>48</v>
      </c>
      <c r="M244" s="33" t="n">
        <f>1306.5</f>
        <v>1306.5</v>
      </c>
      <c r="N244" s="34" t="s">
        <v>51</v>
      </c>
      <c r="O244" s="33" t="n">
        <f>1211</f>
        <v>1211.0</v>
      </c>
      <c r="P244" s="34" t="s">
        <v>73</v>
      </c>
      <c r="Q244" s="33" t="n">
        <f>1302</f>
        <v>1302.0</v>
      </c>
      <c r="R244" s="34" t="s">
        <v>51</v>
      </c>
      <c r="S244" s="35" t="n">
        <f>1265.69</f>
        <v>1265.69</v>
      </c>
      <c r="T244" s="32" t="n">
        <f>585210</f>
        <v>585210.0</v>
      </c>
      <c r="U244" s="32" t="n">
        <f>151690</f>
        <v>151690.0</v>
      </c>
      <c r="V244" s="32" t="n">
        <f>743754346</f>
        <v>7.43754346E8</v>
      </c>
      <c r="W244" s="32" t="n">
        <f>195414371</f>
        <v>1.95414371E8</v>
      </c>
      <c r="X244" s="36" t="n">
        <f>21</f>
        <v>21.0</v>
      </c>
    </row>
    <row r="245">
      <c r="A245" s="27" t="s">
        <v>42</v>
      </c>
      <c r="B245" s="27" t="s">
        <v>782</v>
      </c>
      <c r="C245" s="27" t="s">
        <v>783</v>
      </c>
      <c r="D245" s="27" t="s">
        <v>784</v>
      </c>
      <c r="E245" s="28" t="s">
        <v>46</v>
      </c>
      <c r="F245" s="29" t="s">
        <v>46</v>
      </c>
      <c r="G245" s="30" t="s">
        <v>46</v>
      </c>
      <c r="H245" s="31"/>
      <c r="I245" s="31" t="s">
        <v>47</v>
      </c>
      <c r="J245" s="32" t="n">
        <v>10.0</v>
      </c>
      <c r="K245" s="33" t="n">
        <f>556.1</f>
        <v>556.1</v>
      </c>
      <c r="L245" s="34" t="s">
        <v>48</v>
      </c>
      <c r="M245" s="33" t="n">
        <f>556.1</f>
        <v>556.1</v>
      </c>
      <c r="N245" s="34" t="s">
        <v>48</v>
      </c>
      <c r="O245" s="33" t="n">
        <f>512.1</f>
        <v>512.1</v>
      </c>
      <c r="P245" s="34" t="s">
        <v>203</v>
      </c>
      <c r="Q245" s="33" t="n">
        <f>550.3</f>
        <v>550.3</v>
      </c>
      <c r="R245" s="34" t="s">
        <v>51</v>
      </c>
      <c r="S245" s="35" t="n">
        <f>532.88</f>
        <v>532.88</v>
      </c>
      <c r="T245" s="32" t="n">
        <f>35744120</f>
        <v>3.574412E7</v>
      </c>
      <c r="U245" s="32" t="n">
        <f>199620</f>
        <v>199620.0</v>
      </c>
      <c r="V245" s="32" t="n">
        <f>19048417273</f>
        <v>1.9048417273E10</v>
      </c>
      <c r="W245" s="32" t="n">
        <f>110079859</f>
        <v>1.10079859E8</v>
      </c>
      <c r="X245" s="36" t="n">
        <f>21</f>
        <v>21.0</v>
      </c>
    </row>
    <row r="246">
      <c r="A246" s="27" t="s">
        <v>42</v>
      </c>
      <c r="B246" s="27" t="s">
        <v>785</v>
      </c>
      <c r="C246" s="27" t="s">
        <v>786</v>
      </c>
      <c r="D246" s="27" t="s">
        <v>787</v>
      </c>
      <c r="E246" s="28" t="s">
        <v>46</v>
      </c>
      <c r="F246" s="29" t="s">
        <v>46</v>
      </c>
      <c r="G246" s="30" t="s">
        <v>46</v>
      </c>
      <c r="H246" s="31"/>
      <c r="I246" s="31" t="s">
        <v>47</v>
      </c>
      <c r="J246" s="32" t="n">
        <v>10.0</v>
      </c>
      <c r="K246" s="33" t="n">
        <f>1103</f>
        <v>1103.0</v>
      </c>
      <c r="L246" s="34" t="s">
        <v>48</v>
      </c>
      <c r="M246" s="33" t="n">
        <f>1103</f>
        <v>1103.0</v>
      </c>
      <c r="N246" s="34" t="s">
        <v>48</v>
      </c>
      <c r="O246" s="33" t="n">
        <f>1058</f>
        <v>1058.0</v>
      </c>
      <c r="P246" s="34" t="s">
        <v>103</v>
      </c>
      <c r="Q246" s="33" t="n">
        <f>1089.5</f>
        <v>1089.5</v>
      </c>
      <c r="R246" s="34" t="s">
        <v>51</v>
      </c>
      <c r="S246" s="35" t="n">
        <f>1081.6</f>
        <v>1081.6</v>
      </c>
      <c r="T246" s="32" t="n">
        <f>5665850</f>
        <v>5665850.0</v>
      </c>
      <c r="U246" s="32" t="n">
        <f>5352780</f>
        <v>5352780.0</v>
      </c>
      <c r="V246" s="32" t="n">
        <f>6075458178</f>
        <v>6.075458178E9</v>
      </c>
      <c r="W246" s="32" t="n">
        <f>5738915908</f>
        <v>5.738915908E9</v>
      </c>
      <c r="X246" s="36" t="n">
        <f>21</f>
        <v>21.0</v>
      </c>
    </row>
    <row r="247">
      <c r="A247" s="27" t="s">
        <v>42</v>
      </c>
      <c r="B247" s="27" t="s">
        <v>788</v>
      </c>
      <c r="C247" s="27" t="s">
        <v>789</v>
      </c>
      <c r="D247" s="27" t="s">
        <v>790</v>
      </c>
      <c r="E247" s="28" t="s">
        <v>46</v>
      </c>
      <c r="F247" s="29" t="s">
        <v>46</v>
      </c>
      <c r="G247" s="30" t="s">
        <v>46</v>
      </c>
      <c r="H247" s="31"/>
      <c r="I247" s="31" t="s">
        <v>47</v>
      </c>
      <c r="J247" s="32" t="n">
        <v>1.0</v>
      </c>
      <c r="K247" s="33" t="n">
        <f>1313</f>
        <v>1313.0</v>
      </c>
      <c r="L247" s="34" t="s">
        <v>48</v>
      </c>
      <c r="M247" s="33" t="n">
        <f>1325</f>
        <v>1325.0</v>
      </c>
      <c r="N247" s="34" t="s">
        <v>90</v>
      </c>
      <c r="O247" s="33" t="n">
        <f>1271</f>
        <v>1271.0</v>
      </c>
      <c r="P247" s="34" t="s">
        <v>50</v>
      </c>
      <c r="Q247" s="33" t="n">
        <f>1311</f>
        <v>1311.0</v>
      </c>
      <c r="R247" s="34" t="s">
        <v>51</v>
      </c>
      <c r="S247" s="35" t="n">
        <f>1299.76</f>
        <v>1299.76</v>
      </c>
      <c r="T247" s="32" t="n">
        <f>295934</f>
        <v>295934.0</v>
      </c>
      <c r="U247" s="32" t="n">
        <f>160006</f>
        <v>160006.0</v>
      </c>
      <c r="V247" s="32" t="n">
        <f>381458800</f>
        <v>3.814588E8</v>
      </c>
      <c r="W247" s="32" t="n">
        <f>205255835</f>
        <v>2.05255835E8</v>
      </c>
      <c r="X247" s="36" t="n">
        <f>21</f>
        <v>21.0</v>
      </c>
    </row>
    <row r="248">
      <c r="A248" s="27" t="s">
        <v>42</v>
      </c>
      <c r="B248" s="27" t="s">
        <v>791</v>
      </c>
      <c r="C248" s="27" t="s">
        <v>792</v>
      </c>
      <c r="D248" s="27" t="s">
        <v>793</v>
      </c>
      <c r="E248" s="28" t="s">
        <v>46</v>
      </c>
      <c r="F248" s="29" t="s">
        <v>46</v>
      </c>
      <c r="G248" s="30" t="s">
        <v>46</v>
      </c>
      <c r="H248" s="31"/>
      <c r="I248" s="31" t="s">
        <v>47</v>
      </c>
      <c r="J248" s="32" t="n">
        <v>10.0</v>
      </c>
      <c r="K248" s="33" t="n">
        <f>978.4</f>
        <v>978.4</v>
      </c>
      <c r="L248" s="34" t="s">
        <v>48</v>
      </c>
      <c r="M248" s="33" t="n">
        <f>1000</f>
        <v>1000.0</v>
      </c>
      <c r="N248" s="34" t="s">
        <v>116</v>
      </c>
      <c r="O248" s="33" t="n">
        <f>960</f>
        <v>960.0</v>
      </c>
      <c r="P248" s="34" t="s">
        <v>73</v>
      </c>
      <c r="Q248" s="33" t="n">
        <f>986.9</f>
        <v>986.9</v>
      </c>
      <c r="R248" s="34" t="s">
        <v>51</v>
      </c>
      <c r="S248" s="35" t="n">
        <f>983.4</f>
        <v>983.4</v>
      </c>
      <c r="T248" s="32" t="n">
        <f>108600</f>
        <v>108600.0</v>
      </c>
      <c r="U248" s="32" t="n">
        <f>500</f>
        <v>500.0</v>
      </c>
      <c r="V248" s="32" t="n">
        <f>106705821</f>
        <v>1.06705821E8</v>
      </c>
      <c r="W248" s="32" t="n">
        <f>493421</f>
        <v>493421.0</v>
      </c>
      <c r="X248" s="36" t="n">
        <f>21</f>
        <v>21.0</v>
      </c>
    </row>
    <row r="249">
      <c r="A249" s="27" t="s">
        <v>42</v>
      </c>
      <c r="B249" s="27" t="s">
        <v>794</v>
      </c>
      <c r="C249" s="27" t="s">
        <v>795</v>
      </c>
      <c r="D249" s="27" t="s">
        <v>796</v>
      </c>
      <c r="E249" s="28" t="s">
        <v>46</v>
      </c>
      <c r="F249" s="29" t="s">
        <v>46</v>
      </c>
      <c r="G249" s="30" t="s">
        <v>46</v>
      </c>
      <c r="H249" s="31"/>
      <c r="I249" s="31" t="s">
        <v>47</v>
      </c>
      <c r="J249" s="32" t="n">
        <v>10.0</v>
      </c>
      <c r="K249" s="33" t="n">
        <f>1266</f>
        <v>1266.0</v>
      </c>
      <c r="L249" s="34" t="s">
        <v>48</v>
      </c>
      <c r="M249" s="33" t="n">
        <f>1274.5</f>
        <v>1274.5</v>
      </c>
      <c r="N249" s="34" t="s">
        <v>51</v>
      </c>
      <c r="O249" s="33" t="n">
        <f>1212</f>
        <v>1212.0</v>
      </c>
      <c r="P249" s="34" t="s">
        <v>73</v>
      </c>
      <c r="Q249" s="33" t="n">
        <f>1272</f>
        <v>1272.0</v>
      </c>
      <c r="R249" s="34" t="s">
        <v>51</v>
      </c>
      <c r="S249" s="35" t="n">
        <f>1248.31</f>
        <v>1248.31</v>
      </c>
      <c r="T249" s="32" t="n">
        <f>70880</f>
        <v>70880.0</v>
      </c>
      <c r="U249" s="32" t="str">
        <f>"－"</f>
        <v>－</v>
      </c>
      <c r="V249" s="32" t="n">
        <f>88744745</f>
        <v>8.8744745E7</v>
      </c>
      <c r="W249" s="32" t="str">
        <f>"－"</f>
        <v>－</v>
      </c>
      <c r="X249" s="36" t="n">
        <f>21</f>
        <v>21.0</v>
      </c>
    </row>
    <row r="250">
      <c r="A250" s="27" t="s">
        <v>42</v>
      </c>
      <c r="B250" s="27" t="s">
        <v>797</v>
      </c>
      <c r="C250" s="27" t="s">
        <v>798</v>
      </c>
      <c r="D250" s="27" t="s">
        <v>799</v>
      </c>
      <c r="E250" s="28" t="s">
        <v>46</v>
      </c>
      <c r="F250" s="29" t="s">
        <v>46</v>
      </c>
      <c r="G250" s="30" t="s">
        <v>46</v>
      </c>
      <c r="H250" s="31"/>
      <c r="I250" s="31" t="s">
        <v>47</v>
      </c>
      <c r="J250" s="32" t="n">
        <v>10.0</v>
      </c>
      <c r="K250" s="33" t="n">
        <f>1467</f>
        <v>1467.0</v>
      </c>
      <c r="L250" s="34" t="s">
        <v>48</v>
      </c>
      <c r="M250" s="33" t="n">
        <f>1533</f>
        <v>1533.0</v>
      </c>
      <c r="N250" s="34" t="s">
        <v>177</v>
      </c>
      <c r="O250" s="33" t="n">
        <f>1461</f>
        <v>1461.0</v>
      </c>
      <c r="P250" s="34" t="s">
        <v>231</v>
      </c>
      <c r="Q250" s="33" t="n">
        <f>1530.5</f>
        <v>1530.5</v>
      </c>
      <c r="R250" s="34" t="s">
        <v>51</v>
      </c>
      <c r="S250" s="35" t="n">
        <f>1500.81</f>
        <v>1500.81</v>
      </c>
      <c r="T250" s="32" t="n">
        <f>8492340</f>
        <v>8492340.0</v>
      </c>
      <c r="U250" s="32" t="n">
        <f>4818990</f>
        <v>4818990.0</v>
      </c>
      <c r="V250" s="32" t="n">
        <f>12710604991</f>
        <v>1.2710604991E10</v>
      </c>
      <c r="W250" s="32" t="n">
        <f>7208320616</f>
        <v>7.208320616E9</v>
      </c>
      <c r="X250" s="36" t="n">
        <f>21</f>
        <v>21.0</v>
      </c>
    </row>
    <row r="251">
      <c r="A251" s="27" t="s">
        <v>42</v>
      </c>
      <c r="B251" s="27" t="s">
        <v>800</v>
      </c>
      <c r="C251" s="27" t="s">
        <v>801</v>
      </c>
      <c r="D251" s="27" t="s">
        <v>802</v>
      </c>
      <c r="E251" s="28" t="s">
        <v>46</v>
      </c>
      <c r="F251" s="29" t="s">
        <v>46</v>
      </c>
      <c r="G251" s="30" t="s">
        <v>46</v>
      </c>
      <c r="H251" s="31"/>
      <c r="I251" s="31" t="s">
        <v>47</v>
      </c>
      <c r="J251" s="32" t="n">
        <v>1.0</v>
      </c>
      <c r="K251" s="33" t="n">
        <f>4625</f>
        <v>4625.0</v>
      </c>
      <c r="L251" s="34" t="s">
        <v>48</v>
      </c>
      <c r="M251" s="33" t="n">
        <f>4945</f>
        <v>4945.0</v>
      </c>
      <c r="N251" s="34" t="s">
        <v>156</v>
      </c>
      <c r="O251" s="33" t="n">
        <f>4565</f>
        <v>4565.0</v>
      </c>
      <c r="P251" s="34" t="s">
        <v>73</v>
      </c>
      <c r="Q251" s="33" t="n">
        <f>4910</f>
        <v>4910.0</v>
      </c>
      <c r="R251" s="34" t="s">
        <v>51</v>
      </c>
      <c r="S251" s="35" t="n">
        <f>4771.67</f>
        <v>4771.67</v>
      </c>
      <c r="T251" s="32" t="n">
        <f>28611</f>
        <v>28611.0</v>
      </c>
      <c r="U251" s="32" t="str">
        <f>"－"</f>
        <v>－</v>
      </c>
      <c r="V251" s="32" t="n">
        <f>136635665</f>
        <v>1.36635665E8</v>
      </c>
      <c r="W251" s="32" t="str">
        <f>"－"</f>
        <v>－</v>
      </c>
      <c r="X251" s="36" t="n">
        <f>21</f>
        <v>21.0</v>
      </c>
    </row>
    <row r="252">
      <c r="A252" s="27" t="s">
        <v>42</v>
      </c>
      <c r="B252" s="27" t="s">
        <v>803</v>
      </c>
      <c r="C252" s="27" t="s">
        <v>804</v>
      </c>
      <c r="D252" s="27" t="s">
        <v>805</v>
      </c>
      <c r="E252" s="28" t="s">
        <v>46</v>
      </c>
      <c r="F252" s="29" t="s">
        <v>46</v>
      </c>
      <c r="G252" s="30" t="s">
        <v>46</v>
      </c>
      <c r="H252" s="31"/>
      <c r="I252" s="31" t="s">
        <v>47</v>
      </c>
      <c r="J252" s="32" t="n">
        <v>10.0</v>
      </c>
      <c r="K252" s="33" t="n">
        <f>1905</f>
        <v>1905.0</v>
      </c>
      <c r="L252" s="34" t="s">
        <v>231</v>
      </c>
      <c r="M252" s="33" t="n">
        <f>1911</f>
        <v>1911.0</v>
      </c>
      <c r="N252" s="34" t="s">
        <v>68</v>
      </c>
      <c r="O252" s="33" t="n">
        <f>1852.5</f>
        <v>1852.5</v>
      </c>
      <c r="P252" s="34" t="s">
        <v>51</v>
      </c>
      <c r="Q252" s="33" t="n">
        <f>1852.5</f>
        <v>1852.5</v>
      </c>
      <c r="R252" s="34" t="s">
        <v>51</v>
      </c>
      <c r="S252" s="35" t="n">
        <f>1886.75</f>
        <v>1886.75</v>
      </c>
      <c r="T252" s="32" t="n">
        <f>780</f>
        <v>780.0</v>
      </c>
      <c r="U252" s="32" t="str">
        <f>"－"</f>
        <v>－</v>
      </c>
      <c r="V252" s="32" t="n">
        <f>1479675</f>
        <v>1479675.0</v>
      </c>
      <c r="W252" s="32" t="str">
        <f>"－"</f>
        <v>－</v>
      </c>
      <c r="X252" s="36" t="n">
        <f>6</f>
        <v>6.0</v>
      </c>
    </row>
    <row r="253">
      <c r="A253" s="27" t="s">
        <v>42</v>
      </c>
      <c r="B253" s="27" t="s">
        <v>806</v>
      </c>
      <c r="C253" s="27" t="s">
        <v>807</v>
      </c>
      <c r="D253" s="27" t="s">
        <v>808</v>
      </c>
      <c r="E253" s="28" t="s">
        <v>46</v>
      </c>
      <c r="F253" s="29" t="s">
        <v>46</v>
      </c>
      <c r="G253" s="30" t="s">
        <v>46</v>
      </c>
      <c r="H253" s="31"/>
      <c r="I253" s="31" t="s">
        <v>47</v>
      </c>
      <c r="J253" s="32" t="n">
        <v>10.0</v>
      </c>
      <c r="K253" s="33" t="n">
        <f>2445</f>
        <v>2445.0</v>
      </c>
      <c r="L253" s="34" t="s">
        <v>48</v>
      </c>
      <c r="M253" s="33" t="n">
        <f>2445</f>
        <v>2445.0</v>
      </c>
      <c r="N253" s="34" t="s">
        <v>48</v>
      </c>
      <c r="O253" s="33" t="n">
        <f>2369</f>
        <v>2369.0</v>
      </c>
      <c r="P253" s="34" t="s">
        <v>50</v>
      </c>
      <c r="Q253" s="33" t="n">
        <f>2423</f>
        <v>2423.0</v>
      </c>
      <c r="R253" s="34" t="s">
        <v>51</v>
      </c>
      <c r="S253" s="35" t="n">
        <f>2414.15</f>
        <v>2414.15</v>
      </c>
      <c r="T253" s="32" t="n">
        <f>1280750</f>
        <v>1280750.0</v>
      </c>
      <c r="U253" s="32" t="n">
        <f>461000</f>
        <v>461000.0</v>
      </c>
      <c r="V253" s="32" t="n">
        <f>3069217635</f>
        <v>3.069217635E9</v>
      </c>
      <c r="W253" s="32" t="n">
        <f>1102371500</f>
        <v>1.1023715E9</v>
      </c>
      <c r="X253" s="36" t="n">
        <f>20</f>
        <v>20.0</v>
      </c>
    </row>
    <row r="254">
      <c r="A254" s="27" t="s">
        <v>42</v>
      </c>
      <c r="B254" s="27" t="s">
        <v>809</v>
      </c>
      <c r="C254" s="27" t="s">
        <v>810</v>
      </c>
      <c r="D254" s="27" t="s">
        <v>811</v>
      </c>
      <c r="E254" s="28" t="s">
        <v>46</v>
      </c>
      <c r="F254" s="29" t="s">
        <v>46</v>
      </c>
      <c r="G254" s="30" t="s">
        <v>46</v>
      </c>
      <c r="H254" s="31"/>
      <c r="I254" s="31" t="s">
        <v>47</v>
      </c>
      <c r="J254" s="32" t="n">
        <v>1.0</v>
      </c>
      <c r="K254" s="33" t="n">
        <f>33920</f>
        <v>33920.0</v>
      </c>
      <c r="L254" s="34" t="s">
        <v>89</v>
      </c>
      <c r="M254" s="33" t="n">
        <f>34390</f>
        <v>34390.0</v>
      </c>
      <c r="N254" s="34" t="s">
        <v>69</v>
      </c>
      <c r="O254" s="33" t="n">
        <f>32790</f>
        <v>32790.0</v>
      </c>
      <c r="P254" s="34" t="s">
        <v>73</v>
      </c>
      <c r="Q254" s="33" t="n">
        <f>33930</f>
        <v>33930.0</v>
      </c>
      <c r="R254" s="34" t="s">
        <v>51</v>
      </c>
      <c r="S254" s="35" t="n">
        <f>33664</f>
        <v>33664.0</v>
      </c>
      <c r="T254" s="32" t="n">
        <f>239503</f>
        <v>239503.0</v>
      </c>
      <c r="U254" s="32" t="n">
        <f>90310</f>
        <v>90310.0</v>
      </c>
      <c r="V254" s="32" t="n">
        <f>8059914516</f>
        <v>8.059914516E9</v>
      </c>
      <c r="W254" s="32" t="n">
        <f>3038384576</f>
        <v>3.038384576E9</v>
      </c>
      <c r="X254" s="36" t="n">
        <f>20</f>
        <v>20.0</v>
      </c>
    </row>
    <row r="255">
      <c r="A255" s="27" t="s">
        <v>42</v>
      </c>
      <c r="B255" s="27" t="s">
        <v>812</v>
      </c>
      <c r="C255" s="27" t="s">
        <v>813</v>
      </c>
      <c r="D255" s="27" t="s">
        <v>814</v>
      </c>
      <c r="E255" s="28" t="s">
        <v>46</v>
      </c>
      <c r="F255" s="29" t="s">
        <v>46</v>
      </c>
      <c r="G255" s="30" t="s">
        <v>46</v>
      </c>
      <c r="H255" s="31"/>
      <c r="I255" s="31" t="s">
        <v>47</v>
      </c>
      <c r="J255" s="32" t="n">
        <v>1.0</v>
      </c>
      <c r="K255" s="33" t="n">
        <f>21775</f>
        <v>21775.0</v>
      </c>
      <c r="L255" s="34" t="s">
        <v>51</v>
      </c>
      <c r="M255" s="33" t="n">
        <f>21775</f>
        <v>21775.0</v>
      </c>
      <c r="N255" s="34" t="s">
        <v>51</v>
      </c>
      <c r="O255" s="33" t="n">
        <f>21775</f>
        <v>21775.0</v>
      </c>
      <c r="P255" s="34" t="s">
        <v>51</v>
      </c>
      <c r="Q255" s="33" t="n">
        <f>21775</f>
        <v>21775.0</v>
      </c>
      <c r="R255" s="34" t="s">
        <v>51</v>
      </c>
      <c r="S255" s="35" t="n">
        <f>21775</f>
        <v>21775.0</v>
      </c>
      <c r="T255" s="32" t="n">
        <f>19101</f>
        <v>19101.0</v>
      </c>
      <c r="U255" s="32" t="n">
        <f>19100</f>
        <v>19100.0</v>
      </c>
      <c r="V255" s="32" t="n">
        <f>414229895</f>
        <v>4.14229895E8</v>
      </c>
      <c r="W255" s="32" t="n">
        <f>414208120</f>
        <v>4.1420812E8</v>
      </c>
      <c r="X255" s="36" t="n">
        <f>1</f>
        <v>1.0</v>
      </c>
    </row>
    <row r="256">
      <c r="A256" s="27" t="s">
        <v>42</v>
      </c>
      <c r="B256" s="27" t="s">
        <v>815</v>
      </c>
      <c r="C256" s="27" t="s">
        <v>816</v>
      </c>
      <c r="D256" s="27" t="s">
        <v>817</v>
      </c>
      <c r="E256" s="28" t="s">
        <v>46</v>
      </c>
      <c r="F256" s="29" t="s">
        <v>46</v>
      </c>
      <c r="G256" s="30" t="s">
        <v>46</v>
      </c>
      <c r="H256" s="31"/>
      <c r="I256" s="31" t="s">
        <v>47</v>
      </c>
      <c r="J256" s="32" t="n">
        <v>10.0</v>
      </c>
      <c r="K256" s="33" t="n">
        <f>1111.5</f>
        <v>1111.5</v>
      </c>
      <c r="L256" s="34" t="s">
        <v>48</v>
      </c>
      <c r="M256" s="33" t="n">
        <f>1135</f>
        <v>1135.0</v>
      </c>
      <c r="N256" s="34" t="s">
        <v>187</v>
      </c>
      <c r="O256" s="33" t="n">
        <f>1077</f>
        <v>1077.0</v>
      </c>
      <c r="P256" s="34" t="s">
        <v>103</v>
      </c>
      <c r="Q256" s="33" t="n">
        <f>1103.5</f>
        <v>1103.5</v>
      </c>
      <c r="R256" s="34" t="s">
        <v>51</v>
      </c>
      <c r="S256" s="35" t="n">
        <f>1097.53</f>
        <v>1097.53</v>
      </c>
      <c r="T256" s="32" t="n">
        <f>857530</f>
        <v>857530.0</v>
      </c>
      <c r="U256" s="32" t="n">
        <f>579900</f>
        <v>579900.0</v>
      </c>
      <c r="V256" s="32" t="n">
        <f>941549800</f>
        <v>9.415498E8</v>
      </c>
      <c r="W256" s="32" t="n">
        <f>636095940</f>
        <v>6.3609594E8</v>
      </c>
      <c r="X256" s="36" t="n">
        <f>17</f>
        <v>17.0</v>
      </c>
    </row>
    <row r="257">
      <c r="A257" s="27" t="s">
        <v>42</v>
      </c>
      <c r="B257" s="27" t="s">
        <v>818</v>
      </c>
      <c r="C257" s="27" t="s">
        <v>819</v>
      </c>
      <c r="D257" s="27" t="s">
        <v>820</v>
      </c>
      <c r="E257" s="28" t="s">
        <v>46</v>
      </c>
      <c r="F257" s="29" t="s">
        <v>46</v>
      </c>
      <c r="G257" s="30" t="s">
        <v>46</v>
      </c>
      <c r="H257" s="31"/>
      <c r="I257" s="31" t="s">
        <v>47</v>
      </c>
      <c r="J257" s="32" t="n">
        <v>10.0</v>
      </c>
      <c r="K257" s="33" t="n">
        <f>1105</f>
        <v>1105.0</v>
      </c>
      <c r="L257" s="34" t="s">
        <v>48</v>
      </c>
      <c r="M257" s="33" t="n">
        <f>1105</f>
        <v>1105.0</v>
      </c>
      <c r="N257" s="34" t="s">
        <v>48</v>
      </c>
      <c r="O257" s="33" t="n">
        <f>1055</f>
        <v>1055.0</v>
      </c>
      <c r="P257" s="34" t="s">
        <v>103</v>
      </c>
      <c r="Q257" s="33" t="n">
        <f>1082</f>
        <v>1082.0</v>
      </c>
      <c r="R257" s="34" t="s">
        <v>51</v>
      </c>
      <c r="S257" s="35" t="n">
        <f>1078.43</f>
        <v>1078.43</v>
      </c>
      <c r="T257" s="32" t="n">
        <f>335760</f>
        <v>335760.0</v>
      </c>
      <c r="U257" s="32" t="n">
        <f>90060</f>
        <v>90060.0</v>
      </c>
      <c r="V257" s="32" t="n">
        <f>364622345</f>
        <v>3.64622345E8</v>
      </c>
      <c r="W257" s="32" t="n">
        <f>98740800</f>
        <v>9.87408E7</v>
      </c>
      <c r="X257" s="36" t="n">
        <f>21</f>
        <v>21.0</v>
      </c>
    </row>
    <row r="258">
      <c r="A258" s="27" t="s">
        <v>42</v>
      </c>
      <c r="B258" s="27" t="s">
        <v>821</v>
      </c>
      <c r="C258" s="27" t="s">
        <v>822</v>
      </c>
      <c r="D258" s="27" t="s">
        <v>823</v>
      </c>
      <c r="E258" s="28" t="s">
        <v>46</v>
      </c>
      <c r="F258" s="29" t="s">
        <v>46</v>
      </c>
      <c r="G258" s="30" t="s">
        <v>46</v>
      </c>
      <c r="H258" s="31"/>
      <c r="I258" s="31" t="s">
        <v>47</v>
      </c>
      <c r="J258" s="32" t="n">
        <v>1.0</v>
      </c>
      <c r="K258" s="33" t="n">
        <f>1511</f>
        <v>1511.0</v>
      </c>
      <c r="L258" s="34" t="s">
        <v>48</v>
      </c>
      <c r="M258" s="33" t="n">
        <f>1518</f>
        <v>1518.0</v>
      </c>
      <c r="N258" s="34" t="s">
        <v>49</v>
      </c>
      <c r="O258" s="33" t="n">
        <f>1450</f>
        <v>1450.0</v>
      </c>
      <c r="P258" s="34" t="s">
        <v>50</v>
      </c>
      <c r="Q258" s="33" t="n">
        <f>1499</f>
        <v>1499.0</v>
      </c>
      <c r="R258" s="34" t="s">
        <v>51</v>
      </c>
      <c r="S258" s="35" t="n">
        <f>1490.14</f>
        <v>1490.14</v>
      </c>
      <c r="T258" s="32" t="n">
        <f>720571</f>
        <v>720571.0</v>
      </c>
      <c r="U258" s="32" t="n">
        <f>67000</f>
        <v>67000.0</v>
      </c>
      <c r="V258" s="32" t="n">
        <f>1071502530</f>
        <v>1.07150253E9</v>
      </c>
      <c r="W258" s="32" t="n">
        <f>100786900</f>
        <v>1.007869E8</v>
      </c>
      <c r="X258" s="36" t="n">
        <f>21</f>
        <v>21.0</v>
      </c>
    </row>
    <row r="259">
      <c r="A259" s="27" t="s">
        <v>42</v>
      </c>
      <c r="B259" s="27" t="s">
        <v>824</v>
      </c>
      <c r="C259" s="27" t="s">
        <v>825</v>
      </c>
      <c r="D259" s="27" t="s">
        <v>826</v>
      </c>
      <c r="E259" s="28" t="s">
        <v>46</v>
      </c>
      <c r="F259" s="29" t="s">
        <v>46</v>
      </c>
      <c r="G259" s="30" t="s">
        <v>46</v>
      </c>
      <c r="H259" s="31"/>
      <c r="I259" s="31" t="s">
        <v>47</v>
      </c>
      <c r="J259" s="32" t="n">
        <v>1.0</v>
      </c>
      <c r="K259" s="33" t="n">
        <f>12875</f>
        <v>12875.0</v>
      </c>
      <c r="L259" s="34" t="s">
        <v>48</v>
      </c>
      <c r="M259" s="33" t="n">
        <f>12950</f>
        <v>12950.0</v>
      </c>
      <c r="N259" s="34" t="s">
        <v>48</v>
      </c>
      <c r="O259" s="33" t="n">
        <f>11720</f>
        <v>11720.0</v>
      </c>
      <c r="P259" s="34" t="s">
        <v>103</v>
      </c>
      <c r="Q259" s="33" t="n">
        <f>12370</f>
        <v>12370.0</v>
      </c>
      <c r="R259" s="34" t="s">
        <v>51</v>
      </c>
      <c r="S259" s="35" t="n">
        <f>12308.5</f>
        <v>12308.5</v>
      </c>
      <c r="T259" s="32" t="n">
        <f>797</f>
        <v>797.0</v>
      </c>
      <c r="U259" s="32" t="str">
        <f>"－"</f>
        <v>－</v>
      </c>
      <c r="V259" s="32" t="n">
        <f>9641875</f>
        <v>9641875.0</v>
      </c>
      <c r="W259" s="32" t="str">
        <f>"－"</f>
        <v>－</v>
      </c>
      <c r="X259" s="36" t="n">
        <f>20</f>
        <v>20.0</v>
      </c>
    </row>
    <row r="260">
      <c r="A260" s="27" t="s">
        <v>42</v>
      </c>
      <c r="B260" s="27" t="s">
        <v>827</v>
      </c>
      <c r="C260" s="27" t="s">
        <v>828</v>
      </c>
      <c r="D260" s="27" t="s">
        <v>829</v>
      </c>
      <c r="E260" s="28" t="s">
        <v>46</v>
      </c>
      <c r="F260" s="29" t="s">
        <v>46</v>
      </c>
      <c r="G260" s="30" t="s">
        <v>46</v>
      </c>
      <c r="H260" s="31"/>
      <c r="I260" s="31" t="s">
        <v>47</v>
      </c>
      <c r="J260" s="32" t="n">
        <v>1.0</v>
      </c>
      <c r="K260" s="33" t="n">
        <f>1977</f>
        <v>1977.0</v>
      </c>
      <c r="L260" s="34" t="s">
        <v>48</v>
      </c>
      <c r="M260" s="33" t="n">
        <f>1977</f>
        <v>1977.0</v>
      </c>
      <c r="N260" s="34" t="s">
        <v>48</v>
      </c>
      <c r="O260" s="33" t="n">
        <f>1888</f>
        <v>1888.0</v>
      </c>
      <c r="P260" s="34" t="s">
        <v>103</v>
      </c>
      <c r="Q260" s="33" t="n">
        <f>1944</f>
        <v>1944.0</v>
      </c>
      <c r="R260" s="34" t="s">
        <v>51</v>
      </c>
      <c r="S260" s="35" t="n">
        <f>1931.71</f>
        <v>1931.71</v>
      </c>
      <c r="T260" s="32" t="n">
        <f>606409</f>
        <v>606409.0</v>
      </c>
      <c r="U260" s="32" t="n">
        <f>550041</f>
        <v>550041.0</v>
      </c>
      <c r="V260" s="32" t="n">
        <f>1159730970</f>
        <v>1.15973097E9</v>
      </c>
      <c r="W260" s="32" t="n">
        <f>1050922487</f>
        <v>1.050922487E9</v>
      </c>
      <c r="X260" s="36" t="n">
        <f>21</f>
        <v>21.0</v>
      </c>
    </row>
    <row r="261">
      <c r="A261" s="27" t="s">
        <v>42</v>
      </c>
      <c r="B261" s="27" t="s">
        <v>830</v>
      </c>
      <c r="C261" s="27" t="s">
        <v>831</v>
      </c>
      <c r="D261" s="27" t="s">
        <v>832</v>
      </c>
      <c r="E261" s="28" t="s">
        <v>46</v>
      </c>
      <c r="F261" s="29" t="s">
        <v>46</v>
      </c>
      <c r="G261" s="30" t="s">
        <v>46</v>
      </c>
      <c r="H261" s="31"/>
      <c r="I261" s="31" t="s">
        <v>47</v>
      </c>
      <c r="J261" s="32" t="n">
        <v>10.0</v>
      </c>
      <c r="K261" s="33" t="n">
        <f>1553</f>
        <v>1553.0</v>
      </c>
      <c r="L261" s="34" t="s">
        <v>48</v>
      </c>
      <c r="M261" s="33" t="n">
        <f>1564.5</f>
        <v>1564.5</v>
      </c>
      <c r="N261" s="34" t="s">
        <v>69</v>
      </c>
      <c r="O261" s="33" t="n">
        <f>1414</f>
        <v>1414.0</v>
      </c>
      <c r="P261" s="34" t="s">
        <v>103</v>
      </c>
      <c r="Q261" s="33" t="n">
        <f>1440</f>
        <v>1440.0</v>
      </c>
      <c r="R261" s="34" t="s">
        <v>51</v>
      </c>
      <c r="S261" s="35" t="n">
        <f>1460.29</f>
        <v>1460.29</v>
      </c>
      <c r="T261" s="32" t="n">
        <f>2200</f>
        <v>2200.0</v>
      </c>
      <c r="U261" s="32" t="str">
        <f>"－"</f>
        <v>－</v>
      </c>
      <c r="V261" s="32" t="n">
        <f>3226610</f>
        <v>3226610.0</v>
      </c>
      <c r="W261" s="32" t="str">
        <f>"－"</f>
        <v>－</v>
      </c>
      <c r="X261" s="36" t="n">
        <f>14</f>
        <v>14.0</v>
      </c>
    </row>
    <row r="262">
      <c r="A262" s="27" t="s">
        <v>42</v>
      </c>
      <c r="B262" s="27" t="s">
        <v>833</v>
      </c>
      <c r="C262" s="27" t="s">
        <v>834</v>
      </c>
      <c r="D262" s="27" t="s">
        <v>835</v>
      </c>
      <c r="E262" s="28" t="s">
        <v>46</v>
      </c>
      <c r="F262" s="29" t="s">
        <v>46</v>
      </c>
      <c r="G262" s="30" t="s">
        <v>46</v>
      </c>
      <c r="H262" s="31"/>
      <c r="I262" s="31" t="s">
        <v>47</v>
      </c>
      <c r="J262" s="32" t="n">
        <v>10.0</v>
      </c>
      <c r="K262" s="33" t="n">
        <f>811</f>
        <v>811.0</v>
      </c>
      <c r="L262" s="34" t="s">
        <v>48</v>
      </c>
      <c r="M262" s="33" t="n">
        <f>830.2</f>
        <v>830.2</v>
      </c>
      <c r="N262" s="34" t="s">
        <v>177</v>
      </c>
      <c r="O262" s="33" t="n">
        <f>809.5</f>
        <v>809.5</v>
      </c>
      <c r="P262" s="34" t="s">
        <v>203</v>
      </c>
      <c r="Q262" s="33" t="n">
        <f>825</f>
        <v>825.0</v>
      </c>
      <c r="R262" s="34" t="s">
        <v>51</v>
      </c>
      <c r="S262" s="35" t="n">
        <f>818.36</f>
        <v>818.36</v>
      </c>
      <c r="T262" s="32" t="n">
        <f>396410</f>
        <v>396410.0</v>
      </c>
      <c r="U262" s="32" t="n">
        <f>177760</f>
        <v>177760.0</v>
      </c>
      <c r="V262" s="32" t="n">
        <f>325498854</f>
        <v>3.25498854E8</v>
      </c>
      <c r="W262" s="32" t="n">
        <f>146865312</f>
        <v>1.46865312E8</v>
      </c>
      <c r="X262" s="36" t="n">
        <f>21</f>
        <v>21.0</v>
      </c>
    </row>
    <row r="263">
      <c r="A263" s="27" t="s">
        <v>42</v>
      </c>
      <c r="B263" s="27" t="s">
        <v>836</v>
      </c>
      <c r="C263" s="27" t="s">
        <v>837</v>
      </c>
      <c r="D263" s="27" t="s">
        <v>838</v>
      </c>
      <c r="E263" s="28" t="s">
        <v>46</v>
      </c>
      <c r="F263" s="29" t="s">
        <v>46</v>
      </c>
      <c r="G263" s="30" t="s">
        <v>46</v>
      </c>
      <c r="H263" s="31"/>
      <c r="I263" s="31" t="s">
        <v>47</v>
      </c>
      <c r="J263" s="32" t="n">
        <v>10.0</v>
      </c>
      <c r="K263" s="33" t="n">
        <f>1889.5</f>
        <v>1889.5</v>
      </c>
      <c r="L263" s="34" t="s">
        <v>48</v>
      </c>
      <c r="M263" s="33" t="n">
        <f>1889.5</f>
        <v>1889.5</v>
      </c>
      <c r="N263" s="34" t="s">
        <v>48</v>
      </c>
      <c r="O263" s="33" t="n">
        <f>1814</f>
        <v>1814.0</v>
      </c>
      <c r="P263" s="34" t="s">
        <v>103</v>
      </c>
      <c r="Q263" s="33" t="n">
        <f>1860</f>
        <v>1860.0</v>
      </c>
      <c r="R263" s="34" t="s">
        <v>51</v>
      </c>
      <c r="S263" s="35" t="n">
        <f>1851.1</f>
        <v>1851.1</v>
      </c>
      <c r="T263" s="32" t="n">
        <f>1200650</f>
        <v>1200650.0</v>
      </c>
      <c r="U263" s="32" t="n">
        <f>1012900</f>
        <v>1012900.0</v>
      </c>
      <c r="V263" s="32" t="n">
        <f>2192212615</f>
        <v>2.192212615E9</v>
      </c>
      <c r="W263" s="32" t="n">
        <f>1843101695</f>
        <v>1.843101695E9</v>
      </c>
      <c r="X263" s="36" t="n">
        <f>21</f>
        <v>21.0</v>
      </c>
    </row>
    <row r="264">
      <c r="A264" s="27" t="s">
        <v>42</v>
      </c>
      <c r="B264" s="27" t="s">
        <v>839</v>
      </c>
      <c r="C264" s="27" t="s">
        <v>840</v>
      </c>
      <c r="D264" s="27" t="s">
        <v>841</v>
      </c>
      <c r="E264" s="28" t="s">
        <v>46</v>
      </c>
      <c r="F264" s="29" t="s">
        <v>46</v>
      </c>
      <c r="G264" s="30" t="s">
        <v>46</v>
      </c>
      <c r="H264" s="31"/>
      <c r="I264" s="31" t="s">
        <v>47</v>
      </c>
      <c r="J264" s="32" t="n">
        <v>10.0</v>
      </c>
      <c r="K264" s="33" t="n">
        <f>1880</f>
        <v>1880.0</v>
      </c>
      <c r="L264" s="34" t="s">
        <v>48</v>
      </c>
      <c r="M264" s="33" t="n">
        <f>1883</f>
        <v>1883.0</v>
      </c>
      <c r="N264" s="34" t="s">
        <v>48</v>
      </c>
      <c r="O264" s="33" t="n">
        <f>1807</f>
        <v>1807.0</v>
      </c>
      <c r="P264" s="34" t="s">
        <v>103</v>
      </c>
      <c r="Q264" s="33" t="n">
        <f>1862.5</f>
        <v>1862.5</v>
      </c>
      <c r="R264" s="34" t="s">
        <v>51</v>
      </c>
      <c r="S264" s="35" t="n">
        <f>1850.57</f>
        <v>1850.57</v>
      </c>
      <c r="T264" s="32" t="n">
        <f>1659320</f>
        <v>1659320.0</v>
      </c>
      <c r="U264" s="32" t="n">
        <f>474760</f>
        <v>474760.0</v>
      </c>
      <c r="V264" s="32" t="n">
        <f>3064504626</f>
        <v>3.064504626E9</v>
      </c>
      <c r="W264" s="32" t="n">
        <f>872313731</f>
        <v>8.72313731E8</v>
      </c>
      <c r="X264" s="36" t="n">
        <f>21</f>
        <v>21.0</v>
      </c>
    </row>
    <row r="265">
      <c r="A265" s="27" t="s">
        <v>42</v>
      </c>
      <c r="B265" s="27" t="s">
        <v>842</v>
      </c>
      <c r="C265" s="27" t="s">
        <v>843</v>
      </c>
      <c r="D265" s="27" t="s">
        <v>844</v>
      </c>
      <c r="E265" s="28" t="s">
        <v>46</v>
      </c>
      <c r="F265" s="29" t="s">
        <v>46</v>
      </c>
      <c r="G265" s="30" t="s">
        <v>46</v>
      </c>
      <c r="H265" s="31"/>
      <c r="I265" s="31" t="s">
        <v>47</v>
      </c>
      <c r="J265" s="32" t="n">
        <v>10.0</v>
      </c>
      <c r="K265" s="33" t="n">
        <f>2406</f>
        <v>2406.0</v>
      </c>
      <c r="L265" s="34" t="s">
        <v>48</v>
      </c>
      <c r="M265" s="33" t="n">
        <f>2408.5</f>
        <v>2408.5</v>
      </c>
      <c r="N265" s="34" t="s">
        <v>49</v>
      </c>
      <c r="O265" s="33" t="n">
        <f>2316</f>
        <v>2316.0</v>
      </c>
      <c r="P265" s="34" t="s">
        <v>50</v>
      </c>
      <c r="Q265" s="33" t="n">
        <f>2387.5</f>
        <v>2387.5</v>
      </c>
      <c r="R265" s="34" t="s">
        <v>51</v>
      </c>
      <c r="S265" s="35" t="n">
        <f>2367.98</f>
        <v>2367.98</v>
      </c>
      <c r="T265" s="32" t="n">
        <f>2269480</f>
        <v>2269480.0</v>
      </c>
      <c r="U265" s="32" t="n">
        <f>171450</f>
        <v>171450.0</v>
      </c>
      <c r="V265" s="32" t="n">
        <f>5365115370</f>
        <v>5.36511537E9</v>
      </c>
      <c r="W265" s="32" t="n">
        <f>406684475</f>
        <v>4.06684475E8</v>
      </c>
      <c r="X265" s="36" t="n">
        <f>21</f>
        <v>21.0</v>
      </c>
    </row>
    <row r="266">
      <c r="A266" s="27" t="s">
        <v>42</v>
      </c>
      <c r="B266" s="27" t="s">
        <v>845</v>
      </c>
      <c r="C266" s="27" t="s">
        <v>846</v>
      </c>
      <c r="D266" s="27" t="s">
        <v>847</v>
      </c>
      <c r="E266" s="28" t="s">
        <v>46</v>
      </c>
      <c r="F266" s="29" t="s">
        <v>46</v>
      </c>
      <c r="G266" s="30" t="s">
        <v>46</v>
      </c>
      <c r="H266" s="31"/>
      <c r="I266" s="31" t="s">
        <v>47</v>
      </c>
      <c r="J266" s="32" t="n">
        <v>1.0</v>
      </c>
      <c r="K266" s="33" t="n">
        <f>19495</f>
        <v>19495.0</v>
      </c>
      <c r="L266" s="34" t="s">
        <v>48</v>
      </c>
      <c r="M266" s="33" t="n">
        <f>19700</f>
        <v>19700.0</v>
      </c>
      <c r="N266" s="34" t="s">
        <v>69</v>
      </c>
      <c r="O266" s="33" t="n">
        <f>18740</f>
        <v>18740.0</v>
      </c>
      <c r="P266" s="34" t="s">
        <v>73</v>
      </c>
      <c r="Q266" s="33" t="n">
        <f>19440</f>
        <v>19440.0</v>
      </c>
      <c r="R266" s="34" t="s">
        <v>51</v>
      </c>
      <c r="S266" s="35" t="n">
        <f>19361.67</f>
        <v>19361.67</v>
      </c>
      <c r="T266" s="32" t="n">
        <f>1101393</f>
        <v>1101393.0</v>
      </c>
      <c r="U266" s="32" t="n">
        <f>38638</f>
        <v>38638.0</v>
      </c>
      <c r="V266" s="32" t="n">
        <f>21274784724</f>
        <v>2.1274784724E10</v>
      </c>
      <c r="W266" s="32" t="n">
        <f>746757974</f>
        <v>7.46757974E8</v>
      </c>
      <c r="X266" s="36" t="n">
        <f>21</f>
        <v>21.0</v>
      </c>
    </row>
    <row r="267">
      <c r="A267" s="27" t="s">
        <v>42</v>
      </c>
      <c r="B267" s="27" t="s">
        <v>848</v>
      </c>
      <c r="C267" s="27" t="s">
        <v>849</v>
      </c>
      <c r="D267" s="27" t="s">
        <v>850</v>
      </c>
      <c r="E267" s="28" t="s">
        <v>46</v>
      </c>
      <c r="F267" s="29" t="s">
        <v>46</v>
      </c>
      <c r="G267" s="30" t="s">
        <v>46</v>
      </c>
      <c r="H267" s="31"/>
      <c r="I267" s="31" t="s">
        <v>47</v>
      </c>
      <c r="J267" s="32" t="n">
        <v>1.0</v>
      </c>
      <c r="K267" s="33" t="n">
        <f>17015</f>
        <v>17015.0</v>
      </c>
      <c r="L267" s="34" t="s">
        <v>48</v>
      </c>
      <c r="M267" s="33" t="n">
        <f>17165</f>
        <v>17165.0</v>
      </c>
      <c r="N267" s="34" t="s">
        <v>156</v>
      </c>
      <c r="O267" s="33" t="n">
        <f>16350</f>
        <v>16350.0</v>
      </c>
      <c r="P267" s="34" t="s">
        <v>73</v>
      </c>
      <c r="Q267" s="33" t="n">
        <f>17120</f>
        <v>17120.0</v>
      </c>
      <c r="R267" s="34" t="s">
        <v>51</v>
      </c>
      <c r="S267" s="35" t="n">
        <f>16881.19</f>
        <v>16881.19</v>
      </c>
      <c r="T267" s="32" t="n">
        <f>314686</f>
        <v>314686.0</v>
      </c>
      <c r="U267" s="32" t="n">
        <f>477</f>
        <v>477.0</v>
      </c>
      <c r="V267" s="32" t="n">
        <f>5322786635</f>
        <v>5.322786635E9</v>
      </c>
      <c r="W267" s="32" t="n">
        <f>8081465</f>
        <v>8081465.0</v>
      </c>
      <c r="X267" s="36" t="n">
        <f>21</f>
        <v>21.0</v>
      </c>
    </row>
    <row r="268">
      <c r="A268" s="27" t="s">
        <v>42</v>
      </c>
      <c r="B268" s="27" t="s">
        <v>851</v>
      </c>
      <c r="C268" s="27" t="s">
        <v>852</v>
      </c>
      <c r="D268" s="27" t="s">
        <v>853</v>
      </c>
      <c r="E268" s="28" t="s">
        <v>46</v>
      </c>
      <c r="F268" s="29" t="s">
        <v>46</v>
      </c>
      <c r="G268" s="30" t="s">
        <v>46</v>
      </c>
      <c r="H268" s="31"/>
      <c r="I268" s="31" t="s">
        <v>47</v>
      </c>
      <c r="J268" s="32" t="n">
        <v>1.0</v>
      </c>
      <c r="K268" s="33" t="n">
        <f>34450</f>
        <v>34450.0</v>
      </c>
      <c r="L268" s="34" t="s">
        <v>61</v>
      </c>
      <c r="M268" s="33" t="n">
        <f>38580</f>
        <v>38580.0</v>
      </c>
      <c r="N268" s="34" t="s">
        <v>61</v>
      </c>
      <c r="O268" s="33" t="n">
        <f>30880</f>
        <v>30880.0</v>
      </c>
      <c r="P268" s="34" t="s">
        <v>254</v>
      </c>
      <c r="Q268" s="33" t="n">
        <f>31100</f>
        <v>31100.0</v>
      </c>
      <c r="R268" s="34" t="s">
        <v>156</v>
      </c>
      <c r="S268" s="35" t="n">
        <f>31876.67</f>
        <v>31876.67</v>
      </c>
      <c r="T268" s="32" t="n">
        <f>127</f>
        <v>127.0</v>
      </c>
      <c r="U268" s="32" t="str">
        <f>"－"</f>
        <v>－</v>
      </c>
      <c r="V268" s="32" t="n">
        <f>4077110</f>
        <v>4077110.0</v>
      </c>
      <c r="W268" s="32" t="str">
        <f>"－"</f>
        <v>－</v>
      </c>
      <c r="X268" s="36" t="n">
        <f>6</f>
        <v>6.0</v>
      </c>
    </row>
    <row r="269">
      <c r="A269" s="27" t="s">
        <v>42</v>
      </c>
      <c r="B269" s="27" t="s">
        <v>854</v>
      </c>
      <c r="C269" s="27" t="s">
        <v>855</v>
      </c>
      <c r="D269" s="27" t="s">
        <v>856</v>
      </c>
      <c r="E269" s="28" t="s">
        <v>46</v>
      </c>
      <c r="F269" s="29" t="s">
        <v>46</v>
      </c>
      <c r="G269" s="30" t="s">
        <v>46</v>
      </c>
      <c r="H269" s="31"/>
      <c r="I269" s="31" t="s">
        <v>47</v>
      </c>
      <c r="J269" s="32" t="n">
        <v>1.0</v>
      </c>
      <c r="K269" s="33" t="n">
        <f>2450</f>
        <v>2450.0</v>
      </c>
      <c r="L269" s="34" t="s">
        <v>48</v>
      </c>
      <c r="M269" s="33" t="n">
        <f>2495</f>
        <v>2495.0</v>
      </c>
      <c r="N269" s="34" t="s">
        <v>68</v>
      </c>
      <c r="O269" s="33" t="n">
        <f>2419</f>
        <v>2419.0</v>
      </c>
      <c r="P269" s="34" t="s">
        <v>61</v>
      </c>
      <c r="Q269" s="33" t="n">
        <f>2471</f>
        <v>2471.0</v>
      </c>
      <c r="R269" s="34" t="s">
        <v>51</v>
      </c>
      <c r="S269" s="35" t="n">
        <f>2461</f>
        <v>2461.0</v>
      </c>
      <c r="T269" s="32" t="n">
        <f>1815861</f>
        <v>1815861.0</v>
      </c>
      <c r="U269" s="32" t="n">
        <f>1595411</f>
        <v>1595411.0</v>
      </c>
      <c r="V269" s="32" t="n">
        <f>4481578101</f>
        <v>4.481578101E9</v>
      </c>
      <c r="W269" s="32" t="n">
        <f>3939299266</f>
        <v>3.939299266E9</v>
      </c>
      <c r="X269" s="36" t="n">
        <f>21</f>
        <v>21.0</v>
      </c>
    </row>
    <row r="270">
      <c r="A270" s="27" t="s">
        <v>42</v>
      </c>
      <c r="B270" s="27" t="s">
        <v>857</v>
      </c>
      <c r="C270" s="27" t="s">
        <v>858</v>
      </c>
      <c r="D270" s="27" t="s">
        <v>859</v>
      </c>
      <c r="E270" s="28" t="s">
        <v>46</v>
      </c>
      <c r="F270" s="29" t="s">
        <v>46</v>
      </c>
      <c r="G270" s="30" t="s">
        <v>46</v>
      </c>
      <c r="H270" s="31"/>
      <c r="I270" s="31" t="s">
        <v>47</v>
      </c>
      <c r="J270" s="32" t="n">
        <v>10.0</v>
      </c>
      <c r="K270" s="33" t="n">
        <f>2860.5</f>
        <v>2860.5</v>
      </c>
      <c r="L270" s="34" t="s">
        <v>48</v>
      </c>
      <c r="M270" s="33" t="n">
        <f>2988</f>
        <v>2988.0</v>
      </c>
      <c r="N270" s="34" t="s">
        <v>51</v>
      </c>
      <c r="O270" s="33" t="n">
        <f>2860</f>
        <v>2860.0</v>
      </c>
      <c r="P270" s="34" t="s">
        <v>48</v>
      </c>
      <c r="Q270" s="33" t="n">
        <f>2986</f>
        <v>2986.0</v>
      </c>
      <c r="R270" s="34" t="s">
        <v>51</v>
      </c>
      <c r="S270" s="35" t="n">
        <f>2929.69</f>
        <v>2929.69</v>
      </c>
      <c r="T270" s="32" t="n">
        <f>2070860</f>
        <v>2070860.0</v>
      </c>
      <c r="U270" s="32" t="n">
        <f>962730</f>
        <v>962730.0</v>
      </c>
      <c r="V270" s="32" t="n">
        <f>6013278683</f>
        <v>6.013278683E9</v>
      </c>
      <c r="W270" s="32" t="n">
        <f>2780914003</f>
        <v>2.780914003E9</v>
      </c>
      <c r="X270" s="36" t="n">
        <f>21</f>
        <v>21.0</v>
      </c>
    </row>
    <row r="271">
      <c r="A271" s="27" t="s">
        <v>42</v>
      </c>
      <c r="B271" s="27" t="s">
        <v>860</v>
      </c>
      <c r="C271" s="27" t="s">
        <v>861</v>
      </c>
      <c r="D271" s="27" t="s">
        <v>862</v>
      </c>
      <c r="E271" s="28" t="s">
        <v>46</v>
      </c>
      <c r="F271" s="29" t="s">
        <v>46</v>
      </c>
      <c r="G271" s="30" t="s">
        <v>46</v>
      </c>
      <c r="H271" s="31"/>
      <c r="I271" s="31" t="s">
        <v>47</v>
      </c>
      <c r="J271" s="32" t="n">
        <v>10.0</v>
      </c>
      <c r="K271" s="33" t="n">
        <f>273.2</f>
        <v>273.2</v>
      </c>
      <c r="L271" s="34" t="s">
        <v>48</v>
      </c>
      <c r="M271" s="33" t="n">
        <f>285.4</f>
        <v>285.4</v>
      </c>
      <c r="N271" s="34" t="s">
        <v>177</v>
      </c>
      <c r="O271" s="33" t="n">
        <f>271.9</f>
        <v>271.9</v>
      </c>
      <c r="P271" s="34" t="s">
        <v>231</v>
      </c>
      <c r="Q271" s="33" t="n">
        <f>284.9</f>
        <v>284.9</v>
      </c>
      <c r="R271" s="34" t="s">
        <v>51</v>
      </c>
      <c r="S271" s="35" t="n">
        <f>279.36</f>
        <v>279.36</v>
      </c>
      <c r="T271" s="32" t="n">
        <f>52225900</f>
        <v>5.22259E7</v>
      </c>
      <c r="U271" s="32" t="n">
        <f>5357600</f>
        <v>5357600.0</v>
      </c>
      <c r="V271" s="32" t="n">
        <f>14587271615</f>
        <v>1.4587271615E10</v>
      </c>
      <c r="W271" s="32" t="n">
        <f>1501222936</f>
        <v>1.501222936E9</v>
      </c>
      <c r="X271" s="36" t="n">
        <f>21</f>
        <v>21.0</v>
      </c>
    </row>
    <row r="272">
      <c r="A272" s="27" t="s">
        <v>42</v>
      </c>
      <c r="B272" s="27" t="s">
        <v>863</v>
      </c>
      <c r="C272" s="27" t="s">
        <v>864</v>
      </c>
      <c r="D272" s="27" t="s">
        <v>865</v>
      </c>
      <c r="E272" s="28" t="s">
        <v>46</v>
      </c>
      <c r="F272" s="29" t="s">
        <v>46</v>
      </c>
      <c r="G272" s="30" t="s">
        <v>46</v>
      </c>
      <c r="H272" s="31"/>
      <c r="I272" s="31" t="s">
        <v>47</v>
      </c>
      <c r="J272" s="32" t="n">
        <v>1.0</v>
      </c>
      <c r="K272" s="33" t="n">
        <f>2555</f>
        <v>2555.0</v>
      </c>
      <c r="L272" s="34" t="s">
        <v>48</v>
      </c>
      <c r="M272" s="33" t="n">
        <f>2583</f>
        <v>2583.0</v>
      </c>
      <c r="N272" s="34" t="s">
        <v>177</v>
      </c>
      <c r="O272" s="33" t="n">
        <f>2448</f>
        <v>2448.0</v>
      </c>
      <c r="P272" s="34" t="s">
        <v>90</v>
      </c>
      <c r="Q272" s="33" t="n">
        <f>2560</f>
        <v>2560.0</v>
      </c>
      <c r="R272" s="34" t="s">
        <v>51</v>
      </c>
      <c r="S272" s="35" t="n">
        <f>2529.71</f>
        <v>2529.71</v>
      </c>
      <c r="T272" s="32" t="n">
        <f>1023623</f>
        <v>1023623.0</v>
      </c>
      <c r="U272" s="32" t="n">
        <f>194268</f>
        <v>194268.0</v>
      </c>
      <c r="V272" s="32" t="n">
        <f>2580918872</f>
        <v>2.580918872E9</v>
      </c>
      <c r="W272" s="32" t="n">
        <f>487723897</f>
        <v>4.87723897E8</v>
      </c>
      <c r="X272" s="36" t="n">
        <f>21</f>
        <v>21.0</v>
      </c>
    </row>
    <row r="273">
      <c r="A273" s="27" t="s">
        <v>42</v>
      </c>
      <c r="B273" s="27" t="s">
        <v>866</v>
      </c>
      <c r="C273" s="27" t="s">
        <v>867</v>
      </c>
      <c r="D273" s="27" t="s">
        <v>868</v>
      </c>
      <c r="E273" s="28" t="s">
        <v>46</v>
      </c>
      <c r="F273" s="29" t="s">
        <v>46</v>
      </c>
      <c r="G273" s="30" t="s">
        <v>46</v>
      </c>
      <c r="H273" s="31"/>
      <c r="I273" s="31" t="s">
        <v>47</v>
      </c>
      <c r="J273" s="32" t="n">
        <v>1.0</v>
      </c>
      <c r="K273" s="33" t="n">
        <f>942</f>
        <v>942.0</v>
      </c>
      <c r="L273" s="34" t="s">
        <v>48</v>
      </c>
      <c r="M273" s="33" t="n">
        <f>942</f>
        <v>942.0</v>
      </c>
      <c r="N273" s="34" t="s">
        <v>48</v>
      </c>
      <c r="O273" s="33" t="n">
        <f>887</f>
        <v>887.0</v>
      </c>
      <c r="P273" s="34" t="s">
        <v>103</v>
      </c>
      <c r="Q273" s="33" t="n">
        <f>923</f>
        <v>923.0</v>
      </c>
      <c r="R273" s="34" t="s">
        <v>51</v>
      </c>
      <c r="S273" s="35" t="n">
        <f>915.86</f>
        <v>915.86</v>
      </c>
      <c r="T273" s="32" t="n">
        <f>3274758</f>
        <v>3274758.0</v>
      </c>
      <c r="U273" s="32" t="n">
        <f>2782002</f>
        <v>2782002.0</v>
      </c>
      <c r="V273" s="32" t="n">
        <f>3028512272</f>
        <v>3.028512272E9</v>
      </c>
      <c r="W273" s="32" t="n">
        <f>2576764355</f>
        <v>2.576764355E9</v>
      </c>
      <c r="X273" s="36" t="n">
        <f>21</f>
        <v>21.0</v>
      </c>
    </row>
    <row r="274">
      <c r="A274" s="27" t="s">
        <v>42</v>
      </c>
      <c r="B274" s="27" t="s">
        <v>869</v>
      </c>
      <c r="C274" s="27" t="s">
        <v>870</v>
      </c>
      <c r="D274" s="27" t="s">
        <v>871</v>
      </c>
      <c r="E274" s="28" t="s">
        <v>46</v>
      </c>
      <c r="F274" s="29" t="s">
        <v>46</v>
      </c>
      <c r="G274" s="30" t="s">
        <v>46</v>
      </c>
      <c r="H274" s="31"/>
      <c r="I274" s="31" t="s">
        <v>47</v>
      </c>
      <c r="J274" s="32" t="n">
        <v>10.0</v>
      </c>
      <c r="K274" s="33" t="n">
        <f>1035.5</f>
        <v>1035.5</v>
      </c>
      <c r="L274" s="34" t="s">
        <v>48</v>
      </c>
      <c r="M274" s="33" t="n">
        <f>1037</f>
        <v>1037.0</v>
      </c>
      <c r="N274" s="34" t="s">
        <v>48</v>
      </c>
      <c r="O274" s="33" t="n">
        <f>994.1</f>
        <v>994.1</v>
      </c>
      <c r="P274" s="34" t="s">
        <v>103</v>
      </c>
      <c r="Q274" s="33" t="n">
        <f>1023</f>
        <v>1023.0</v>
      </c>
      <c r="R274" s="34" t="s">
        <v>51</v>
      </c>
      <c r="S274" s="35" t="n">
        <f>1016.48</f>
        <v>1016.48</v>
      </c>
      <c r="T274" s="32" t="n">
        <f>86380</f>
        <v>86380.0</v>
      </c>
      <c r="U274" s="32" t="str">
        <f>"－"</f>
        <v>－</v>
      </c>
      <c r="V274" s="32" t="n">
        <f>88236168</f>
        <v>8.8236168E7</v>
      </c>
      <c r="W274" s="32" t="str">
        <f>"－"</f>
        <v>－</v>
      </c>
      <c r="X274" s="36" t="n">
        <f>21</f>
        <v>21.0</v>
      </c>
    </row>
    <row r="275">
      <c r="A275" s="27" t="s">
        <v>42</v>
      </c>
      <c r="B275" s="27" t="s">
        <v>872</v>
      </c>
      <c r="C275" s="27" t="s">
        <v>873</v>
      </c>
      <c r="D275" s="27" t="s">
        <v>874</v>
      </c>
      <c r="E275" s="28" t="s">
        <v>46</v>
      </c>
      <c r="F275" s="29" t="s">
        <v>46</v>
      </c>
      <c r="G275" s="30" t="s">
        <v>46</v>
      </c>
      <c r="H275" s="31"/>
      <c r="I275" s="31" t="s">
        <v>47</v>
      </c>
      <c r="J275" s="32" t="n">
        <v>10.0</v>
      </c>
      <c r="K275" s="33" t="n">
        <f>322.9</f>
        <v>322.9</v>
      </c>
      <c r="L275" s="34" t="s">
        <v>48</v>
      </c>
      <c r="M275" s="33" t="n">
        <f>323.9</f>
        <v>323.9</v>
      </c>
      <c r="N275" s="34" t="s">
        <v>48</v>
      </c>
      <c r="O275" s="33" t="n">
        <f>310.6</f>
        <v>310.6</v>
      </c>
      <c r="P275" s="34" t="s">
        <v>50</v>
      </c>
      <c r="Q275" s="33" t="n">
        <f>317.4</f>
        <v>317.4</v>
      </c>
      <c r="R275" s="34" t="s">
        <v>51</v>
      </c>
      <c r="S275" s="35" t="n">
        <f>315.27</f>
        <v>315.27</v>
      </c>
      <c r="T275" s="32" t="n">
        <f>12980</f>
        <v>12980.0</v>
      </c>
      <c r="U275" s="32" t="str">
        <f>"－"</f>
        <v>－</v>
      </c>
      <c r="V275" s="32" t="n">
        <f>4098951</f>
        <v>4098951.0</v>
      </c>
      <c r="W275" s="32" t="str">
        <f>"－"</f>
        <v>－</v>
      </c>
      <c r="X275" s="36" t="n">
        <f>20</f>
        <v>20.0</v>
      </c>
    </row>
    <row r="276">
      <c r="A276" s="27" t="s">
        <v>42</v>
      </c>
      <c r="B276" s="27" t="s">
        <v>875</v>
      </c>
      <c r="C276" s="27" t="s">
        <v>876</v>
      </c>
      <c r="D276" s="27" t="s">
        <v>877</v>
      </c>
      <c r="E276" s="28" t="s">
        <v>46</v>
      </c>
      <c r="F276" s="29" t="s">
        <v>46</v>
      </c>
      <c r="G276" s="30" t="s">
        <v>46</v>
      </c>
      <c r="H276" s="31"/>
      <c r="I276" s="31" t="s">
        <v>47</v>
      </c>
      <c r="J276" s="32" t="n">
        <v>10.0</v>
      </c>
      <c r="K276" s="33" t="n">
        <f>4057</f>
        <v>4057.0</v>
      </c>
      <c r="L276" s="34" t="s">
        <v>48</v>
      </c>
      <c r="M276" s="33" t="n">
        <f>4171</f>
        <v>4171.0</v>
      </c>
      <c r="N276" s="34" t="s">
        <v>69</v>
      </c>
      <c r="O276" s="33" t="n">
        <f>3928</f>
        <v>3928.0</v>
      </c>
      <c r="P276" s="34" t="s">
        <v>73</v>
      </c>
      <c r="Q276" s="33" t="n">
        <f>4118</f>
        <v>4118.0</v>
      </c>
      <c r="R276" s="34" t="s">
        <v>51</v>
      </c>
      <c r="S276" s="35" t="n">
        <f>4073.29</f>
        <v>4073.29</v>
      </c>
      <c r="T276" s="32" t="n">
        <f>3239800</f>
        <v>3239800.0</v>
      </c>
      <c r="U276" s="32" t="n">
        <f>247000</f>
        <v>247000.0</v>
      </c>
      <c r="V276" s="32" t="n">
        <f>13177779096</f>
        <v>1.3177779096E10</v>
      </c>
      <c r="W276" s="32" t="n">
        <f>1001262566</f>
        <v>1.001262566E9</v>
      </c>
      <c r="X276" s="36" t="n">
        <f>21</f>
        <v>21.0</v>
      </c>
    </row>
    <row r="277">
      <c r="A277" s="27" t="s">
        <v>42</v>
      </c>
      <c r="B277" s="27" t="s">
        <v>878</v>
      </c>
      <c r="C277" s="27" t="s">
        <v>879</v>
      </c>
      <c r="D277" s="27" t="s">
        <v>880</v>
      </c>
      <c r="E277" s="28" t="s">
        <v>46</v>
      </c>
      <c r="F277" s="29" t="s">
        <v>46</v>
      </c>
      <c r="G277" s="30" t="s">
        <v>46</v>
      </c>
      <c r="H277" s="31"/>
      <c r="I277" s="31" t="s">
        <v>47</v>
      </c>
      <c r="J277" s="32" t="n">
        <v>10.0</v>
      </c>
      <c r="K277" s="33" t="n">
        <f>2611</f>
        <v>2611.0</v>
      </c>
      <c r="L277" s="34" t="s">
        <v>48</v>
      </c>
      <c r="M277" s="33" t="n">
        <f>2762</f>
        <v>2762.0</v>
      </c>
      <c r="N277" s="34" t="s">
        <v>177</v>
      </c>
      <c r="O277" s="33" t="n">
        <f>2583</f>
        <v>2583.0</v>
      </c>
      <c r="P277" s="34" t="s">
        <v>231</v>
      </c>
      <c r="Q277" s="33" t="n">
        <f>2752</f>
        <v>2752.0</v>
      </c>
      <c r="R277" s="34" t="s">
        <v>51</v>
      </c>
      <c r="S277" s="35" t="n">
        <f>2684.98</f>
        <v>2684.98</v>
      </c>
      <c r="T277" s="32" t="n">
        <f>5696070</f>
        <v>5696070.0</v>
      </c>
      <c r="U277" s="32" t="n">
        <f>2093690</f>
        <v>2093690.0</v>
      </c>
      <c r="V277" s="32" t="n">
        <f>15101068835</f>
        <v>1.5101068835E10</v>
      </c>
      <c r="W277" s="32" t="n">
        <f>5505431200</f>
        <v>5.5054312E9</v>
      </c>
      <c r="X277" s="36" t="n">
        <f>21</f>
        <v>21.0</v>
      </c>
    </row>
    <row r="278">
      <c r="A278" s="27" t="s">
        <v>42</v>
      </c>
      <c r="B278" s="27" t="s">
        <v>881</v>
      </c>
      <c r="C278" s="27" t="s">
        <v>882</v>
      </c>
      <c r="D278" s="27" t="s">
        <v>883</v>
      </c>
      <c r="E278" s="28" t="s">
        <v>46</v>
      </c>
      <c r="F278" s="29" t="s">
        <v>46</v>
      </c>
      <c r="G278" s="30" t="s">
        <v>46</v>
      </c>
      <c r="H278" s="31"/>
      <c r="I278" s="31" t="s">
        <v>47</v>
      </c>
      <c r="J278" s="32" t="n">
        <v>10.0</v>
      </c>
      <c r="K278" s="33" t="n">
        <f>332.2</f>
        <v>332.2</v>
      </c>
      <c r="L278" s="34" t="s">
        <v>48</v>
      </c>
      <c r="M278" s="33" t="n">
        <f>336</f>
        <v>336.0</v>
      </c>
      <c r="N278" s="34" t="s">
        <v>89</v>
      </c>
      <c r="O278" s="33" t="n">
        <f>319.2</f>
        <v>319.2</v>
      </c>
      <c r="P278" s="34" t="s">
        <v>90</v>
      </c>
      <c r="Q278" s="33" t="n">
        <f>320.7</f>
        <v>320.7</v>
      </c>
      <c r="R278" s="34" t="s">
        <v>51</v>
      </c>
      <c r="S278" s="35" t="n">
        <f>325.22</f>
        <v>325.22</v>
      </c>
      <c r="T278" s="32" t="n">
        <f>74191600</f>
        <v>7.41916E7</v>
      </c>
      <c r="U278" s="32" t="n">
        <f>51047280</f>
        <v>5.104728E7</v>
      </c>
      <c r="V278" s="32" t="n">
        <f>24028551131</f>
        <v>2.4028551131E10</v>
      </c>
      <c r="W278" s="32" t="n">
        <f>16504425062</f>
        <v>1.6504425062E10</v>
      </c>
      <c r="X278" s="36" t="n">
        <f>21</f>
        <v>21.0</v>
      </c>
    </row>
    <row r="279">
      <c r="A279" s="27" t="s">
        <v>42</v>
      </c>
      <c r="B279" s="27" t="s">
        <v>884</v>
      </c>
      <c r="C279" s="27" t="s">
        <v>885</v>
      </c>
      <c r="D279" s="27" t="s">
        <v>886</v>
      </c>
      <c r="E279" s="28" t="s">
        <v>46</v>
      </c>
      <c r="F279" s="29" t="s">
        <v>46</v>
      </c>
      <c r="G279" s="30" t="s">
        <v>46</v>
      </c>
      <c r="H279" s="31"/>
      <c r="I279" s="31" t="s">
        <v>47</v>
      </c>
      <c r="J279" s="32" t="n">
        <v>1.0</v>
      </c>
      <c r="K279" s="33" t="n">
        <f>1265</f>
        <v>1265.0</v>
      </c>
      <c r="L279" s="34" t="s">
        <v>48</v>
      </c>
      <c r="M279" s="33" t="n">
        <f>1381</f>
        <v>1381.0</v>
      </c>
      <c r="N279" s="34" t="s">
        <v>177</v>
      </c>
      <c r="O279" s="33" t="n">
        <f>1260</f>
        <v>1260.0</v>
      </c>
      <c r="P279" s="34" t="s">
        <v>48</v>
      </c>
      <c r="Q279" s="33" t="n">
        <f>1369</f>
        <v>1369.0</v>
      </c>
      <c r="R279" s="34" t="s">
        <v>51</v>
      </c>
      <c r="S279" s="35" t="n">
        <f>1335.1</f>
        <v>1335.1</v>
      </c>
      <c r="T279" s="32" t="n">
        <f>42007424</f>
        <v>4.2007424E7</v>
      </c>
      <c r="U279" s="32" t="n">
        <f>194348</f>
        <v>194348.0</v>
      </c>
      <c r="V279" s="32" t="n">
        <f>55975207170</f>
        <v>5.597520717E10</v>
      </c>
      <c r="W279" s="32" t="n">
        <f>259493505</f>
        <v>2.59493505E8</v>
      </c>
      <c r="X279" s="36" t="n">
        <f>21</f>
        <v>21.0</v>
      </c>
    </row>
    <row r="280">
      <c r="A280" s="27" t="s">
        <v>42</v>
      </c>
      <c r="B280" s="27" t="s">
        <v>887</v>
      </c>
      <c r="C280" s="27" t="s">
        <v>888</v>
      </c>
      <c r="D280" s="27" t="s">
        <v>889</v>
      </c>
      <c r="E280" s="28" t="s">
        <v>46</v>
      </c>
      <c r="F280" s="29" t="s">
        <v>46</v>
      </c>
      <c r="G280" s="30" t="s">
        <v>46</v>
      </c>
      <c r="H280" s="31"/>
      <c r="I280" s="31" t="s">
        <v>47</v>
      </c>
      <c r="J280" s="32" t="n">
        <v>1.0</v>
      </c>
      <c r="K280" s="33" t="n">
        <f>1759</f>
        <v>1759.0</v>
      </c>
      <c r="L280" s="34" t="s">
        <v>48</v>
      </c>
      <c r="M280" s="33" t="n">
        <f>1840</f>
        <v>1840.0</v>
      </c>
      <c r="N280" s="34" t="s">
        <v>177</v>
      </c>
      <c r="O280" s="33" t="n">
        <f>1750</f>
        <v>1750.0</v>
      </c>
      <c r="P280" s="34" t="s">
        <v>48</v>
      </c>
      <c r="Q280" s="33" t="n">
        <f>1827</f>
        <v>1827.0</v>
      </c>
      <c r="R280" s="34" t="s">
        <v>51</v>
      </c>
      <c r="S280" s="35" t="n">
        <f>1799.19</f>
        <v>1799.19</v>
      </c>
      <c r="T280" s="32" t="n">
        <f>76669</f>
        <v>76669.0</v>
      </c>
      <c r="U280" s="32" t="str">
        <f>"－"</f>
        <v>－</v>
      </c>
      <c r="V280" s="32" t="n">
        <f>137592056</f>
        <v>1.37592056E8</v>
      </c>
      <c r="W280" s="32" t="str">
        <f>"－"</f>
        <v>－</v>
      </c>
      <c r="X280" s="36" t="n">
        <f>21</f>
        <v>21.0</v>
      </c>
    </row>
    <row r="281">
      <c r="A281" s="27" t="s">
        <v>42</v>
      </c>
      <c r="B281" s="27" t="s">
        <v>890</v>
      </c>
      <c r="C281" s="27" t="s">
        <v>891</v>
      </c>
      <c r="D281" s="27" t="s">
        <v>892</v>
      </c>
      <c r="E281" s="28" t="s">
        <v>46</v>
      </c>
      <c r="F281" s="29" t="s">
        <v>46</v>
      </c>
      <c r="G281" s="30" t="s">
        <v>46</v>
      </c>
      <c r="H281" s="31"/>
      <c r="I281" s="31" t="s">
        <v>47</v>
      </c>
      <c r="J281" s="32" t="n">
        <v>1.0</v>
      </c>
      <c r="K281" s="33" t="n">
        <f>2066</f>
        <v>2066.0</v>
      </c>
      <c r="L281" s="34" t="s">
        <v>48</v>
      </c>
      <c r="M281" s="33" t="n">
        <f>2206</f>
        <v>2206.0</v>
      </c>
      <c r="N281" s="34" t="s">
        <v>177</v>
      </c>
      <c r="O281" s="33" t="n">
        <f>2038</f>
        <v>2038.0</v>
      </c>
      <c r="P281" s="34" t="s">
        <v>89</v>
      </c>
      <c r="Q281" s="33" t="n">
        <f>2154</f>
        <v>2154.0</v>
      </c>
      <c r="R281" s="34" t="s">
        <v>51</v>
      </c>
      <c r="S281" s="35" t="n">
        <f>2129.38</f>
        <v>2129.38</v>
      </c>
      <c r="T281" s="32" t="n">
        <f>1039469</f>
        <v>1039469.0</v>
      </c>
      <c r="U281" s="32" t="n">
        <f>1034000</f>
        <v>1034000.0</v>
      </c>
      <c r="V281" s="32" t="n">
        <f>2224317523</f>
        <v>2.224317523E9</v>
      </c>
      <c r="W281" s="32" t="n">
        <f>2212701600</f>
        <v>2.2127016E9</v>
      </c>
      <c r="X281" s="36" t="n">
        <f>21</f>
        <v>21.0</v>
      </c>
    </row>
    <row r="282">
      <c r="A282" s="27" t="s">
        <v>42</v>
      </c>
      <c r="B282" s="27" t="s">
        <v>893</v>
      </c>
      <c r="C282" s="27" t="s">
        <v>894</v>
      </c>
      <c r="D282" s="27" t="s">
        <v>895</v>
      </c>
      <c r="E282" s="28" t="s">
        <v>46</v>
      </c>
      <c r="F282" s="29" t="s">
        <v>46</v>
      </c>
      <c r="G282" s="30" t="s">
        <v>46</v>
      </c>
      <c r="H282" s="31"/>
      <c r="I282" s="31" t="s">
        <v>47</v>
      </c>
      <c r="J282" s="32" t="n">
        <v>1.0</v>
      </c>
      <c r="K282" s="33" t="n">
        <f>3370</f>
        <v>3370.0</v>
      </c>
      <c r="L282" s="34" t="s">
        <v>48</v>
      </c>
      <c r="M282" s="33" t="n">
        <f>3395</f>
        <v>3395.0</v>
      </c>
      <c r="N282" s="34" t="s">
        <v>69</v>
      </c>
      <c r="O282" s="33" t="n">
        <f>3230</f>
        <v>3230.0</v>
      </c>
      <c r="P282" s="34" t="s">
        <v>73</v>
      </c>
      <c r="Q282" s="33" t="n">
        <f>3360</f>
        <v>3360.0</v>
      </c>
      <c r="R282" s="34" t="s">
        <v>51</v>
      </c>
      <c r="S282" s="35" t="n">
        <f>3321.9</f>
        <v>3321.9</v>
      </c>
      <c r="T282" s="32" t="n">
        <f>1039300</f>
        <v>1039300.0</v>
      </c>
      <c r="U282" s="32" t="n">
        <f>418000</f>
        <v>418000.0</v>
      </c>
      <c r="V282" s="32" t="n">
        <f>3453522010</f>
        <v>3.45352201E9</v>
      </c>
      <c r="W282" s="32" t="n">
        <f>1383883100</f>
        <v>1.3838831E9</v>
      </c>
      <c r="X282" s="36" t="n">
        <f>21</f>
        <v>21.0</v>
      </c>
    </row>
    <row r="283">
      <c r="A283" s="27" t="s">
        <v>42</v>
      </c>
      <c r="B283" s="27" t="s">
        <v>896</v>
      </c>
      <c r="C283" s="27" t="s">
        <v>897</v>
      </c>
      <c r="D283" s="27" t="s">
        <v>898</v>
      </c>
      <c r="E283" s="28" t="s">
        <v>46</v>
      </c>
      <c r="F283" s="29" t="s">
        <v>46</v>
      </c>
      <c r="G283" s="30" t="s">
        <v>46</v>
      </c>
      <c r="H283" s="31"/>
      <c r="I283" s="31" t="s">
        <v>47</v>
      </c>
      <c r="J283" s="32" t="n">
        <v>1.0</v>
      </c>
      <c r="K283" s="33" t="n">
        <f>2391</f>
        <v>2391.0</v>
      </c>
      <c r="L283" s="34" t="s">
        <v>48</v>
      </c>
      <c r="M283" s="33" t="n">
        <f>2393</f>
        <v>2393.0</v>
      </c>
      <c r="N283" s="34" t="s">
        <v>49</v>
      </c>
      <c r="O283" s="33" t="n">
        <f>2299</f>
        <v>2299.0</v>
      </c>
      <c r="P283" s="34" t="s">
        <v>50</v>
      </c>
      <c r="Q283" s="33" t="n">
        <f>2371</f>
        <v>2371.0</v>
      </c>
      <c r="R283" s="34" t="s">
        <v>51</v>
      </c>
      <c r="S283" s="35" t="n">
        <f>2351.95</f>
        <v>2351.95</v>
      </c>
      <c r="T283" s="32" t="n">
        <f>2859373</f>
        <v>2859373.0</v>
      </c>
      <c r="U283" s="32" t="n">
        <f>998148</f>
        <v>998148.0</v>
      </c>
      <c r="V283" s="32" t="n">
        <f>6679229686</f>
        <v>6.679229686E9</v>
      </c>
      <c r="W283" s="32" t="n">
        <f>2310279225</f>
        <v>2.310279225E9</v>
      </c>
      <c r="X283" s="36" t="n">
        <f>21</f>
        <v>21.0</v>
      </c>
    </row>
    <row r="284">
      <c r="A284" s="27" t="s">
        <v>42</v>
      </c>
      <c r="B284" s="27" t="s">
        <v>899</v>
      </c>
      <c r="C284" s="27" t="s">
        <v>900</v>
      </c>
      <c r="D284" s="27" t="s">
        <v>901</v>
      </c>
      <c r="E284" s="28" t="s">
        <v>46</v>
      </c>
      <c r="F284" s="29" t="s">
        <v>46</v>
      </c>
      <c r="G284" s="30" t="s">
        <v>46</v>
      </c>
      <c r="H284" s="31"/>
      <c r="I284" s="31" t="s">
        <v>47</v>
      </c>
      <c r="J284" s="32" t="n">
        <v>1.0</v>
      </c>
      <c r="K284" s="33" t="n">
        <f>2060</f>
        <v>2060.0</v>
      </c>
      <c r="L284" s="34" t="s">
        <v>48</v>
      </c>
      <c r="M284" s="33" t="n">
        <f>2060</f>
        <v>2060.0</v>
      </c>
      <c r="N284" s="34" t="s">
        <v>48</v>
      </c>
      <c r="O284" s="33" t="n">
        <f>1980</f>
        <v>1980.0</v>
      </c>
      <c r="P284" s="34" t="s">
        <v>116</v>
      </c>
      <c r="Q284" s="33" t="n">
        <f>2047</f>
        <v>2047.0</v>
      </c>
      <c r="R284" s="34" t="s">
        <v>51</v>
      </c>
      <c r="S284" s="35" t="n">
        <f>2021.75</f>
        <v>2021.75</v>
      </c>
      <c r="T284" s="32" t="n">
        <f>38197</f>
        <v>38197.0</v>
      </c>
      <c r="U284" s="32" t="str">
        <f>"－"</f>
        <v>－</v>
      </c>
      <c r="V284" s="32" t="n">
        <f>77189325</f>
        <v>7.7189325E7</v>
      </c>
      <c r="W284" s="32" t="str">
        <f>"－"</f>
        <v>－</v>
      </c>
      <c r="X284" s="36" t="n">
        <f>20</f>
        <v>20.0</v>
      </c>
    </row>
    <row r="285">
      <c r="A285" s="27" t="s">
        <v>42</v>
      </c>
      <c r="B285" s="27" t="s">
        <v>902</v>
      </c>
      <c r="C285" s="27" t="s">
        <v>903</v>
      </c>
      <c r="D285" s="27" t="s">
        <v>904</v>
      </c>
      <c r="E285" s="28" t="s">
        <v>46</v>
      </c>
      <c r="F285" s="29" t="s">
        <v>46</v>
      </c>
      <c r="G285" s="30" t="s">
        <v>46</v>
      </c>
      <c r="H285" s="31"/>
      <c r="I285" s="31" t="s">
        <v>47</v>
      </c>
      <c r="J285" s="32" t="n">
        <v>1.0</v>
      </c>
      <c r="K285" s="33" t="n">
        <f>1279</f>
        <v>1279.0</v>
      </c>
      <c r="L285" s="34" t="s">
        <v>48</v>
      </c>
      <c r="M285" s="33" t="n">
        <f>1324</f>
        <v>1324.0</v>
      </c>
      <c r="N285" s="34" t="s">
        <v>51</v>
      </c>
      <c r="O285" s="33" t="n">
        <f>1212</f>
        <v>1212.0</v>
      </c>
      <c r="P285" s="34" t="s">
        <v>73</v>
      </c>
      <c r="Q285" s="33" t="n">
        <f>1324</f>
        <v>1324.0</v>
      </c>
      <c r="R285" s="34" t="s">
        <v>51</v>
      </c>
      <c r="S285" s="35" t="n">
        <f>1275.43</f>
        <v>1275.43</v>
      </c>
      <c r="T285" s="32" t="n">
        <f>30473</f>
        <v>30473.0</v>
      </c>
      <c r="U285" s="32" t="str">
        <f>"－"</f>
        <v>－</v>
      </c>
      <c r="V285" s="32" t="n">
        <f>39053296</f>
        <v>3.9053296E7</v>
      </c>
      <c r="W285" s="32" t="str">
        <f>"－"</f>
        <v>－</v>
      </c>
      <c r="X285" s="36" t="n">
        <f>21</f>
        <v>21.0</v>
      </c>
    </row>
    <row r="286">
      <c r="A286" s="27" t="s">
        <v>42</v>
      </c>
      <c r="B286" s="27" t="s">
        <v>905</v>
      </c>
      <c r="C286" s="27" t="s">
        <v>906</v>
      </c>
      <c r="D286" s="27" t="s">
        <v>907</v>
      </c>
      <c r="E286" s="28" t="s">
        <v>46</v>
      </c>
      <c r="F286" s="29" t="s">
        <v>46</v>
      </c>
      <c r="G286" s="30" t="s">
        <v>46</v>
      </c>
      <c r="H286" s="31"/>
      <c r="I286" s="31" t="s">
        <v>47</v>
      </c>
      <c r="J286" s="32" t="n">
        <v>1.0</v>
      </c>
      <c r="K286" s="33" t="n">
        <f>1829</f>
        <v>1829.0</v>
      </c>
      <c r="L286" s="34" t="s">
        <v>48</v>
      </c>
      <c r="M286" s="33" t="n">
        <f>1842</f>
        <v>1842.0</v>
      </c>
      <c r="N286" s="34" t="s">
        <v>89</v>
      </c>
      <c r="O286" s="33" t="n">
        <f>1664</f>
        <v>1664.0</v>
      </c>
      <c r="P286" s="34" t="s">
        <v>103</v>
      </c>
      <c r="Q286" s="33" t="n">
        <f>1730</f>
        <v>1730.0</v>
      </c>
      <c r="R286" s="34" t="s">
        <v>51</v>
      </c>
      <c r="S286" s="35" t="n">
        <f>1750.52</f>
        <v>1750.52</v>
      </c>
      <c r="T286" s="32" t="n">
        <f>43959</f>
        <v>43959.0</v>
      </c>
      <c r="U286" s="32" t="str">
        <f>"－"</f>
        <v>－</v>
      </c>
      <c r="V286" s="32" t="n">
        <f>76862368</f>
        <v>7.6862368E7</v>
      </c>
      <c r="W286" s="32" t="str">
        <f>"－"</f>
        <v>－</v>
      </c>
      <c r="X286" s="36" t="n">
        <f>21</f>
        <v>21.0</v>
      </c>
    </row>
    <row r="287">
      <c r="A287" s="27" t="s">
        <v>42</v>
      </c>
      <c r="B287" s="27" t="s">
        <v>908</v>
      </c>
      <c r="C287" s="27" t="s">
        <v>909</v>
      </c>
      <c r="D287" s="27" t="s">
        <v>910</v>
      </c>
      <c r="E287" s="28" t="s">
        <v>46</v>
      </c>
      <c r="F287" s="29" t="s">
        <v>46</v>
      </c>
      <c r="G287" s="30" t="s">
        <v>46</v>
      </c>
      <c r="H287" s="31"/>
      <c r="I287" s="31" t="s">
        <v>47</v>
      </c>
      <c r="J287" s="32" t="n">
        <v>1.0</v>
      </c>
      <c r="K287" s="33" t="n">
        <f>2311</f>
        <v>2311.0</v>
      </c>
      <c r="L287" s="34" t="s">
        <v>48</v>
      </c>
      <c r="M287" s="33" t="n">
        <f>2425</f>
        <v>2425.0</v>
      </c>
      <c r="N287" s="34" t="s">
        <v>187</v>
      </c>
      <c r="O287" s="33" t="n">
        <f>2107</f>
        <v>2107.0</v>
      </c>
      <c r="P287" s="34" t="s">
        <v>116</v>
      </c>
      <c r="Q287" s="33" t="n">
        <f>2189</f>
        <v>2189.0</v>
      </c>
      <c r="R287" s="34" t="s">
        <v>51</v>
      </c>
      <c r="S287" s="35" t="n">
        <f>2189.71</f>
        <v>2189.71</v>
      </c>
      <c r="T287" s="32" t="n">
        <f>2657</f>
        <v>2657.0</v>
      </c>
      <c r="U287" s="32" t="str">
        <f>"－"</f>
        <v>－</v>
      </c>
      <c r="V287" s="32" t="n">
        <f>5847784</f>
        <v>5847784.0</v>
      </c>
      <c r="W287" s="32" t="str">
        <f>"－"</f>
        <v>－</v>
      </c>
      <c r="X287" s="36" t="n">
        <f>21</f>
        <v>21.0</v>
      </c>
    </row>
    <row r="288">
      <c r="A288" s="27" t="s">
        <v>42</v>
      </c>
      <c r="B288" s="27" t="s">
        <v>911</v>
      </c>
      <c r="C288" s="27" t="s">
        <v>912</v>
      </c>
      <c r="D288" s="27" t="s">
        <v>913</v>
      </c>
      <c r="E288" s="28" t="s">
        <v>46</v>
      </c>
      <c r="F288" s="29" t="s">
        <v>46</v>
      </c>
      <c r="G288" s="30" t="s">
        <v>46</v>
      </c>
      <c r="H288" s="31"/>
      <c r="I288" s="31" t="s">
        <v>47</v>
      </c>
      <c r="J288" s="32" t="n">
        <v>1.0</v>
      </c>
      <c r="K288" s="33" t="n">
        <f>10840</f>
        <v>10840.0</v>
      </c>
      <c r="L288" s="34" t="s">
        <v>48</v>
      </c>
      <c r="M288" s="33" t="n">
        <f>11255</f>
        <v>11255.0</v>
      </c>
      <c r="N288" s="34" t="s">
        <v>177</v>
      </c>
      <c r="O288" s="33" t="n">
        <f>10720</f>
        <v>10720.0</v>
      </c>
      <c r="P288" s="34" t="s">
        <v>231</v>
      </c>
      <c r="Q288" s="33" t="n">
        <f>11230</f>
        <v>11230.0</v>
      </c>
      <c r="R288" s="34" t="s">
        <v>51</v>
      </c>
      <c r="S288" s="35" t="n">
        <f>11031.9</f>
        <v>11031.9</v>
      </c>
      <c r="T288" s="32" t="n">
        <f>985241</f>
        <v>985241.0</v>
      </c>
      <c r="U288" s="32" t="n">
        <f>506447</f>
        <v>506447.0</v>
      </c>
      <c r="V288" s="32" t="n">
        <f>10784739838</f>
        <v>1.0784739838E10</v>
      </c>
      <c r="W288" s="32" t="n">
        <f>5507366098</f>
        <v>5.507366098E9</v>
      </c>
      <c r="X288" s="36" t="n">
        <f>21</f>
        <v>21.0</v>
      </c>
    </row>
    <row r="289">
      <c r="A289" s="27" t="s">
        <v>42</v>
      </c>
      <c r="B289" s="27" t="s">
        <v>914</v>
      </c>
      <c r="C289" s="27" t="s">
        <v>915</v>
      </c>
      <c r="D289" s="27" t="s">
        <v>916</v>
      </c>
      <c r="E289" s="28" t="s">
        <v>46</v>
      </c>
      <c r="F289" s="29" t="s">
        <v>46</v>
      </c>
      <c r="G289" s="30" t="s">
        <v>46</v>
      </c>
      <c r="H289" s="31"/>
      <c r="I289" s="31" t="s">
        <v>47</v>
      </c>
      <c r="J289" s="32" t="n">
        <v>1.0</v>
      </c>
      <c r="K289" s="33" t="n">
        <f>16960</f>
        <v>16960.0</v>
      </c>
      <c r="L289" s="34" t="s">
        <v>48</v>
      </c>
      <c r="M289" s="33" t="n">
        <f>17400</f>
        <v>17400.0</v>
      </c>
      <c r="N289" s="34" t="s">
        <v>69</v>
      </c>
      <c r="O289" s="33" t="n">
        <f>16370</f>
        <v>16370.0</v>
      </c>
      <c r="P289" s="34" t="s">
        <v>73</v>
      </c>
      <c r="Q289" s="33" t="n">
        <f>17150</f>
        <v>17150.0</v>
      </c>
      <c r="R289" s="34" t="s">
        <v>51</v>
      </c>
      <c r="S289" s="35" t="n">
        <f>16992.62</f>
        <v>16992.62</v>
      </c>
      <c r="T289" s="32" t="n">
        <f>761528</f>
        <v>761528.0</v>
      </c>
      <c r="U289" s="32" t="n">
        <f>310</f>
        <v>310.0</v>
      </c>
      <c r="V289" s="32" t="n">
        <f>12916980845</f>
        <v>1.2916980845E10</v>
      </c>
      <c r="W289" s="32" t="n">
        <f>4976620</f>
        <v>4976620.0</v>
      </c>
      <c r="X289" s="36" t="n">
        <f>21</f>
        <v>21.0</v>
      </c>
    </row>
    <row r="290">
      <c r="A290" s="27" t="s">
        <v>42</v>
      </c>
      <c r="B290" s="27" t="s">
        <v>917</v>
      </c>
      <c r="C290" s="27" t="s">
        <v>918</v>
      </c>
      <c r="D290" s="27" t="s">
        <v>919</v>
      </c>
      <c r="E290" s="28" t="s">
        <v>46</v>
      </c>
      <c r="F290" s="29" t="s">
        <v>46</v>
      </c>
      <c r="G290" s="30" t="s">
        <v>46</v>
      </c>
      <c r="H290" s="31"/>
      <c r="I290" s="31" t="s">
        <v>47</v>
      </c>
      <c r="J290" s="32" t="n">
        <v>1.0</v>
      </c>
      <c r="K290" s="33" t="n">
        <f>10970</f>
        <v>10970.0</v>
      </c>
      <c r="L290" s="34" t="s">
        <v>48</v>
      </c>
      <c r="M290" s="33" t="n">
        <f>11570</f>
        <v>11570.0</v>
      </c>
      <c r="N290" s="34" t="s">
        <v>177</v>
      </c>
      <c r="O290" s="33" t="n">
        <f>10810</f>
        <v>10810.0</v>
      </c>
      <c r="P290" s="34" t="s">
        <v>231</v>
      </c>
      <c r="Q290" s="33" t="n">
        <f>11530</f>
        <v>11530.0</v>
      </c>
      <c r="R290" s="34" t="s">
        <v>51</v>
      </c>
      <c r="S290" s="35" t="n">
        <f>11249.76</f>
        <v>11249.76</v>
      </c>
      <c r="T290" s="32" t="n">
        <f>956570</f>
        <v>956570.0</v>
      </c>
      <c r="U290" s="32" t="n">
        <f>129490</f>
        <v>129490.0</v>
      </c>
      <c r="V290" s="32" t="n">
        <f>10752072437</f>
        <v>1.0752072437E10</v>
      </c>
      <c r="W290" s="32" t="n">
        <f>1450511877</f>
        <v>1.450511877E9</v>
      </c>
      <c r="X290" s="36" t="n">
        <f>21</f>
        <v>21.0</v>
      </c>
    </row>
    <row r="291">
      <c r="A291" s="27" t="s">
        <v>42</v>
      </c>
      <c r="B291" s="27" t="s">
        <v>920</v>
      </c>
      <c r="C291" s="27" t="s">
        <v>921</v>
      </c>
      <c r="D291" s="27" t="s">
        <v>922</v>
      </c>
      <c r="E291" s="28" t="s">
        <v>923</v>
      </c>
      <c r="F291" s="29" t="s">
        <v>924</v>
      </c>
      <c r="G291" s="30" t="s">
        <v>46</v>
      </c>
      <c r="H291" s="31"/>
      <c r="I291" s="31" t="s">
        <v>47</v>
      </c>
      <c r="J291" s="32" t="n">
        <v>10.0</v>
      </c>
      <c r="K291" s="33" t="n">
        <f>3118</f>
        <v>3118.0</v>
      </c>
      <c r="L291" s="34" t="s">
        <v>48</v>
      </c>
      <c r="M291" s="33" t="n">
        <f>3120</f>
        <v>3120.0</v>
      </c>
      <c r="N291" s="34" t="s">
        <v>48</v>
      </c>
      <c r="O291" s="33" t="n">
        <f>3093</f>
        <v>3093.0</v>
      </c>
      <c r="P291" s="34" t="s">
        <v>187</v>
      </c>
      <c r="Q291" s="33" t="n">
        <f>3095</f>
        <v>3095.0</v>
      </c>
      <c r="R291" s="34" t="s">
        <v>187</v>
      </c>
      <c r="S291" s="35" t="n">
        <f>3106.33</f>
        <v>3106.33</v>
      </c>
      <c r="T291" s="32" t="n">
        <f>67830</f>
        <v>67830.0</v>
      </c>
      <c r="U291" s="32" t="str">
        <f>"－"</f>
        <v>－</v>
      </c>
      <c r="V291" s="32" t="n">
        <f>210306330</f>
        <v>2.1030633E8</v>
      </c>
      <c r="W291" s="32" t="str">
        <f>"－"</f>
        <v>－</v>
      </c>
      <c r="X291" s="36" t="n">
        <f>3</f>
        <v>3.0</v>
      </c>
    </row>
    <row r="292">
      <c r="A292" s="27" t="s">
        <v>42</v>
      </c>
      <c r="B292" s="27" t="s">
        <v>920</v>
      </c>
      <c r="C292" s="27" t="s">
        <v>921</v>
      </c>
      <c r="D292" s="27" t="s">
        <v>922</v>
      </c>
      <c r="E292" s="28" t="s">
        <v>923</v>
      </c>
      <c r="F292" s="29" t="s">
        <v>924</v>
      </c>
      <c r="G292" s="30" t="s">
        <v>46</v>
      </c>
      <c r="H292" s="31"/>
      <c r="I292" s="31" t="s">
        <v>47</v>
      </c>
      <c r="J292" s="32" t="n">
        <v>10.0</v>
      </c>
      <c r="K292" s="33" t="n">
        <f>314</f>
        <v>314.0</v>
      </c>
      <c r="L292" s="34" t="s">
        <v>49</v>
      </c>
      <c r="M292" s="33" t="n">
        <f>317</f>
        <v>317.0</v>
      </c>
      <c r="N292" s="34" t="s">
        <v>49</v>
      </c>
      <c r="O292" s="33" t="n">
        <f>301.5</f>
        <v>301.5</v>
      </c>
      <c r="P292" s="34" t="s">
        <v>73</v>
      </c>
      <c r="Q292" s="33" t="n">
        <f>312.8</f>
        <v>312.8</v>
      </c>
      <c r="R292" s="34" t="s">
        <v>51</v>
      </c>
      <c r="S292" s="35" t="n">
        <f>311.21</f>
        <v>311.21</v>
      </c>
      <c r="T292" s="32" t="n">
        <f>10135520</f>
        <v>1.013552E7</v>
      </c>
      <c r="U292" s="32" t="n">
        <f>500</f>
        <v>500.0</v>
      </c>
      <c r="V292" s="32" t="n">
        <f>3138343256</f>
        <v>3.138343256E9</v>
      </c>
      <c r="W292" s="32" t="n">
        <f>156850</f>
        <v>156850.0</v>
      </c>
      <c r="X292" s="36" t="n">
        <f>18</f>
        <v>18.0</v>
      </c>
    </row>
    <row r="293">
      <c r="A293" s="27" t="s">
        <v>42</v>
      </c>
      <c r="B293" s="27" t="s">
        <v>925</v>
      </c>
      <c r="C293" s="27" t="s">
        <v>926</v>
      </c>
      <c r="D293" s="27" t="s">
        <v>927</v>
      </c>
      <c r="E293" s="28" t="s">
        <v>46</v>
      </c>
      <c r="F293" s="29" t="s">
        <v>46</v>
      </c>
      <c r="G293" s="30" t="s">
        <v>46</v>
      </c>
      <c r="H293" s="31"/>
      <c r="I293" s="31" t="s">
        <v>47</v>
      </c>
      <c r="J293" s="32" t="n">
        <v>10.0</v>
      </c>
      <c r="K293" s="33" t="n">
        <f>2122</f>
        <v>2122.0</v>
      </c>
      <c r="L293" s="34" t="s">
        <v>48</v>
      </c>
      <c r="M293" s="33" t="n">
        <f>2220</f>
        <v>2220.0</v>
      </c>
      <c r="N293" s="34" t="s">
        <v>51</v>
      </c>
      <c r="O293" s="33" t="n">
        <f>2112</f>
        <v>2112.0</v>
      </c>
      <c r="P293" s="34" t="s">
        <v>231</v>
      </c>
      <c r="Q293" s="33" t="n">
        <f>2214</f>
        <v>2214.0</v>
      </c>
      <c r="R293" s="34" t="s">
        <v>51</v>
      </c>
      <c r="S293" s="35" t="n">
        <f>2170.05</f>
        <v>2170.05</v>
      </c>
      <c r="T293" s="32" t="n">
        <f>5365160</f>
        <v>5365160.0</v>
      </c>
      <c r="U293" s="32" t="n">
        <f>2968500</f>
        <v>2968500.0</v>
      </c>
      <c r="V293" s="32" t="n">
        <f>11579985178</f>
        <v>1.1579985178E10</v>
      </c>
      <c r="W293" s="32" t="n">
        <f>6397461558</f>
        <v>6.397461558E9</v>
      </c>
      <c r="X293" s="36" t="n">
        <f>21</f>
        <v>21.0</v>
      </c>
    </row>
    <row r="294">
      <c r="A294" s="27" t="s">
        <v>42</v>
      </c>
      <c r="B294" s="27" t="s">
        <v>928</v>
      </c>
      <c r="C294" s="27" t="s">
        <v>929</v>
      </c>
      <c r="D294" s="27" t="s">
        <v>930</v>
      </c>
      <c r="E294" s="28" t="s">
        <v>46</v>
      </c>
      <c r="F294" s="29" t="s">
        <v>46</v>
      </c>
      <c r="G294" s="30" t="s">
        <v>46</v>
      </c>
      <c r="H294" s="31"/>
      <c r="I294" s="31" t="s">
        <v>47</v>
      </c>
      <c r="J294" s="32" t="n">
        <v>10.0</v>
      </c>
      <c r="K294" s="33" t="n">
        <f>3252</f>
        <v>3252.0</v>
      </c>
      <c r="L294" s="34" t="s">
        <v>48</v>
      </c>
      <c r="M294" s="33" t="n">
        <f>3299</f>
        <v>3299.0</v>
      </c>
      <c r="N294" s="34" t="s">
        <v>177</v>
      </c>
      <c r="O294" s="33" t="n">
        <f>3152</f>
        <v>3152.0</v>
      </c>
      <c r="P294" s="34" t="s">
        <v>73</v>
      </c>
      <c r="Q294" s="33" t="n">
        <f>3253</f>
        <v>3253.0</v>
      </c>
      <c r="R294" s="34" t="s">
        <v>51</v>
      </c>
      <c r="S294" s="35" t="n">
        <f>3238.05</f>
        <v>3238.05</v>
      </c>
      <c r="T294" s="32" t="n">
        <f>57740</f>
        <v>57740.0</v>
      </c>
      <c r="U294" s="32" t="n">
        <f>50020</f>
        <v>50020.0</v>
      </c>
      <c r="V294" s="32" t="n">
        <f>187192400</f>
        <v>1.871924E8</v>
      </c>
      <c r="W294" s="32" t="n">
        <f>162154400</f>
        <v>1.621544E8</v>
      </c>
      <c r="X294" s="36" t="n">
        <f>19</f>
        <v>19.0</v>
      </c>
    </row>
    <row r="295">
      <c r="A295" s="27" t="s">
        <v>42</v>
      </c>
      <c r="B295" s="27" t="s">
        <v>931</v>
      </c>
      <c r="C295" s="27" t="s">
        <v>932</v>
      </c>
      <c r="D295" s="27" t="s">
        <v>933</v>
      </c>
      <c r="E295" s="28" t="s">
        <v>46</v>
      </c>
      <c r="F295" s="29" t="s">
        <v>46</v>
      </c>
      <c r="G295" s="30" t="s">
        <v>46</v>
      </c>
      <c r="H295" s="31"/>
      <c r="I295" s="31" t="s">
        <v>47</v>
      </c>
      <c r="J295" s="32" t="n">
        <v>1.0</v>
      </c>
      <c r="K295" s="33" t="n">
        <f>2898</f>
        <v>2898.0</v>
      </c>
      <c r="L295" s="34" t="s">
        <v>48</v>
      </c>
      <c r="M295" s="33" t="n">
        <f>2925</f>
        <v>2925.0</v>
      </c>
      <c r="N295" s="34" t="s">
        <v>51</v>
      </c>
      <c r="O295" s="33" t="n">
        <f>2800</f>
        <v>2800.0</v>
      </c>
      <c r="P295" s="34" t="s">
        <v>73</v>
      </c>
      <c r="Q295" s="33" t="n">
        <f>2904</f>
        <v>2904.0</v>
      </c>
      <c r="R295" s="34" t="s">
        <v>51</v>
      </c>
      <c r="S295" s="35" t="n">
        <f>2868.71</f>
        <v>2868.71</v>
      </c>
      <c r="T295" s="32" t="n">
        <f>11482</f>
        <v>11482.0</v>
      </c>
      <c r="U295" s="32" t="str">
        <f>"－"</f>
        <v>－</v>
      </c>
      <c r="V295" s="32" t="n">
        <f>32877418</f>
        <v>3.2877418E7</v>
      </c>
      <c r="W295" s="32" t="str">
        <f>"－"</f>
        <v>－</v>
      </c>
      <c r="X295" s="36" t="n">
        <f>21</f>
        <v>21.0</v>
      </c>
    </row>
    <row r="296">
      <c r="A296" s="27" t="s">
        <v>42</v>
      </c>
      <c r="B296" s="27" t="s">
        <v>934</v>
      </c>
      <c r="C296" s="27" t="s">
        <v>935</v>
      </c>
      <c r="D296" s="27" t="s">
        <v>936</v>
      </c>
      <c r="E296" s="28" t="s">
        <v>46</v>
      </c>
      <c r="F296" s="29" t="s">
        <v>46</v>
      </c>
      <c r="G296" s="30" t="s">
        <v>46</v>
      </c>
      <c r="H296" s="31"/>
      <c r="I296" s="31" t="s">
        <v>47</v>
      </c>
      <c r="J296" s="32" t="n">
        <v>1.0</v>
      </c>
      <c r="K296" s="33" t="n">
        <f>1525</f>
        <v>1525.0</v>
      </c>
      <c r="L296" s="34" t="s">
        <v>48</v>
      </c>
      <c r="M296" s="33" t="n">
        <f>1526</f>
        <v>1526.0</v>
      </c>
      <c r="N296" s="34" t="s">
        <v>48</v>
      </c>
      <c r="O296" s="33" t="n">
        <f>1444</f>
        <v>1444.0</v>
      </c>
      <c r="P296" s="34" t="s">
        <v>73</v>
      </c>
      <c r="Q296" s="33" t="n">
        <f>1519</f>
        <v>1519.0</v>
      </c>
      <c r="R296" s="34" t="s">
        <v>51</v>
      </c>
      <c r="S296" s="35" t="n">
        <f>1490.14</f>
        <v>1490.14</v>
      </c>
      <c r="T296" s="32" t="n">
        <f>22448</f>
        <v>22448.0</v>
      </c>
      <c r="U296" s="32" t="str">
        <f>"－"</f>
        <v>－</v>
      </c>
      <c r="V296" s="32" t="n">
        <f>33762740</f>
        <v>3.376274E7</v>
      </c>
      <c r="W296" s="32" t="str">
        <f>"－"</f>
        <v>－</v>
      </c>
      <c r="X296" s="36" t="n">
        <f>21</f>
        <v>21.0</v>
      </c>
    </row>
    <row r="297">
      <c r="A297" s="27" t="s">
        <v>42</v>
      </c>
      <c r="B297" s="27" t="s">
        <v>937</v>
      </c>
      <c r="C297" s="27" t="s">
        <v>938</v>
      </c>
      <c r="D297" s="27" t="s">
        <v>939</v>
      </c>
      <c r="E297" s="28" t="s">
        <v>46</v>
      </c>
      <c r="F297" s="29" t="s">
        <v>46</v>
      </c>
      <c r="G297" s="30" t="s">
        <v>46</v>
      </c>
      <c r="H297" s="31"/>
      <c r="I297" s="31" t="s">
        <v>47</v>
      </c>
      <c r="J297" s="32" t="n">
        <v>1.0</v>
      </c>
      <c r="K297" s="33" t="n">
        <f>2000</f>
        <v>2000.0</v>
      </c>
      <c r="L297" s="34" t="s">
        <v>48</v>
      </c>
      <c r="M297" s="33" t="n">
        <f>2130</f>
        <v>2130.0</v>
      </c>
      <c r="N297" s="34" t="s">
        <v>177</v>
      </c>
      <c r="O297" s="33" t="n">
        <f>1883</f>
        <v>1883.0</v>
      </c>
      <c r="P297" s="34" t="s">
        <v>73</v>
      </c>
      <c r="Q297" s="33" t="n">
        <f>2007</f>
        <v>2007.0</v>
      </c>
      <c r="R297" s="34" t="s">
        <v>51</v>
      </c>
      <c r="S297" s="35" t="n">
        <f>1949.19</f>
        <v>1949.19</v>
      </c>
      <c r="T297" s="32" t="n">
        <f>200440</f>
        <v>200440.0</v>
      </c>
      <c r="U297" s="32" t="n">
        <f>5000</f>
        <v>5000.0</v>
      </c>
      <c r="V297" s="32" t="n">
        <f>388491484</f>
        <v>3.88491484E8</v>
      </c>
      <c r="W297" s="32" t="n">
        <f>9725000</f>
        <v>9725000.0</v>
      </c>
      <c r="X297" s="36" t="n">
        <f>21</f>
        <v>21.0</v>
      </c>
    </row>
    <row r="298">
      <c r="A298" s="27" t="s">
        <v>42</v>
      </c>
      <c r="B298" s="27" t="s">
        <v>940</v>
      </c>
      <c r="C298" s="27" t="s">
        <v>941</v>
      </c>
      <c r="D298" s="27" t="s">
        <v>942</v>
      </c>
      <c r="E298" s="28" t="s">
        <v>46</v>
      </c>
      <c r="F298" s="29" t="s">
        <v>46</v>
      </c>
      <c r="G298" s="30" t="s">
        <v>46</v>
      </c>
      <c r="H298" s="31"/>
      <c r="I298" s="31" t="s">
        <v>47</v>
      </c>
      <c r="J298" s="32" t="n">
        <v>1.0</v>
      </c>
      <c r="K298" s="33" t="n">
        <f>1608</f>
        <v>1608.0</v>
      </c>
      <c r="L298" s="34" t="s">
        <v>48</v>
      </c>
      <c r="M298" s="33" t="n">
        <f>1619</f>
        <v>1619.0</v>
      </c>
      <c r="N298" s="34" t="s">
        <v>73</v>
      </c>
      <c r="O298" s="33" t="n">
        <f>1543</f>
        <v>1543.0</v>
      </c>
      <c r="P298" s="34" t="s">
        <v>68</v>
      </c>
      <c r="Q298" s="33" t="n">
        <f>1589</f>
        <v>1589.0</v>
      </c>
      <c r="R298" s="34" t="s">
        <v>51</v>
      </c>
      <c r="S298" s="35" t="n">
        <f>1574.19</f>
        <v>1574.19</v>
      </c>
      <c r="T298" s="32" t="n">
        <f>51394</f>
        <v>51394.0</v>
      </c>
      <c r="U298" s="32" t="str">
        <f>"－"</f>
        <v>－</v>
      </c>
      <c r="V298" s="32" t="n">
        <f>81118343</f>
        <v>8.1118343E7</v>
      </c>
      <c r="W298" s="32" t="str">
        <f>"－"</f>
        <v>－</v>
      </c>
      <c r="X298" s="36" t="n">
        <f>21</f>
        <v>21.0</v>
      </c>
    </row>
    <row r="299">
      <c r="A299" s="27" t="s">
        <v>42</v>
      </c>
      <c r="B299" s="27" t="s">
        <v>943</v>
      </c>
      <c r="C299" s="27" t="s">
        <v>944</v>
      </c>
      <c r="D299" s="27" t="s">
        <v>945</v>
      </c>
      <c r="E299" s="28" t="s">
        <v>46</v>
      </c>
      <c r="F299" s="29" t="s">
        <v>46</v>
      </c>
      <c r="G299" s="30" t="s">
        <v>46</v>
      </c>
      <c r="H299" s="31"/>
      <c r="I299" s="31" t="s">
        <v>47</v>
      </c>
      <c r="J299" s="32" t="n">
        <v>1.0</v>
      </c>
      <c r="K299" s="33" t="n">
        <f>2708</f>
        <v>2708.0</v>
      </c>
      <c r="L299" s="34" t="s">
        <v>48</v>
      </c>
      <c r="M299" s="33" t="n">
        <f>2730</f>
        <v>2730.0</v>
      </c>
      <c r="N299" s="34" t="s">
        <v>231</v>
      </c>
      <c r="O299" s="33" t="n">
        <f>2610</f>
        <v>2610.0</v>
      </c>
      <c r="P299" s="34" t="s">
        <v>540</v>
      </c>
      <c r="Q299" s="33" t="n">
        <f>2680</f>
        <v>2680.0</v>
      </c>
      <c r="R299" s="34" t="s">
        <v>51</v>
      </c>
      <c r="S299" s="35" t="n">
        <f>2675.67</f>
        <v>2675.67</v>
      </c>
      <c r="T299" s="32" t="n">
        <f>36337</f>
        <v>36337.0</v>
      </c>
      <c r="U299" s="32" t="str">
        <f>"－"</f>
        <v>－</v>
      </c>
      <c r="V299" s="32" t="n">
        <f>97300676</f>
        <v>9.7300676E7</v>
      </c>
      <c r="W299" s="32" t="str">
        <f>"－"</f>
        <v>－</v>
      </c>
      <c r="X299" s="36" t="n">
        <f>21</f>
        <v>21.0</v>
      </c>
    </row>
    <row r="300">
      <c r="A300" s="27" t="s">
        <v>42</v>
      </c>
      <c r="B300" s="27" t="s">
        <v>946</v>
      </c>
      <c r="C300" s="27" t="s">
        <v>947</v>
      </c>
      <c r="D300" s="27" t="s">
        <v>948</v>
      </c>
      <c r="E300" s="28" t="s">
        <v>46</v>
      </c>
      <c r="F300" s="29" t="s">
        <v>46</v>
      </c>
      <c r="G300" s="30" t="s">
        <v>46</v>
      </c>
      <c r="H300" s="31"/>
      <c r="I300" s="31" t="s">
        <v>47</v>
      </c>
      <c r="J300" s="32" t="n">
        <v>1.0</v>
      </c>
      <c r="K300" s="33" t="n">
        <f>2647</f>
        <v>2647.0</v>
      </c>
      <c r="L300" s="34" t="s">
        <v>48</v>
      </c>
      <c r="M300" s="33" t="n">
        <f>2649</f>
        <v>2649.0</v>
      </c>
      <c r="N300" s="34" t="s">
        <v>50</v>
      </c>
      <c r="O300" s="33" t="n">
        <f>2503</f>
        <v>2503.0</v>
      </c>
      <c r="P300" s="34" t="s">
        <v>68</v>
      </c>
      <c r="Q300" s="33" t="n">
        <f>2563</f>
        <v>2563.0</v>
      </c>
      <c r="R300" s="34" t="s">
        <v>51</v>
      </c>
      <c r="S300" s="35" t="n">
        <f>2566.52</f>
        <v>2566.52</v>
      </c>
      <c r="T300" s="32" t="n">
        <f>236196</f>
        <v>236196.0</v>
      </c>
      <c r="U300" s="32" t="n">
        <f>21002</f>
        <v>21002.0</v>
      </c>
      <c r="V300" s="32" t="n">
        <f>607826040</f>
        <v>6.0782604E8</v>
      </c>
      <c r="W300" s="32" t="n">
        <f>54257159</f>
        <v>5.4257159E7</v>
      </c>
      <c r="X300" s="36" t="n">
        <f>21</f>
        <v>21.0</v>
      </c>
    </row>
    <row r="301">
      <c r="A301" s="27" t="s">
        <v>42</v>
      </c>
      <c r="B301" s="27" t="s">
        <v>949</v>
      </c>
      <c r="C301" s="27" t="s">
        <v>950</v>
      </c>
      <c r="D301" s="27" t="s">
        <v>951</v>
      </c>
      <c r="E301" s="28" t="s">
        <v>46</v>
      </c>
      <c r="F301" s="29" t="s">
        <v>46</v>
      </c>
      <c r="G301" s="30" t="s">
        <v>46</v>
      </c>
      <c r="H301" s="31"/>
      <c r="I301" s="31" t="s">
        <v>47</v>
      </c>
      <c r="J301" s="32" t="n">
        <v>1.0</v>
      </c>
      <c r="K301" s="33" t="n">
        <f>31700</f>
        <v>31700.0</v>
      </c>
      <c r="L301" s="34" t="s">
        <v>48</v>
      </c>
      <c r="M301" s="33" t="n">
        <f>31700</f>
        <v>31700.0</v>
      </c>
      <c r="N301" s="34" t="s">
        <v>48</v>
      </c>
      <c r="O301" s="33" t="n">
        <f>30750</f>
        <v>30750.0</v>
      </c>
      <c r="P301" s="34" t="s">
        <v>176</v>
      </c>
      <c r="Q301" s="33" t="n">
        <f>31450</f>
        <v>31450.0</v>
      </c>
      <c r="R301" s="34" t="s">
        <v>51</v>
      </c>
      <c r="S301" s="35" t="n">
        <f>31262.5</f>
        <v>31262.5</v>
      </c>
      <c r="T301" s="32" t="n">
        <f>63</f>
        <v>63.0</v>
      </c>
      <c r="U301" s="32" t="str">
        <f>"－"</f>
        <v>－</v>
      </c>
      <c r="V301" s="32" t="n">
        <f>1963890</f>
        <v>1963890.0</v>
      </c>
      <c r="W301" s="32" t="str">
        <f>"－"</f>
        <v>－</v>
      </c>
      <c r="X301" s="36" t="n">
        <f>16</f>
        <v>16.0</v>
      </c>
    </row>
    <row r="302">
      <c r="A302" s="27" t="s">
        <v>42</v>
      </c>
      <c r="B302" s="27" t="s">
        <v>952</v>
      </c>
      <c r="C302" s="27" t="s">
        <v>953</v>
      </c>
      <c r="D302" s="27" t="s">
        <v>954</v>
      </c>
      <c r="E302" s="28" t="s">
        <v>46</v>
      </c>
      <c r="F302" s="29" t="s">
        <v>46</v>
      </c>
      <c r="G302" s="30" t="s">
        <v>46</v>
      </c>
      <c r="H302" s="31"/>
      <c r="I302" s="31" t="s">
        <v>47</v>
      </c>
      <c r="J302" s="32" t="n">
        <v>1.0</v>
      </c>
      <c r="K302" s="33" t="n">
        <f>2400</f>
        <v>2400.0</v>
      </c>
      <c r="L302" s="34" t="s">
        <v>89</v>
      </c>
      <c r="M302" s="33" t="n">
        <f>2524</f>
        <v>2524.0</v>
      </c>
      <c r="N302" s="34" t="s">
        <v>61</v>
      </c>
      <c r="O302" s="33" t="n">
        <f>2361</f>
        <v>2361.0</v>
      </c>
      <c r="P302" s="34" t="s">
        <v>156</v>
      </c>
      <c r="Q302" s="33" t="n">
        <f>2425</f>
        <v>2425.0</v>
      </c>
      <c r="R302" s="34" t="s">
        <v>51</v>
      </c>
      <c r="S302" s="35" t="n">
        <f>2399.43</f>
        <v>2399.43</v>
      </c>
      <c r="T302" s="32" t="n">
        <f>66251</f>
        <v>66251.0</v>
      </c>
      <c r="U302" s="32" t="str">
        <f>"－"</f>
        <v>－</v>
      </c>
      <c r="V302" s="32" t="n">
        <f>158585916</f>
        <v>1.58585916E8</v>
      </c>
      <c r="W302" s="32" t="str">
        <f>"－"</f>
        <v>－</v>
      </c>
      <c r="X302" s="36" t="n">
        <f>14</f>
        <v>14.0</v>
      </c>
    </row>
    <row r="303">
      <c r="A303" s="27" t="s">
        <v>42</v>
      </c>
      <c r="B303" s="27" t="s">
        <v>955</v>
      </c>
      <c r="C303" s="27" t="s">
        <v>956</v>
      </c>
      <c r="D303" s="27" t="s">
        <v>957</v>
      </c>
      <c r="E303" s="28" t="s">
        <v>46</v>
      </c>
      <c r="F303" s="29" t="s">
        <v>46</v>
      </c>
      <c r="G303" s="30" t="s">
        <v>46</v>
      </c>
      <c r="H303" s="31"/>
      <c r="I303" s="31" t="s">
        <v>47</v>
      </c>
      <c r="J303" s="32" t="n">
        <v>1.0</v>
      </c>
      <c r="K303" s="33" t="n">
        <f>3675</f>
        <v>3675.0</v>
      </c>
      <c r="L303" s="34" t="s">
        <v>48</v>
      </c>
      <c r="M303" s="33" t="n">
        <f>3885</f>
        <v>3885.0</v>
      </c>
      <c r="N303" s="34" t="s">
        <v>156</v>
      </c>
      <c r="O303" s="33" t="n">
        <f>3510</f>
        <v>3510.0</v>
      </c>
      <c r="P303" s="34" t="s">
        <v>187</v>
      </c>
      <c r="Q303" s="33" t="n">
        <f>3840</f>
        <v>3840.0</v>
      </c>
      <c r="R303" s="34" t="s">
        <v>51</v>
      </c>
      <c r="S303" s="35" t="n">
        <f>3708.33</f>
        <v>3708.33</v>
      </c>
      <c r="T303" s="32" t="n">
        <f>4371299</f>
        <v>4371299.0</v>
      </c>
      <c r="U303" s="32" t="n">
        <f>289835</f>
        <v>289835.0</v>
      </c>
      <c r="V303" s="32" t="n">
        <f>16190328829</f>
        <v>1.6190328829E10</v>
      </c>
      <c r="W303" s="32" t="n">
        <f>1079207344</f>
        <v>1.079207344E9</v>
      </c>
      <c r="X303" s="36" t="n">
        <f>21</f>
        <v>21.0</v>
      </c>
    </row>
    <row r="304">
      <c r="A304" s="27" t="s">
        <v>42</v>
      </c>
      <c r="B304" s="27" t="s">
        <v>958</v>
      </c>
      <c r="C304" s="27" t="s">
        <v>959</v>
      </c>
      <c r="D304" s="27" t="s">
        <v>960</v>
      </c>
      <c r="E304" s="28" t="s">
        <v>46</v>
      </c>
      <c r="F304" s="29" t="s">
        <v>46</v>
      </c>
      <c r="G304" s="30" t="s">
        <v>46</v>
      </c>
      <c r="H304" s="31"/>
      <c r="I304" s="31" t="s">
        <v>47</v>
      </c>
      <c r="J304" s="32" t="n">
        <v>1.0</v>
      </c>
      <c r="K304" s="33" t="n">
        <f>1899</f>
        <v>1899.0</v>
      </c>
      <c r="L304" s="34" t="s">
        <v>48</v>
      </c>
      <c r="M304" s="33" t="n">
        <f>1943</f>
        <v>1943.0</v>
      </c>
      <c r="N304" s="34" t="s">
        <v>51</v>
      </c>
      <c r="O304" s="33" t="n">
        <f>1860</f>
        <v>1860.0</v>
      </c>
      <c r="P304" s="34" t="s">
        <v>89</v>
      </c>
      <c r="Q304" s="33" t="n">
        <f>1938</f>
        <v>1938.0</v>
      </c>
      <c r="R304" s="34" t="s">
        <v>51</v>
      </c>
      <c r="S304" s="35" t="n">
        <f>1895.33</f>
        <v>1895.33</v>
      </c>
      <c r="T304" s="32" t="n">
        <f>10335</f>
        <v>10335.0</v>
      </c>
      <c r="U304" s="32" t="str">
        <f>"－"</f>
        <v>－</v>
      </c>
      <c r="V304" s="32" t="n">
        <f>19428636</f>
        <v>1.9428636E7</v>
      </c>
      <c r="W304" s="32" t="str">
        <f>"－"</f>
        <v>－</v>
      </c>
      <c r="X304" s="36" t="n">
        <f>21</f>
        <v>21.0</v>
      </c>
    </row>
    <row r="305">
      <c r="A305" s="27" t="s">
        <v>42</v>
      </c>
      <c r="B305" s="27" t="s">
        <v>961</v>
      </c>
      <c r="C305" s="27" t="s">
        <v>962</v>
      </c>
      <c r="D305" s="27" t="s">
        <v>963</v>
      </c>
      <c r="E305" s="28" t="s">
        <v>46</v>
      </c>
      <c r="F305" s="29" t="s">
        <v>46</v>
      </c>
      <c r="G305" s="30" t="s">
        <v>46</v>
      </c>
      <c r="H305" s="31"/>
      <c r="I305" s="31" t="s">
        <v>47</v>
      </c>
      <c r="J305" s="32" t="n">
        <v>1.0</v>
      </c>
      <c r="K305" s="33" t="n">
        <f>1707</f>
        <v>1707.0</v>
      </c>
      <c r="L305" s="34" t="s">
        <v>48</v>
      </c>
      <c r="M305" s="33" t="n">
        <f>1710</f>
        <v>1710.0</v>
      </c>
      <c r="N305" s="34" t="s">
        <v>49</v>
      </c>
      <c r="O305" s="33" t="n">
        <f>1618</f>
        <v>1618.0</v>
      </c>
      <c r="P305" s="34" t="s">
        <v>90</v>
      </c>
      <c r="Q305" s="33" t="n">
        <f>1686</f>
        <v>1686.0</v>
      </c>
      <c r="R305" s="34" t="s">
        <v>51</v>
      </c>
      <c r="S305" s="35" t="n">
        <f>1670.52</f>
        <v>1670.52</v>
      </c>
      <c r="T305" s="32" t="n">
        <f>2928</f>
        <v>2928.0</v>
      </c>
      <c r="U305" s="32" t="str">
        <f>"－"</f>
        <v>－</v>
      </c>
      <c r="V305" s="32" t="n">
        <f>4904368</f>
        <v>4904368.0</v>
      </c>
      <c r="W305" s="32" t="str">
        <f>"－"</f>
        <v>－</v>
      </c>
      <c r="X305" s="36" t="n">
        <f>21</f>
        <v>21.0</v>
      </c>
    </row>
    <row r="306">
      <c r="A306" s="27" t="s">
        <v>42</v>
      </c>
      <c r="B306" s="27" t="s">
        <v>964</v>
      </c>
      <c r="C306" s="27" t="s">
        <v>965</v>
      </c>
      <c r="D306" s="27" t="s">
        <v>966</v>
      </c>
      <c r="E306" s="28" t="s">
        <v>46</v>
      </c>
      <c r="F306" s="29" t="s">
        <v>46</v>
      </c>
      <c r="G306" s="30" t="s">
        <v>46</v>
      </c>
      <c r="H306" s="31"/>
      <c r="I306" s="31" t="s">
        <v>47</v>
      </c>
      <c r="J306" s="32" t="n">
        <v>10.0</v>
      </c>
      <c r="K306" s="33" t="n">
        <f>5436</f>
        <v>5436.0</v>
      </c>
      <c r="L306" s="34" t="s">
        <v>48</v>
      </c>
      <c r="M306" s="33" t="n">
        <f>6272</f>
        <v>6272.0</v>
      </c>
      <c r="N306" s="34" t="s">
        <v>116</v>
      </c>
      <c r="O306" s="33" t="n">
        <f>5285</f>
        <v>5285.0</v>
      </c>
      <c r="P306" s="34" t="s">
        <v>73</v>
      </c>
      <c r="Q306" s="33" t="n">
        <f>5357</f>
        <v>5357.0</v>
      </c>
      <c r="R306" s="34" t="s">
        <v>51</v>
      </c>
      <c r="S306" s="35" t="n">
        <f>5373.25</f>
        <v>5373.25</v>
      </c>
      <c r="T306" s="32" t="n">
        <f>209840</f>
        <v>209840.0</v>
      </c>
      <c r="U306" s="32" t="n">
        <f>96000</f>
        <v>96000.0</v>
      </c>
      <c r="V306" s="32" t="n">
        <f>1126285840</f>
        <v>1.12628584E9</v>
      </c>
      <c r="W306" s="32" t="n">
        <f>518401600</f>
        <v>5.184016E8</v>
      </c>
      <c r="X306" s="36" t="n">
        <f>20</f>
        <v>20.0</v>
      </c>
    </row>
    <row r="307">
      <c r="A307" s="27" t="s">
        <v>42</v>
      </c>
      <c r="B307" s="27" t="s">
        <v>967</v>
      </c>
      <c r="C307" s="27" t="s">
        <v>968</v>
      </c>
      <c r="D307" s="27" t="s">
        <v>969</v>
      </c>
      <c r="E307" s="28" t="s">
        <v>46</v>
      </c>
      <c r="F307" s="29" t="s">
        <v>46</v>
      </c>
      <c r="G307" s="30" t="s">
        <v>46</v>
      </c>
      <c r="H307" s="31"/>
      <c r="I307" s="31" t="s">
        <v>47</v>
      </c>
      <c r="J307" s="32" t="n">
        <v>10.0</v>
      </c>
      <c r="K307" s="33" t="n">
        <f>3889</f>
        <v>3889.0</v>
      </c>
      <c r="L307" s="34" t="s">
        <v>48</v>
      </c>
      <c r="M307" s="33" t="n">
        <f>4059</f>
        <v>4059.0</v>
      </c>
      <c r="N307" s="34" t="s">
        <v>116</v>
      </c>
      <c r="O307" s="33" t="n">
        <f>3799</f>
        <v>3799.0</v>
      </c>
      <c r="P307" s="34" t="s">
        <v>61</v>
      </c>
      <c r="Q307" s="33" t="n">
        <f>3911</f>
        <v>3911.0</v>
      </c>
      <c r="R307" s="34" t="s">
        <v>51</v>
      </c>
      <c r="S307" s="35" t="n">
        <f>3862.19</f>
        <v>3862.19</v>
      </c>
      <c r="T307" s="32" t="n">
        <f>4017740</f>
        <v>4017740.0</v>
      </c>
      <c r="U307" s="32" t="n">
        <f>3728200</f>
        <v>3728200.0</v>
      </c>
      <c r="V307" s="32" t="n">
        <f>15706039110</f>
        <v>1.570603911E10</v>
      </c>
      <c r="W307" s="32" t="n">
        <f>14581409940</f>
        <v>1.458140994E10</v>
      </c>
      <c r="X307" s="36" t="n">
        <f>21</f>
        <v>21.0</v>
      </c>
    </row>
    <row r="308">
      <c r="A308" s="27" t="s">
        <v>42</v>
      </c>
      <c r="B308" s="27" t="s">
        <v>970</v>
      </c>
      <c r="C308" s="27" t="s">
        <v>971</v>
      </c>
      <c r="D308" s="27" t="s">
        <v>972</v>
      </c>
      <c r="E308" s="28" t="s">
        <v>46</v>
      </c>
      <c r="F308" s="29" t="s">
        <v>46</v>
      </c>
      <c r="G308" s="30" t="s">
        <v>46</v>
      </c>
      <c r="H308" s="31"/>
      <c r="I308" s="31" t="s">
        <v>47</v>
      </c>
      <c r="J308" s="32" t="n">
        <v>10.0</v>
      </c>
      <c r="K308" s="33" t="n">
        <f>642.5</f>
        <v>642.5</v>
      </c>
      <c r="L308" s="34" t="s">
        <v>48</v>
      </c>
      <c r="M308" s="33" t="n">
        <f>663.2</f>
        <v>663.2</v>
      </c>
      <c r="N308" s="34" t="s">
        <v>51</v>
      </c>
      <c r="O308" s="33" t="n">
        <f>642</f>
        <v>642.0</v>
      </c>
      <c r="P308" s="34" t="s">
        <v>48</v>
      </c>
      <c r="Q308" s="33" t="n">
        <f>660.6</f>
        <v>660.6</v>
      </c>
      <c r="R308" s="34" t="s">
        <v>51</v>
      </c>
      <c r="S308" s="35" t="n">
        <f>654.45</f>
        <v>654.45</v>
      </c>
      <c r="T308" s="32" t="n">
        <f>33370</f>
        <v>33370.0</v>
      </c>
      <c r="U308" s="32" t="str">
        <f>"－"</f>
        <v>－</v>
      </c>
      <c r="V308" s="32" t="n">
        <f>21914722</f>
        <v>2.1914722E7</v>
      </c>
      <c r="W308" s="32" t="str">
        <f>"－"</f>
        <v>－</v>
      </c>
      <c r="X308" s="36" t="n">
        <f>21</f>
        <v>21.0</v>
      </c>
    </row>
    <row r="309">
      <c r="A309" s="27" t="s">
        <v>42</v>
      </c>
      <c r="B309" s="27" t="s">
        <v>973</v>
      </c>
      <c r="C309" s="27" t="s">
        <v>974</v>
      </c>
      <c r="D309" s="27" t="s">
        <v>975</v>
      </c>
      <c r="E309" s="28" t="s">
        <v>46</v>
      </c>
      <c r="F309" s="29" t="s">
        <v>46</v>
      </c>
      <c r="G309" s="30" t="s">
        <v>46</v>
      </c>
      <c r="H309" s="31"/>
      <c r="I309" s="31" t="s">
        <v>47</v>
      </c>
      <c r="J309" s="32" t="n">
        <v>1.0</v>
      </c>
      <c r="K309" s="33" t="n">
        <f>2238</f>
        <v>2238.0</v>
      </c>
      <c r="L309" s="34" t="s">
        <v>48</v>
      </c>
      <c r="M309" s="33" t="n">
        <f>2274</f>
        <v>2274.0</v>
      </c>
      <c r="N309" s="34" t="s">
        <v>51</v>
      </c>
      <c r="O309" s="33" t="n">
        <f>2120</f>
        <v>2120.0</v>
      </c>
      <c r="P309" s="34" t="s">
        <v>203</v>
      </c>
      <c r="Q309" s="33" t="n">
        <f>2259</f>
        <v>2259.0</v>
      </c>
      <c r="R309" s="34" t="s">
        <v>51</v>
      </c>
      <c r="S309" s="35" t="n">
        <f>2184.76</f>
        <v>2184.76</v>
      </c>
      <c r="T309" s="32" t="n">
        <f>8235</f>
        <v>8235.0</v>
      </c>
      <c r="U309" s="32" t="str">
        <f>"－"</f>
        <v>－</v>
      </c>
      <c r="V309" s="32" t="n">
        <f>17885695</f>
        <v>1.7885695E7</v>
      </c>
      <c r="W309" s="32" t="str">
        <f>"－"</f>
        <v>－</v>
      </c>
      <c r="X309" s="36" t="n">
        <f>21</f>
        <v>21.0</v>
      </c>
    </row>
    <row r="310">
      <c r="A310" s="27" t="s">
        <v>42</v>
      </c>
      <c r="B310" s="27" t="s">
        <v>976</v>
      </c>
      <c r="C310" s="27" t="s">
        <v>977</v>
      </c>
      <c r="D310" s="27" t="s">
        <v>978</v>
      </c>
      <c r="E310" s="28" t="s">
        <v>46</v>
      </c>
      <c r="F310" s="29" t="s">
        <v>46</v>
      </c>
      <c r="G310" s="30" t="s">
        <v>46</v>
      </c>
      <c r="H310" s="31"/>
      <c r="I310" s="31" t="s">
        <v>47</v>
      </c>
      <c r="J310" s="32" t="n">
        <v>1.0</v>
      </c>
      <c r="K310" s="33" t="n">
        <f>2087</f>
        <v>2087.0</v>
      </c>
      <c r="L310" s="34" t="s">
        <v>48</v>
      </c>
      <c r="M310" s="33" t="n">
        <f>2148</f>
        <v>2148.0</v>
      </c>
      <c r="N310" s="34" t="s">
        <v>116</v>
      </c>
      <c r="O310" s="33" t="n">
        <f>2033</f>
        <v>2033.0</v>
      </c>
      <c r="P310" s="34" t="s">
        <v>49</v>
      </c>
      <c r="Q310" s="33" t="n">
        <f>2109</f>
        <v>2109.0</v>
      </c>
      <c r="R310" s="34" t="s">
        <v>51</v>
      </c>
      <c r="S310" s="35" t="n">
        <f>2080.48</f>
        <v>2080.48</v>
      </c>
      <c r="T310" s="32" t="n">
        <f>25811</f>
        <v>25811.0</v>
      </c>
      <c r="U310" s="32" t="str">
        <f>"－"</f>
        <v>－</v>
      </c>
      <c r="V310" s="32" t="n">
        <f>54169945</f>
        <v>5.4169945E7</v>
      </c>
      <c r="W310" s="32" t="str">
        <f>"－"</f>
        <v>－</v>
      </c>
      <c r="X310" s="36" t="n">
        <f>21</f>
        <v>21.0</v>
      </c>
    </row>
    <row r="311">
      <c r="A311" s="27" t="s">
        <v>42</v>
      </c>
      <c r="B311" s="27" t="s">
        <v>979</v>
      </c>
      <c r="C311" s="27" t="s">
        <v>980</v>
      </c>
      <c r="D311" s="27" t="s">
        <v>981</v>
      </c>
      <c r="E311" s="28" t="s">
        <v>46</v>
      </c>
      <c r="F311" s="29" t="s">
        <v>46</v>
      </c>
      <c r="G311" s="30" t="s">
        <v>46</v>
      </c>
      <c r="H311" s="31"/>
      <c r="I311" s="31" t="s">
        <v>47</v>
      </c>
      <c r="J311" s="32" t="n">
        <v>1.0</v>
      </c>
      <c r="K311" s="33" t="n">
        <f>8074</f>
        <v>8074.0</v>
      </c>
      <c r="L311" s="34" t="s">
        <v>48</v>
      </c>
      <c r="M311" s="33" t="n">
        <f>8139</f>
        <v>8139.0</v>
      </c>
      <c r="N311" s="34" t="s">
        <v>231</v>
      </c>
      <c r="O311" s="33" t="n">
        <f>7730</f>
        <v>7730.0</v>
      </c>
      <c r="P311" s="34" t="s">
        <v>187</v>
      </c>
      <c r="Q311" s="33" t="n">
        <f>7997</f>
        <v>7997.0</v>
      </c>
      <c r="R311" s="34" t="s">
        <v>51</v>
      </c>
      <c r="S311" s="35" t="n">
        <f>8020.05</f>
        <v>8020.05</v>
      </c>
      <c r="T311" s="32" t="n">
        <f>280959</f>
        <v>280959.0</v>
      </c>
      <c r="U311" s="32" t="n">
        <f>218101</f>
        <v>218101.0</v>
      </c>
      <c r="V311" s="32" t="n">
        <f>2262844681</f>
        <v>2.262844681E9</v>
      </c>
      <c r="W311" s="32" t="n">
        <f>1760464010</f>
        <v>1.76046401E9</v>
      </c>
      <c r="X311" s="36" t="n">
        <f>21</f>
        <v>21.0</v>
      </c>
    </row>
    <row r="312">
      <c r="A312" s="27" t="s">
        <v>42</v>
      </c>
      <c r="B312" s="27" t="s">
        <v>982</v>
      </c>
      <c r="C312" s="27" t="s">
        <v>983</v>
      </c>
      <c r="D312" s="27" t="s">
        <v>984</v>
      </c>
      <c r="E312" s="28" t="s">
        <v>46</v>
      </c>
      <c r="F312" s="29" t="s">
        <v>46</v>
      </c>
      <c r="G312" s="30" t="s">
        <v>46</v>
      </c>
      <c r="H312" s="31"/>
      <c r="I312" s="31" t="s">
        <v>47</v>
      </c>
      <c r="J312" s="32" t="n">
        <v>1.0</v>
      </c>
      <c r="K312" s="33" t="n">
        <f>5650</f>
        <v>5650.0</v>
      </c>
      <c r="L312" s="34" t="s">
        <v>48</v>
      </c>
      <c r="M312" s="33" t="n">
        <f>5851</f>
        <v>5851.0</v>
      </c>
      <c r="N312" s="34" t="s">
        <v>177</v>
      </c>
      <c r="O312" s="33" t="n">
        <f>5578</f>
        <v>5578.0</v>
      </c>
      <c r="P312" s="34" t="s">
        <v>187</v>
      </c>
      <c r="Q312" s="33" t="n">
        <f>5828</f>
        <v>5828.0</v>
      </c>
      <c r="R312" s="34" t="s">
        <v>51</v>
      </c>
      <c r="S312" s="35" t="n">
        <f>5755.38</f>
        <v>5755.38</v>
      </c>
      <c r="T312" s="32" t="n">
        <f>41988</f>
        <v>41988.0</v>
      </c>
      <c r="U312" s="32" t="str">
        <f>"－"</f>
        <v>－</v>
      </c>
      <c r="V312" s="32" t="n">
        <f>242359617</f>
        <v>2.42359617E8</v>
      </c>
      <c r="W312" s="32" t="str">
        <f>"－"</f>
        <v>－</v>
      </c>
      <c r="X312" s="36" t="n">
        <f>21</f>
        <v>21.0</v>
      </c>
    </row>
    <row r="313">
      <c r="A313" s="27" t="s">
        <v>42</v>
      </c>
      <c r="B313" s="27" t="s">
        <v>985</v>
      </c>
      <c r="C313" s="27" t="s">
        <v>986</v>
      </c>
      <c r="D313" s="27" t="s">
        <v>987</v>
      </c>
      <c r="E313" s="28" t="s">
        <v>46</v>
      </c>
      <c r="F313" s="29" t="s">
        <v>46</v>
      </c>
      <c r="G313" s="30" t="s">
        <v>46</v>
      </c>
      <c r="H313" s="31"/>
      <c r="I313" s="31" t="s">
        <v>47</v>
      </c>
      <c r="J313" s="32" t="n">
        <v>1.0</v>
      </c>
      <c r="K313" s="33" t="n">
        <f>21965</f>
        <v>21965.0</v>
      </c>
      <c r="L313" s="34" t="s">
        <v>48</v>
      </c>
      <c r="M313" s="33" t="n">
        <f>22540</f>
        <v>22540.0</v>
      </c>
      <c r="N313" s="34" t="s">
        <v>69</v>
      </c>
      <c r="O313" s="33" t="n">
        <f>21255</f>
        <v>21255.0</v>
      </c>
      <c r="P313" s="34" t="s">
        <v>73</v>
      </c>
      <c r="Q313" s="33" t="n">
        <f>22200</f>
        <v>22200.0</v>
      </c>
      <c r="R313" s="34" t="s">
        <v>51</v>
      </c>
      <c r="S313" s="35" t="n">
        <f>22006.43</f>
        <v>22006.43</v>
      </c>
      <c r="T313" s="32" t="n">
        <f>865872</f>
        <v>865872.0</v>
      </c>
      <c r="U313" s="32" t="str">
        <f>"－"</f>
        <v>－</v>
      </c>
      <c r="V313" s="32" t="n">
        <f>19049901515</f>
        <v>1.9049901515E10</v>
      </c>
      <c r="W313" s="32" t="str">
        <f>"－"</f>
        <v>－</v>
      </c>
      <c r="X313" s="36" t="n">
        <f>21</f>
        <v>21.0</v>
      </c>
    </row>
    <row r="314">
      <c r="A314" s="27" t="s">
        <v>42</v>
      </c>
      <c r="B314" s="27" t="s">
        <v>988</v>
      </c>
      <c r="C314" s="27" t="s">
        <v>989</v>
      </c>
      <c r="D314" s="27" t="s">
        <v>990</v>
      </c>
      <c r="E314" s="28" t="s">
        <v>46</v>
      </c>
      <c r="F314" s="29" t="s">
        <v>46</v>
      </c>
      <c r="G314" s="30" t="s">
        <v>46</v>
      </c>
      <c r="H314" s="31"/>
      <c r="I314" s="31" t="s">
        <v>47</v>
      </c>
      <c r="J314" s="32" t="n">
        <v>1.0</v>
      </c>
      <c r="K314" s="33" t="n">
        <f>10310</f>
        <v>10310.0</v>
      </c>
      <c r="L314" s="34" t="s">
        <v>48</v>
      </c>
      <c r="M314" s="33" t="n">
        <f>10915</f>
        <v>10915.0</v>
      </c>
      <c r="N314" s="34" t="s">
        <v>116</v>
      </c>
      <c r="O314" s="33" t="n">
        <f>10205</f>
        <v>10205.0</v>
      </c>
      <c r="P314" s="34" t="s">
        <v>231</v>
      </c>
      <c r="Q314" s="33" t="n">
        <f>10870</f>
        <v>10870.0</v>
      </c>
      <c r="R314" s="34" t="s">
        <v>51</v>
      </c>
      <c r="S314" s="35" t="n">
        <f>10603.81</f>
        <v>10603.81</v>
      </c>
      <c r="T314" s="32" t="n">
        <f>1242972</f>
        <v>1242972.0</v>
      </c>
      <c r="U314" s="32" t="n">
        <f>193742</f>
        <v>193742.0</v>
      </c>
      <c r="V314" s="32" t="n">
        <f>13136835229</f>
        <v>1.3136835229E10</v>
      </c>
      <c r="W314" s="32" t="n">
        <f>2072903874</f>
        <v>2.072903874E9</v>
      </c>
      <c r="X314" s="36" t="n">
        <f>21</f>
        <v>21.0</v>
      </c>
    </row>
    <row r="315">
      <c r="A315" s="27" t="s">
        <v>42</v>
      </c>
      <c r="B315" s="27" t="s">
        <v>991</v>
      </c>
      <c r="C315" s="27" t="s">
        <v>992</v>
      </c>
      <c r="D315" s="27" t="s">
        <v>993</v>
      </c>
      <c r="E315" s="28" t="s">
        <v>46</v>
      </c>
      <c r="F315" s="29" t="s">
        <v>46</v>
      </c>
      <c r="G315" s="30" t="s">
        <v>46</v>
      </c>
      <c r="H315" s="31"/>
      <c r="I315" s="31" t="s">
        <v>47</v>
      </c>
      <c r="J315" s="32" t="n">
        <v>1.0</v>
      </c>
      <c r="K315" s="33" t="n">
        <f>22965</f>
        <v>22965.0</v>
      </c>
      <c r="L315" s="34" t="s">
        <v>48</v>
      </c>
      <c r="M315" s="33" t="n">
        <f>23205</f>
        <v>23205.0</v>
      </c>
      <c r="N315" s="34" t="s">
        <v>231</v>
      </c>
      <c r="O315" s="33" t="n">
        <f>21620</f>
        <v>21620.0</v>
      </c>
      <c r="P315" s="34" t="s">
        <v>177</v>
      </c>
      <c r="Q315" s="33" t="n">
        <f>21690</f>
        <v>21690.0</v>
      </c>
      <c r="R315" s="34" t="s">
        <v>51</v>
      </c>
      <c r="S315" s="35" t="n">
        <f>22308.57</f>
        <v>22308.57</v>
      </c>
      <c r="T315" s="32" t="n">
        <f>128624</f>
        <v>128624.0</v>
      </c>
      <c r="U315" s="32" t="n">
        <f>12</f>
        <v>12.0</v>
      </c>
      <c r="V315" s="32" t="n">
        <f>2898439310</f>
        <v>2.89843931E9</v>
      </c>
      <c r="W315" s="32" t="n">
        <f>264320</f>
        <v>264320.0</v>
      </c>
      <c r="X315" s="36" t="n">
        <f>21</f>
        <v>21.0</v>
      </c>
    </row>
    <row r="316">
      <c r="A316" s="27" t="s">
        <v>42</v>
      </c>
      <c r="B316" s="27" t="s">
        <v>994</v>
      </c>
      <c r="C316" s="27" t="s">
        <v>995</v>
      </c>
      <c r="D316" s="27" t="s">
        <v>996</v>
      </c>
      <c r="E316" s="28" t="s">
        <v>46</v>
      </c>
      <c r="F316" s="29" t="s">
        <v>46</v>
      </c>
      <c r="G316" s="30" t="s">
        <v>46</v>
      </c>
      <c r="H316" s="31"/>
      <c r="I316" s="31" t="s">
        <v>47</v>
      </c>
      <c r="J316" s="32" t="n">
        <v>10.0</v>
      </c>
      <c r="K316" s="33" t="n">
        <f>4255</f>
        <v>4255.0</v>
      </c>
      <c r="L316" s="34" t="s">
        <v>89</v>
      </c>
      <c r="M316" s="33" t="n">
        <f>4255</f>
        <v>4255.0</v>
      </c>
      <c r="N316" s="34" t="s">
        <v>89</v>
      </c>
      <c r="O316" s="33" t="n">
        <f>4088</f>
        <v>4088.0</v>
      </c>
      <c r="P316" s="34" t="s">
        <v>89</v>
      </c>
      <c r="Q316" s="33" t="n">
        <f>4245</f>
        <v>4245.0</v>
      </c>
      <c r="R316" s="34" t="s">
        <v>177</v>
      </c>
      <c r="S316" s="35" t="n">
        <f>4170.15</f>
        <v>4170.15</v>
      </c>
      <c r="T316" s="32" t="n">
        <f>369260</f>
        <v>369260.0</v>
      </c>
      <c r="U316" s="32" t="n">
        <f>328000</f>
        <v>328000.0</v>
      </c>
      <c r="V316" s="32" t="n">
        <f>1549335660</f>
        <v>1.54933566E9</v>
      </c>
      <c r="W316" s="32" t="n">
        <f>1374936450</f>
        <v>1.37493645E9</v>
      </c>
      <c r="X316" s="36" t="n">
        <f>13</f>
        <v>13.0</v>
      </c>
    </row>
    <row r="317">
      <c r="A317" s="27" t="s">
        <v>42</v>
      </c>
      <c r="B317" s="27" t="s">
        <v>997</v>
      </c>
      <c r="C317" s="27" t="s">
        <v>998</v>
      </c>
      <c r="D317" s="27" t="s">
        <v>999</v>
      </c>
      <c r="E317" s="28" t="s">
        <v>46</v>
      </c>
      <c r="F317" s="29" t="s">
        <v>46</v>
      </c>
      <c r="G317" s="30" t="s">
        <v>46</v>
      </c>
      <c r="H317" s="31"/>
      <c r="I317" s="31" t="s">
        <v>47</v>
      </c>
      <c r="J317" s="32" t="n">
        <v>10.0</v>
      </c>
      <c r="K317" s="33" t="n">
        <f>5020</f>
        <v>5020.0</v>
      </c>
      <c r="L317" s="34" t="s">
        <v>48</v>
      </c>
      <c r="M317" s="33" t="n">
        <f>5205</f>
        <v>5205.0</v>
      </c>
      <c r="N317" s="34" t="s">
        <v>116</v>
      </c>
      <c r="O317" s="33" t="n">
        <f>4899</f>
        <v>4899.0</v>
      </c>
      <c r="P317" s="34" t="s">
        <v>73</v>
      </c>
      <c r="Q317" s="33" t="n">
        <f>5168</f>
        <v>5168.0</v>
      </c>
      <c r="R317" s="34" t="s">
        <v>51</v>
      </c>
      <c r="S317" s="35" t="n">
        <f>5066.14</f>
        <v>5066.14</v>
      </c>
      <c r="T317" s="32" t="n">
        <f>105840</f>
        <v>105840.0</v>
      </c>
      <c r="U317" s="32" t="n">
        <f>98520</f>
        <v>98520.0</v>
      </c>
      <c r="V317" s="32" t="n">
        <f>537954010</f>
        <v>5.3795401E8</v>
      </c>
      <c r="W317" s="32" t="n">
        <f>500696390</f>
        <v>5.0069639E8</v>
      </c>
      <c r="X317" s="36" t="n">
        <f>21</f>
        <v>21.0</v>
      </c>
    </row>
    <row r="318">
      <c r="A318" s="27" t="s">
        <v>42</v>
      </c>
      <c r="B318" s="27" t="s">
        <v>1000</v>
      </c>
      <c r="C318" s="27" t="s">
        <v>1001</v>
      </c>
      <c r="D318" s="27" t="s">
        <v>1002</v>
      </c>
      <c r="E318" s="28" t="s">
        <v>46</v>
      </c>
      <c r="F318" s="29" t="s">
        <v>46</v>
      </c>
      <c r="G318" s="30" t="s">
        <v>46</v>
      </c>
      <c r="H318" s="31"/>
      <c r="I318" s="31" t="s">
        <v>47</v>
      </c>
      <c r="J318" s="32" t="n">
        <v>10.0</v>
      </c>
      <c r="K318" s="33" t="n">
        <f>2153</f>
        <v>2153.0</v>
      </c>
      <c r="L318" s="34" t="s">
        <v>48</v>
      </c>
      <c r="M318" s="33" t="n">
        <f>2279.5</f>
        <v>2279.5</v>
      </c>
      <c r="N318" s="34" t="s">
        <v>177</v>
      </c>
      <c r="O318" s="33" t="n">
        <f>2131</f>
        <v>2131.0</v>
      </c>
      <c r="P318" s="34" t="s">
        <v>231</v>
      </c>
      <c r="Q318" s="33" t="n">
        <f>2274</f>
        <v>2274.0</v>
      </c>
      <c r="R318" s="34" t="s">
        <v>51</v>
      </c>
      <c r="S318" s="35" t="n">
        <f>2214.76</f>
        <v>2214.76</v>
      </c>
      <c r="T318" s="32" t="n">
        <f>3845320</f>
        <v>3845320.0</v>
      </c>
      <c r="U318" s="32" t="n">
        <f>1113360</f>
        <v>1113360.0</v>
      </c>
      <c r="V318" s="32" t="n">
        <f>8538548710</f>
        <v>8.53854871E9</v>
      </c>
      <c r="W318" s="32" t="n">
        <f>2510970420</f>
        <v>2.51097042E9</v>
      </c>
      <c r="X318" s="36" t="n">
        <f>21</f>
        <v>21.0</v>
      </c>
    </row>
    <row r="319">
      <c r="A319" s="27" t="s">
        <v>42</v>
      </c>
      <c r="B319" s="27" t="s">
        <v>1003</v>
      </c>
      <c r="C319" s="27" t="s">
        <v>1004</v>
      </c>
      <c r="D319" s="27" t="s">
        <v>1005</v>
      </c>
      <c r="E319" s="28" t="s">
        <v>46</v>
      </c>
      <c r="F319" s="29" t="s">
        <v>46</v>
      </c>
      <c r="G319" s="30" t="s">
        <v>46</v>
      </c>
      <c r="H319" s="31"/>
      <c r="I319" s="31" t="s">
        <v>47</v>
      </c>
      <c r="J319" s="32" t="n">
        <v>10.0</v>
      </c>
      <c r="K319" s="33" t="n">
        <f>1970</f>
        <v>1970.0</v>
      </c>
      <c r="L319" s="34" t="s">
        <v>48</v>
      </c>
      <c r="M319" s="33" t="n">
        <f>2060</f>
        <v>2060.0</v>
      </c>
      <c r="N319" s="34" t="s">
        <v>177</v>
      </c>
      <c r="O319" s="33" t="n">
        <f>1968</f>
        <v>1968.0</v>
      </c>
      <c r="P319" s="34" t="s">
        <v>48</v>
      </c>
      <c r="Q319" s="33" t="n">
        <f>2056.5</f>
        <v>2056.5</v>
      </c>
      <c r="R319" s="34" t="s">
        <v>51</v>
      </c>
      <c r="S319" s="35" t="n">
        <f>2016.93</f>
        <v>2016.93</v>
      </c>
      <c r="T319" s="32" t="n">
        <f>2160480</f>
        <v>2160480.0</v>
      </c>
      <c r="U319" s="32" t="n">
        <f>1426000</f>
        <v>1426000.0</v>
      </c>
      <c r="V319" s="32" t="n">
        <f>4313188590</f>
        <v>4.31318859E9</v>
      </c>
      <c r="W319" s="32" t="n">
        <f>2835255390</f>
        <v>2.83525539E9</v>
      </c>
      <c r="X319" s="36" t="n">
        <f>21</f>
        <v>21.0</v>
      </c>
    </row>
    <row r="320">
      <c r="A320" s="27" t="s">
        <v>42</v>
      </c>
      <c r="B320" s="27" t="s">
        <v>1006</v>
      </c>
      <c r="C320" s="27" t="s">
        <v>1007</v>
      </c>
      <c r="D320" s="27" t="s">
        <v>1008</v>
      </c>
      <c r="E320" s="28" t="s">
        <v>46</v>
      </c>
      <c r="F320" s="29" t="s">
        <v>46</v>
      </c>
      <c r="G320" s="30" t="s">
        <v>46</v>
      </c>
      <c r="H320" s="31"/>
      <c r="I320" s="31" t="s">
        <v>47</v>
      </c>
      <c r="J320" s="32" t="n">
        <v>1.0</v>
      </c>
      <c r="K320" s="33" t="n">
        <f>1770</f>
        <v>1770.0</v>
      </c>
      <c r="L320" s="34" t="s">
        <v>48</v>
      </c>
      <c r="M320" s="33" t="n">
        <f>1813</f>
        <v>1813.0</v>
      </c>
      <c r="N320" s="34" t="s">
        <v>48</v>
      </c>
      <c r="O320" s="33" t="n">
        <f>1746</f>
        <v>1746.0</v>
      </c>
      <c r="P320" s="34" t="s">
        <v>90</v>
      </c>
      <c r="Q320" s="33" t="n">
        <f>1777</f>
        <v>1777.0</v>
      </c>
      <c r="R320" s="34" t="s">
        <v>51</v>
      </c>
      <c r="S320" s="35" t="n">
        <f>1773.33</f>
        <v>1773.33</v>
      </c>
      <c r="T320" s="32" t="n">
        <f>3519</f>
        <v>3519.0</v>
      </c>
      <c r="U320" s="32" t="str">
        <f>"－"</f>
        <v>－</v>
      </c>
      <c r="V320" s="32" t="n">
        <f>6216798</f>
        <v>6216798.0</v>
      </c>
      <c r="W320" s="32" t="str">
        <f>"－"</f>
        <v>－</v>
      </c>
      <c r="X320" s="36" t="n">
        <f>21</f>
        <v>21.0</v>
      </c>
    </row>
    <row r="321">
      <c r="A321" s="27" t="s">
        <v>42</v>
      </c>
      <c r="B321" s="27" t="s">
        <v>1009</v>
      </c>
      <c r="C321" s="27" t="s">
        <v>1010</v>
      </c>
      <c r="D321" s="27" t="s">
        <v>1011</v>
      </c>
      <c r="E321" s="28" t="s">
        <v>46</v>
      </c>
      <c r="F321" s="29" t="s">
        <v>46</v>
      </c>
      <c r="G321" s="30" t="s">
        <v>46</v>
      </c>
      <c r="H321" s="31"/>
      <c r="I321" s="31" t="s">
        <v>47</v>
      </c>
      <c r="J321" s="32" t="n">
        <v>1.0</v>
      </c>
      <c r="K321" s="33" t="n">
        <f>1838</f>
        <v>1838.0</v>
      </c>
      <c r="L321" s="34" t="s">
        <v>48</v>
      </c>
      <c r="M321" s="33" t="n">
        <f>1900</f>
        <v>1900.0</v>
      </c>
      <c r="N321" s="34" t="s">
        <v>73</v>
      </c>
      <c r="O321" s="33" t="n">
        <f>1766</f>
        <v>1766.0</v>
      </c>
      <c r="P321" s="34" t="s">
        <v>156</v>
      </c>
      <c r="Q321" s="33" t="n">
        <f>1821</f>
        <v>1821.0</v>
      </c>
      <c r="R321" s="34" t="s">
        <v>51</v>
      </c>
      <c r="S321" s="35" t="n">
        <f>1810.87</f>
        <v>1810.87</v>
      </c>
      <c r="T321" s="32" t="n">
        <f>16780</f>
        <v>16780.0</v>
      </c>
      <c r="U321" s="32" t="str">
        <f>"－"</f>
        <v>－</v>
      </c>
      <c r="V321" s="32" t="n">
        <f>30266961</f>
        <v>3.0266961E7</v>
      </c>
      <c r="W321" s="32" t="str">
        <f>"－"</f>
        <v>－</v>
      </c>
      <c r="X321" s="36" t="n">
        <f>15</f>
        <v>15.0</v>
      </c>
    </row>
    <row r="322">
      <c r="A322" s="27" t="s">
        <v>42</v>
      </c>
      <c r="B322" s="27" t="s">
        <v>1012</v>
      </c>
      <c r="C322" s="27" t="s">
        <v>1013</v>
      </c>
      <c r="D322" s="27" t="s">
        <v>1014</v>
      </c>
      <c r="E322" s="28" t="s">
        <v>46</v>
      </c>
      <c r="F322" s="29" t="s">
        <v>46</v>
      </c>
      <c r="G322" s="30" t="s">
        <v>46</v>
      </c>
      <c r="H322" s="31"/>
      <c r="I322" s="31" t="s">
        <v>47</v>
      </c>
      <c r="J322" s="32" t="n">
        <v>1.0</v>
      </c>
      <c r="K322" s="33" t="n">
        <f>3885</f>
        <v>3885.0</v>
      </c>
      <c r="L322" s="34" t="s">
        <v>48</v>
      </c>
      <c r="M322" s="33" t="n">
        <f>3915</f>
        <v>3915.0</v>
      </c>
      <c r="N322" s="34" t="s">
        <v>177</v>
      </c>
      <c r="O322" s="33" t="n">
        <f>3780</f>
        <v>3780.0</v>
      </c>
      <c r="P322" s="34" t="s">
        <v>50</v>
      </c>
      <c r="Q322" s="33" t="n">
        <f>3900</f>
        <v>3900.0</v>
      </c>
      <c r="R322" s="34" t="s">
        <v>51</v>
      </c>
      <c r="S322" s="35" t="n">
        <f>3860</f>
        <v>3860.0</v>
      </c>
      <c r="T322" s="32" t="n">
        <f>39266</f>
        <v>39266.0</v>
      </c>
      <c r="U322" s="32" t="str">
        <f>"－"</f>
        <v>－</v>
      </c>
      <c r="V322" s="32" t="n">
        <f>149472635</f>
        <v>1.49472635E8</v>
      </c>
      <c r="W322" s="32" t="str">
        <f>"－"</f>
        <v>－</v>
      </c>
      <c r="X322" s="36" t="n">
        <f>21</f>
        <v>21.0</v>
      </c>
    </row>
    <row r="323">
      <c r="A323" s="27" t="s">
        <v>42</v>
      </c>
      <c r="B323" s="27" t="s">
        <v>1015</v>
      </c>
      <c r="C323" s="27" t="s">
        <v>1016</v>
      </c>
      <c r="D323" s="27" t="s">
        <v>1017</v>
      </c>
      <c r="E323" s="28" t="s">
        <v>46</v>
      </c>
      <c r="F323" s="29" t="s">
        <v>46</v>
      </c>
      <c r="G323" s="30" t="s">
        <v>46</v>
      </c>
      <c r="H323" s="31"/>
      <c r="I323" s="31" t="s">
        <v>47</v>
      </c>
      <c r="J323" s="32" t="n">
        <v>10.0</v>
      </c>
      <c r="K323" s="33" t="n">
        <f>2317.5</f>
        <v>2317.5</v>
      </c>
      <c r="L323" s="34" t="s">
        <v>73</v>
      </c>
      <c r="M323" s="33" t="n">
        <f>2367.5</f>
        <v>2367.5</v>
      </c>
      <c r="N323" s="34" t="s">
        <v>51</v>
      </c>
      <c r="O323" s="33" t="n">
        <f>2300</f>
        <v>2300.0</v>
      </c>
      <c r="P323" s="34" t="s">
        <v>157</v>
      </c>
      <c r="Q323" s="33" t="n">
        <f>2358.5</f>
        <v>2358.5</v>
      </c>
      <c r="R323" s="34" t="s">
        <v>51</v>
      </c>
      <c r="S323" s="35" t="n">
        <f>2343.75</f>
        <v>2343.75</v>
      </c>
      <c r="T323" s="32" t="n">
        <f>10350</f>
        <v>10350.0</v>
      </c>
      <c r="U323" s="32" t="str">
        <f>"－"</f>
        <v>－</v>
      </c>
      <c r="V323" s="32" t="n">
        <f>24189370</f>
        <v>2.418937E7</v>
      </c>
      <c r="W323" s="32" t="str">
        <f>"－"</f>
        <v>－</v>
      </c>
      <c r="X323" s="36" t="n">
        <f>6</f>
        <v>6.0</v>
      </c>
    </row>
    <row r="324">
      <c r="A324" s="27" t="s">
        <v>42</v>
      </c>
      <c r="B324" s="27" t="s">
        <v>1018</v>
      </c>
      <c r="C324" s="27" t="s">
        <v>1019</v>
      </c>
      <c r="D324" s="27" t="s">
        <v>1020</v>
      </c>
      <c r="E324" s="28" t="s">
        <v>46</v>
      </c>
      <c r="F324" s="29" t="s">
        <v>46</v>
      </c>
      <c r="G324" s="30" t="s">
        <v>46</v>
      </c>
      <c r="H324" s="31"/>
      <c r="I324" s="31" t="s">
        <v>47</v>
      </c>
      <c r="J324" s="32" t="n">
        <v>10.0</v>
      </c>
      <c r="K324" s="33" t="n">
        <f>238.4</f>
        <v>238.4</v>
      </c>
      <c r="L324" s="34" t="s">
        <v>48</v>
      </c>
      <c r="M324" s="33" t="n">
        <f>239.9</f>
        <v>239.9</v>
      </c>
      <c r="N324" s="34" t="s">
        <v>51</v>
      </c>
      <c r="O324" s="33" t="n">
        <f>224.3</f>
        <v>224.3</v>
      </c>
      <c r="P324" s="34" t="s">
        <v>73</v>
      </c>
      <c r="Q324" s="33" t="n">
        <f>234.5</f>
        <v>234.5</v>
      </c>
      <c r="R324" s="34" t="s">
        <v>51</v>
      </c>
      <c r="S324" s="35" t="n">
        <f>232.33</f>
        <v>232.33</v>
      </c>
      <c r="T324" s="32" t="n">
        <f>10700</f>
        <v>10700.0</v>
      </c>
      <c r="U324" s="32" t="str">
        <f>"－"</f>
        <v>－</v>
      </c>
      <c r="V324" s="32" t="n">
        <f>2465195</f>
        <v>2465195.0</v>
      </c>
      <c r="W324" s="32" t="str">
        <f>"－"</f>
        <v>－</v>
      </c>
      <c r="X324" s="36" t="n">
        <f>21</f>
        <v>21.0</v>
      </c>
    </row>
    <row r="325">
      <c r="A325" s="27" t="s">
        <v>42</v>
      </c>
      <c r="B325" s="27" t="s">
        <v>1021</v>
      </c>
      <c r="C325" s="27" t="s">
        <v>1022</v>
      </c>
      <c r="D325" s="27" t="s">
        <v>1023</v>
      </c>
      <c r="E325" s="28" t="s">
        <v>46</v>
      </c>
      <c r="F325" s="29" t="s">
        <v>46</v>
      </c>
      <c r="G325" s="30" t="s">
        <v>46</v>
      </c>
      <c r="H325" s="31"/>
      <c r="I325" s="31" t="s">
        <v>47</v>
      </c>
      <c r="J325" s="32" t="n">
        <v>10.0</v>
      </c>
      <c r="K325" s="33" t="n">
        <f>183.4</f>
        <v>183.4</v>
      </c>
      <c r="L325" s="34" t="s">
        <v>48</v>
      </c>
      <c r="M325" s="33" t="n">
        <f>189.2</f>
        <v>189.2</v>
      </c>
      <c r="N325" s="34" t="s">
        <v>203</v>
      </c>
      <c r="O325" s="33" t="n">
        <f>171.8</f>
        <v>171.8</v>
      </c>
      <c r="P325" s="34" t="s">
        <v>177</v>
      </c>
      <c r="Q325" s="33" t="n">
        <f>178.3</f>
        <v>178.3</v>
      </c>
      <c r="R325" s="34" t="s">
        <v>51</v>
      </c>
      <c r="S325" s="35" t="n">
        <f>178.96</f>
        <v>178.96</v>
      </c>
      <c r="T325" s="32" t="n">
        <f>140440</f>
        <v>140440.0</v>
      </c>
      <c r="U325" s="32" t="n">
        <f>89620</f>
        <v>89620.0</v>
      </c>
      <c r="V325" s="32" t="n">
        <f>24895115</f>
        <v>2.4895115E7</v>
      </c>
      <c r="W325" s="32" t="n">
        <f>15809652</f>
        <v>1.5809652E7</v>
      </c>
      <c r="X325" s="36" t="n">
        <f>21</f>
        <v>21.0</v>
      </c>
    </row>
    <row r="326">
      <c r="A326" s="27" t="s">
        <v>42</v>
      </c>
      <c r="B326" s="27" t="s">
        <v>1024</v>
      </c>
      <c r="C326" s="27" t="s">
        <v>1025</v>
      </c>
      <c r="D326" s="27" t="s">
        <v>1026</v>
      </c>
      <c r="E326" s="28" t="s">
        <v>46</v>
      </c>
      <c r="F326" s="29" t="s">
        <v>46</v>
      </c>
      <c r="G326" s="30" t="s">
        <v>46</v>
      </c>
      <c r="H326" s="31"/>
      <c r="I326" s="31" t="s">
        <v>47</v>
      </c>
      <c r="J326" s="32" t="n">
        <v>10.0</v>
      </c>
      <c r="K326" s="33" t="n">
        <f>690.1</f>
        <v>690.1</v>
      </c>
      <c r="L326" s="34" t="s">
        <v>231</v>
      </c>
      <c r="M326" s="33" t="n">
        <f>703.8</f>
        <v>703.8</v>
      </c>
      <c r="N326" s="34" t="s">
        <v>51</v>
      </c>
      <c r="O326" s="33" t="n">
        <f>684.2</f>
        <v>684.2</v>
      </c>
      <c r="P326" s="34" t="s">
        <v>61</v>
      </c>
      <c r="Q326" s="33" t="n">
        <f>703.8</f>
        <v>703.8</v>
      </c>
      <c r="R326" s="34" t="s">
        <v>51</v>
      </c>
      <c r="S326" s="35" t="n">
        <f>695.32</f>
        <v>695.32</v>
      </c>
      <c r="T326" s="32" t="n">
        <f>6290</f>
        <v>6290.0</v>
      </c>
      <c r="U326" s="32" t="str">
        <f>"－"</f>
        <v>－</v>
      </c>
      <c r="V326" s="32" t="n">
        <f>4400226</f>
        <v>4400226.0</v>
      </c>
      <c r="W326" s="32" t="str">
        <f>"－"</f>
        <v>－</v>
      </c>
      <c r="X326" s="36" t="n">
        <f>10</f>
        <v>10.0</v>
      </c>
    </row>
    <row r="327">
      <c r="A327" s="27" t="s">
        <v>42</v>
      </c>
      <c r="B327" s="27" t="s">
        <v>1027</v>
      </c>
      <c r="C327" s="27" t="s">
        <v>1028</v>
      </c>
      <c r="D327" s="27" t="s">
        <v>1029</v>
      </c>
      <c r="E327" s="28" t="s">
        <v>46</v>
      </c>
      <c r="F327" s="29" t="s">
        <v>46</v>
      </c>
      <c r="G327" s="30" t="s">
        <v>46</v>
      </c>
      <c r="H327" s="31"/>
      <c r="I327" s="31" t="s">
        <v>47</v>
      </c>
      <c r="J327" s="32" t="n">
        <v>1.0</v>
      </c>
      <c r="K327" s="33" t="n">
        <f>1242</f>
        <v>1242.0</v>
      </c>
      <c r="L327" s="34" t="s">
        <v>48</v>
      </c>
      <c r="M327" s="33" t="n">
        <f>1282</f>
        <v>1282.0</v>
      </c>
      <c r="N327" s="34" t="s">
        <v>156</v>
      </c>
      <c r="O327" s="33" t="n">
        <f>1170</f>
        <v>1170.0</v>
      </c>
      <c r="P327" s="34" t="s">
        <v>73</v>
      </c>
      <c r="Q327" s="33" t="n">
        <f>1280</f>
        <v>1280.0</v>
      </c>
      <c r="R327" s="34" t="s">
        <v>51</v>
      </c>
      <c r="S327" s="35" t="n">
        <f>1243.43</f>
        <v>1243.43</v>
      </c>
      <c r="T327" s="32" t="n">
        <f>135905</f>
        <v>135905.0</v>
      </c>
      <c r="U327" s="32" t="str">
        <f>"－"</f>
        <v>－</v>
      </c>
      <c r="V327" s="32" t="n">
        <f>167006338</f>
        <v>1.67006338E8</v>
      </c>
      <c r="W327" s="32" t="str">
        <f>"－"</f>
        <v>－</v>
      </c>
      <c r="X327" s="36" t="n">
        <f>21</f>
        <v>21.0</v>
      </c>
    </row>
    <row r="328">
      <c r="A328" s="27" t="s">
        <v>42</v>
      </c>
      <c r="B328" s="27" t="s">
        <v>1030</v>
      </c>
      <c r="C328" s="27" t="s">
        <v>1031</v>
      </c>
      <c r="D328" s="27" t="s">
        <v>1032</v>
      </c>
      <c r="E328" s="28" t="s">
        <v>46</v>
      </c>
      <c r="F328" s="29" t="s">
        <v>46</v>
      </c>
      <c r="G328" s="30" t="s">
        <v>46</v>
      </c>
      <c r="H328" s="31"/>
      <c r="I328" s="31" t="s">
        <v>47</v>
      </c>
      <c r="J328" s="32" t="n">
        <v>1.0</v>
      </c>
      <c r="K328" s="33" t="n">
        <f>955</f>
        <v>955.0</v>
      </c>
      <c r="L328" s="34" t="s">
        <v>48</v>
      </c>
      <c r="M328" s="33" t="n">
        <f>956</f>
        <v>956.0</v>
      </c>
      <c r="N328" s="34" t="s">
        <v>48</v>
      </c>
      <c r="O328" s="33" t="n">
        <f>909</f>
        <v>909.0</v>
      </c>
      <c r="P328" s="34" t="s">
        <v>103</v>
      </c>
      <c r="Q328" s="33" t="n">
        <f>937</f>
        <v>937.0</v>
      </c>
      <c r="R328" s="34" t="s">
        <v>51</v>
      </c>
      <c r="S328" s="35" t="n">
        <f>933.48</f>
        <v>933.48</v>
      </c>
      <c r="T328" s="32" t="n">
        <f>297592</f>
        <v>297592.0</v>
      </c>
      <c r="U328" s="32" t="n">
        <f>100000</f>
        <v>100000.0</v>
      </c>
      <c r="V328" s="32" t="n">
        <f>280342422</f>
        <v>2.80342422E8</v>
      </c>
      <c r="W328" s="32" t="n">
        <f>94176000</f>
        <v>9.4176E7</v>
      </c>
      <c r="X328" s="36" t="n">
        <f>21</f>
        <v>21.0</v>
      </c>
    </row>
    <row r="329">
      <c r="A329" s="27" t="s">
        <v>42</v>
      </c>
      <c r="B329" s="27" t="s">
        <v>1033</v>
      </c>
      <c r="C329" s="27" t="s">
        <v>1034</v>
      </c>
      <c r="D329" s="27" t="s">
        <v>1035</v>
      </c>
      <c r="E329" s="28" t="s">
        <v>46</v>
      </c>
      <c r="F329" s="29" t="s">
        <v>46</v>
      </c>
      <c r="G329" s="30" t="s">
        <v>46</v>
      </c>
      <c r="H329" s="31"/>
      <c r="I329" s="31" t="s">
        <v>47</v>
      </c>
      <c r="J329" s="32" t="n">
        <v>10.0</v>
      </c>
      <c r="K329" s="33" t="n">
        <f>718.7</f>
        <v>718.7</v>
      </c>
      <c r="L329" s="34" t="s">
        <v>48</v>
      </c>
      <c r="M329" s="33" t="n">
        <f>731.5</f>
        <v>731.5</v>
      </c>
      <c r="N329" s="34" t="s">
        <v>177</v>
      </c>
      <c r="O329" s="33" t="n">
        <f>716.5</f>
        <v>716.5</v>
      </c>
      <c r="P329" s="34" t="s">
        <v>48</v>
      </c>
      <c r="Q329" s="33" t="n">
        <f>729.9</f>
        <v>729.9</v>
      </c>
      <c r="R329" s="34" t="s">
        <v>51</v>
      </c>
      <c r="S329" s="35" t="n">
        <f>724.92</f>
        <v>724.92</v>
      </c>
      <c r="T329" s="32" t="n">
        <f>3083180</f>
        <v>3083180.0</v>
      </c>
      <c r="U329" s="32" t="n">
        <f>2124100</f>
        <v>2124100.0</v>
      </c>
      <c r="V329" s="32" t="n">
        <f>2231289016</f>
        <v>2.231289016E9</v>
      </c>
      <c r="W329" s="32" t="n">
        <f>1536023237</f>
        <v>1.536023237E9</v>
      </c>
      <c r="X329" s="36" t="n">
        <f>21</f>
        <v>21.0</v>
      </c>
    </row>
    <row r="330">
      <c r="A330" s="27" t="s">
        <v>42</v>
      </c>
      <c r="B330" s="27" t="s">
        <v>1036</v>
      </c>
      <c r="C330" s="27" t="s">
        <v>1037</v>
      </c>
      <c r="D330" s="27" t="s">
        <v>1038</v>
      </c>
      <c r="E330" s="28" t="s">
        <v>46</v>
      </c>
      <c r="F330" s="29" t="s">
        <v>46</v>
      </c>
      <c r="G330" s="30" t="s">
        <v>46</v>
      </c>
      <c r="H330" s="31"/>
      <c r="I330" s="31" t="s">
        <v>47</v>
      </c>
      <c r="J330" s="32" t="n">
        <v>10.0</v>
      </c>
      <c r="K330" s="33" t="n">
        <f>700</f>
        <v>700.0</v>
      </c>
      <c r="L330" s="34" t="s">
        <v>48</v>
      </c>
      <c r="M330" s="33" t="n">
        <f>736.7</f>
        <v>736.7</v>
      </c>
      <c r="N330" s="34" t="s">
        <v>177</v>
      </c>
      <c r="O330" s="33" t="n">
        <f>697</f>
        <v>697.0</v>
      </c>
      <c r="P330" s="34" t="s">
        <v>48</v>
      </c>
      <c r="Q330" s="33" t="n">
        <f>721.1</f>
        <v>721.1</v>
      </c>
      <c r="R330" s="34" t="s">
        <v>51</v>
      </c>
      <c r="S330" s="35" t="n">
        <f>713.46</f>
        <v>713.46</v>
      </c>
      <c r="T330" s="32" t="n">
        <f>10062560</f>
        <v>1.006256E7</v>
      </c>
      <c r="U330" s="32" t="n">
        <f>10005370</f>
        <v>1.000537E7</v>
      </c>
      <c r="V330" s="32" t="n">
        <f>7180400216</f>
        <v>7.180400216E9</v>
      </c>
      <c r="W330" s="32" t="n">
        <f>7139535021</f>
        <v>7.139535021E9</v>
      </c>
      <c r="X330" s="36" t="n">
        <f>21</f>
        <v>21.0</v>
      </c>
    </row>
    <row r="331">
      <c r="A331" s="27" t="s">
        <v>42</v>
      </c>
      <c r="B331" s="27" t="s">
        <v>1039</v>
      </c>
      <c r="C331" s="27" t="s">
        <v>1040</v>
      </c>
      <c r="D331" s="27" t="s">
        <v>1041</v>
      </c>
      <c r="E331" s="28" t="s">
        <v>46</v>
      </c>
      <c r="F331" s="29" t="s">
        <v>46</v>
      </c>
      <c r="G331" s="30" t="s">
        <v>46</v>
      </c>
      <c r="H331" s="31"/>
      <c r="I331" s="31" t="s">
        <v>47</v>
      </c>
      <c r="J331" s="32" t="n">
        <v>1.0</v>
      </c>
      <c r="K331" s="33" t="n">
        <f>1186</f>
        <v>1186.0</v>
      </c>
      <c r="L331" s="34" t="s">
        <v>48</v>
      </c>
      <c r="M331" s="33" t="n">
        <f>1234</f>
        <v>1234.0</v>
      </c>
      <c r="N331" s="34" t="s">
        <v>177</v>
      </c>
      <c r="O331" s="33" t="n">
        <f>1128</f>
        <v>1128.0</v>
      </c>
      <c r="P331" s="34" t="s">
        <v>89</v>
      </c>
      <c r="Q331" s="33" t="n">
        <f>1204</f>
        <v>1204.0</v>
      </c>
      <c r="R331" s="34" t="s">
        <v>51</v>
      </c>
      <c r="S331" s="35" t="n">
        <f>1191.76</f>
        <v>1191.76</v>
      </c>
      <c r="T331" s="32" t="n">
        <f>184679</f>
        <v>184679.0</v>
      </c>
      <c r="U331" s="32" t="str">
        <f>"－"</f>
        <v>－</v>
      </c>
      <c r="V331" s="32" t="n">
        <f>220749615</f>
        <v>2.20749615E8</v>
      </c>
      <c r="W331" s="32" t="str">
        <f>"－"</f>
        <v>－</v>
      </c>
      <c r="X331" s="36" t="n">
        <f>21</f>
        <v>21.0</v>
      </c>
    </row>
    <row r="332">
      <c r="A332" s="27" t="s">
        <v>42</v>
      </c>
      <c r="B332" s="27" t="s">
        <v>1042</v>
      </c>
      <c r="C332" s="27" t="s">
        <v>1043</v>
      </c>
      <c r="D332" s="27" t="s">
        <v>1044</v>
      </c>
      <c r="E332" s="28" t="s">
        <v>46</v>
      </c>
      <c r="F332" s="29" t="s">
        <v>46</v>
      </c>
      <c r="G332" s="30" t="s">
        <v>46</v>
      </c>
      <c r="H332" s="31"/>
      <c r="I332" s="31" t="s">
        <v>47</v>
      </c>
      <c r="J332" s="32" t="n">
        <v>10.0</v>
      </c>
      <c r="K332" s="33" t="n">
        <f>2375</f>
        <v>2375.0</v>
      </c>
      <c r="L332" s="34" t="s">
        <v>48</v>
      </c>
      <c r="M332" s="33" t="n">
        <f>2474</f>
        <v>2474.0</v>
      </c>
      <c r="N332" s="34" t="s">
        <v>73</v>
      </c>
      <c r="O332" s="33" t="n">
        <f>2372.5</f>
        <v>2372.5</v>
      </c>
      <c r="P332" s="34" t="s">
        <v>48</v>
      </c>
      <c r="Q332" s="33" t="n">
        <f>2417</f>
        <v>2417.0</v>
      </c>
      <c r="R332" s="34" t="s">
        <v>51</v>
      </c>
      <c r="S332" s="35" t="n">
        <f>2421.95</f>
        <v>2421.95</v>
      </c>
      <c r="T332" s="32" t="n">
        <f>36920</f>
        <v>36920.0</v>
      </c>
      <c r="U332" s="32" t="str">
        <f>"－"</f>
        <v>－</v>
      </c>
      <c r="V332" s="32" t="n">
        <f>89587400</f>
        <v>8.95874E7</v>
      </c>
      <c r="W332" s="32" t="str">
        <f>"－"</f>
        <v>－</v>
      </c>
      <c r="X332" s="36" t="n">
        <f>21</f>
        <v>21.0</v>
      </c>
    </row>
    <row r="333">
      <c r="A333" s="27" t="s">
        <v>42</v>
      </c>
      <c r="B333" s="27" t="s">
        <v>1045</v>
      </c>
      <c r="C333" s="27" t="s">
        <v>1046</v>
      </c>
      <c r="D333" s="27" t="s">
        <v>1047</v>
      </c>
      <c r="E333" s="28" t="s">
        <v>46</v>
      </c>
      <c r="F333" s="29" t="s">
        <v>46</v>
      </c>
      <c r="G333" s="30" t="s">
        <v>46</v>
      </c>
      <c r="H333" s="31"/>
      <c r="I333" s="31" t="s">
        <v>47</v>
      </c>
      <c r="J333" s="32" t="n">
        <v>10.0</v>
      </c>
      <c r="K333" s="33" t="n">
        <f>2359.5</f>
        <v>2359.5</v>
      </c>
      <c r="L333" s="34" t="s">
        <v>48</v>
      </c>
      <c r="M333" s="33" t="n">
        <f>2579.5</f>
        <v>2579.5</v>
      </c>
      <c r="N333" s="34" t="s">
        <v>116</v>
      </c>
      <c r="O333" s="33" t="n">
        <f>2346</f>
        <v>2346.0</v>
      </c>
      <c r="P333" s="34" t="s">
        <v>48</v>
      </c>
      <c r="Q333" s="33" t="n">
        <f>2400.5</f>
        <v>2400.5</v>
      </c>
      <c r="R333" s="34" t="s">
        <v>51</v>
      </c>
      <c r="S333" s="35" t="n">
        <f>2405.4</f>
        <v>2405.4</v>
      </c>
      <c r="T333" s="32" t="n">
        <f>30350</f>
        <v>30350.0</v>
      </c>
      <c r="U333" s="32" t="str">
        <f>"－"</f>
        <v>－</v>
      </c>
      <c r="V333" s="32" t="n">
        <f>72765620</f>
        <v>7.276562E7</v>
      </c>
      <c r="W333" s="32" t="str">
        <f>"－"</f>
        <v>－</v>
      </c>
      <c r="X333" s="36" t="n">
        <f>21</f>
        <v>21.0</v>
      </c>
    </row>
    <row r="334">
      <c r="A334" s="27" t="s">
        <v>42</v>
      </c>
      <c r="B334" s="27" t="s">
        <v>1048</v>
      </c>
      <c r="C334" s="27" t="s">
        <v>1049</v>
      </c>
      <c r="D334" s="27" t="s">
        <v>1050</v>
      </c>
      <c r="E334" s="28" t="s">
        <v>46</v>
      </c>
      <c r="F334" s="29" t="s">
        <v>46</v>
      </c>
      <c r="G334" s="30" t="s">
        <v>46</v>
      </c>
      <c r="H334" s="31"/>
      <c r="I334" s="31" t="s">
        <v>47</v>
      </c>
      <c r="J334" s="32" t="n">
        <v>10.0</v>
      </c>
      <c r="K334" s="33" t="n">
        <f>5006</f>
        <v>5006.0</v>
      </c>
      <c r="L334" s="34" t="s">
        <v>89</v>
      </c>
      <c r="M334" s="33" t="n">
        <f>5427</f>
        <v>5427.0</v>
      </c>
      <c r="N334" s="34" t="s">
        <v>116</v>
      </c>
      <c r="O334" s="33" t="n">
        <f>5006</f>
        <v>5006.0</v>
      </c>
      <c r="P334" s="34" t="s">
        <v>89</v>
      </c>
      <c r="Q334" s="33" t="n">
        <f>5336</f>
        <v>5336.0</v>
      </c>
      <c r="R334" s="34" t="s">
        <v>51</v>
      </c>
      <c r="S334" s="35" t="n">
        <f>5293.13</f>
        <v>5293.13</v>
      </c>
      <c r="T334" s="32" t="n">
        <f>236820</f>
        <v>236820.0</v>
      </c>
      <c r="U334" s="32" t="str">
        <f>"－"</f>
        <v>－</v>
      </c>
      <c r="V334" s="32" t="n">
        <f>1242756810</f>
        <v>1.24275681E9</v>
      </c>
      <c r="W334" s="32" t="str">
        <f>"－"</f>
        <v>－</v>
      </c>
      <c r="X334" s="36" t="n">
        <f>15</f>
        <v>15.0</v>
      </c>
    </row>
    <row r="335">
      <c r="A335" s="27" t="s">
        <v>42</v>
      </c>
      <c r="B335" s="27" t="s">
        <v>1051</v>
      </c>
      <c r="C335" s="27" t="s">
        <v>1052</v>
      </c>
      <c r="D335" s="27" t="s">
        <v>1053</v>
      </c>
      <c r="E335" s="28" t="s">
        <v>46</v>
      </c>
      <c r="F335" s="29" t="s">
        <v>46</v>
      </c>
      <c r="G335" s="30" t="s">
        <v>46</v>
      </c>
      <c r="H335" s="31"/>
      <c r="I335" s="31" t="s">
        <v>47</v>
      </c>
      <c r="J335" s="32" t="n">
        <v>10.0</v>
      </c>
      <c r="K335" s="33" t="n">
        <f>4362</f>
        <v>4362.0</v>
      </c>
      <c r="L335" s="34" t="s">
        <v>187</v>
      </c>
      <c r="M335" s="33" t="n">
        <f>4833</f>
        <v>4833.0</v>
      </c>
      <c r="N335" s="34" t="s">
        <v>73</v>
      </c>
      <c r="O335" s="33" t="n">
        <f>4362</f>
        <v>4362.0</v>
      </c>
      <c r="P335" s="34" t="s">
        <v>187</v>
      </c>
      <c r="Q335" s="33" t="n">
        <f>4497</f>
        <v>4497.0</v>
      </c>
      <c r="R335" s="34" t="s">
        <v>51</v>
      </c>
      <c r="S335" s="35" t="n">
        <f>4449.85</f>
        <v>4449.85</v>
      </c>
      <c r="T335" s="32" t="n">
        <f>534300</f>
        <v>534300.0</v>
      </c>
      <c r="U335" s="32" t="n">
        <f>412860</f>
        <v>412860.0</v>
      </c>
      <c r="V335" s="32" t="n">
        <f>2365220418</f>
        <v>2.365220418E9</v>
      </c>
      <c r="W335" s="32" t="n">
        <f>1828270428</f>
        <v>1.828270428E9</v>
      </c>
      <c r="X335" s="36" t="n">
        <f>13</f>
        <v>13.0</v>
      </c>
    </row>
    <row r="336">
      <c r="A336" s="27" t="s">
        <v>42</v>
      </c>
      <c r="B336" s="27" t="s">
        <v>1054</v>
      </c>
      <c r="C336" s="27" t="s">
        <v>1055</v>
      </c>
      <c r="D336" s="27" t="s">
        <v>1056</v>
      </c>
      <c r="E336" s="28" t="s">
        <v>46</v>
      </c>
      <c r="F336" s="29" t="s">
        <v>46</v>
      </c>
      <c r="G336" s="30" t="s">
        <v>46</v>
      </c>
      <c r="H336" s="31"/>
      <c r="I336" s="31" t="s">
        <v>47</v>
      </c>
      <c r="J336" s="32" t="n">
        <v>10.0</v>
      </c>
      <c r="K336" s="33" t="n">
        <f>2055.5</f>
        <v>2055.5</v>
      </c>
      <c r="L336" s="34" t="s">
        <v>48</v>
      </c>
      <c r="M336" s="33" t="n">
        <f>2055.5</f>
        <v>2055.5</v>
      </c>
      <c r="N336" s="34" t="s">
        <v>48</v>
      </c>
      <c r="O336" s="33" t="n">
        <f>1876</f>
        <v>1876.0</v>
      </c>
      <c r="P336" s="34" t="s">
        <v>61</v>
      </c>
      <c r="Q336" s="33" t="n">
        <f>1944.5</f>
        <v>1944.5</v>
      </c>
      <c r="R336" s="34" t="s">
        <v>51</v>
      </c>
      <c r="S336" s="35" t="n">
        <f>1920.79</f>
        <v>1920.79</v>
      </c>
      <c r="T336" s="32" t="n">
        <f>1630</f>
        <v>1630.0</v>
      </c>
      <c r="U336" s="32" t="str">
        <f>"－"</f>
        <v>－</v>
      </c>
      <c r="V336" s="32" t="n">
        <f>3147180</f>
        <v>3147180.0</v>
      </c>
      <c r="W336" s="32" t="str">
        <f>"－"</f>
        <v>－</v>
      </c>
      <c r="X336" s="36" t="n">
        <f>7</f>
        <v>7.0</v>
      </c>
    </row>
    <row r="337">
      <c r="A337" s="27" t="s">
        <v>42</v>
      </c>
      <c r="B337" s="27" t="s">
        <v>1057</v>
      </c>
      <c r="C337" s="27" t="s">
        <v>1058</v>
      </c>
      <c r="D337" s="27" t="s">
        <v>1059</v>
      </c>
      <c r="E337" s="28" t="s">
        <v>46</v>
      </c>
      <c r="F337" s="29" t="s">
        <v>46</v>
      </c>
      <c r="G337" s="30" t="s">
        <v>46</v>
      </c>
      <c r="H337" s="31"/>
      <c r="I337" s="31" t="s">
        <v>47</v>
      </c>
      <c r="J337" s="32" t="n">
        <v>1.0</v>
      </c>
      <c r="K337" s="33" t="n">
        <f>1178</f>
        <v>1178.0</v>
      </c>
      <c r="L337" s="34" t="s">
        <v>48</v>
      </c>
      <c r="M337" s="33" t="n">
        <f>1294</f>
        <v>1294.0</v>
      </c>
      <c r="N337" s="34" t="s">
        <v>51</v>
      </c>
      <c r="O337" s="33" t="n">
        <f>1178</f>
        <v>1178.0</v>
      </c>
      <c r="P337" s="34" t="s">
        <v>48</v>
      </c>
      <c r="Q337" s="33" t="n">
        <f>1294</f>
        <v>1294.0</v>
      </c>
      <c r="R337" s="34" t="s">
        <v>51</v>
      </c>
      <c r="S337" s="35" t="n">
        <f>1240.43</f>
        <v>1240.43</v>
      </c>
      <c r="T337" s="32" t="n">
        <f>5409</f>
        <v>5409.0</v>
      </c>
      <c r="U337" s="32" t="str">
        <f>"－"</f>
        <v>－</v>
      </c>
      <c r="V337" s="32" t="n">
        <f>6814808</f>
        <v>6814808.0</v>
      </c>
      <c r="W337" s="32" t="str">
        <f>"－"</f>
        <v>－</v>
      </c>
      <c r="X337" s="36" t="n">
        <f>21</f>
        <v>21.0</v>
      </c>
    </row>
    <row r="338">
      <c r="A338" s="27" t="s">
        <v>42</v>
      </c>
      <c r="B338" s="27" t="s">
        <v>1060</v>
      </c>
      <c r="C338" s="27" t="s">
        <v>1061</v>
      </c>
      <c r="D338" s="27" t="s">
        <v>1062</v>
      </c>
      <c r="E338" s="28" t="s">
        <v>46</v>
      </c>
      <c r="F338" s="29" t="s">
        <v>46</v>
      </c>
      <c r="G338" s="30" t="s">
        <v>46</v>
      </c>
      <c r="H338" s="31"/>
      <c r="I338" s="31" t="s">
        <v>47</v>
      </c>
      <c r="J338" s="32" t="n">
        <v>1.0</v>
      </c>
      <c r="K338" s="33" t="n">
        <f>1101</f>
        <v>1101.0</v>
      </c>
      <c r="L338" s="34" t="s">
        <v>48</v>
      </c>
      <c r="M338" s="33" t="n">
        <f>1121</f>
        <v>1121.0</v>
      </c>
      <c r="N338" s="34" t="s">
        <v>49</v>
      </c>
      <c r="O338" s="33" t="n">
        <f>1056</f>
        <v>1056.0</v>
      </c>
      <c r="P338" s="34" t="s">
        <v>90</v>
      </c>
      <c r="Q338" s="33" t="n">
        <f>1080</f>
        <v>1080.0</v>
      </c>
      <c r="R338" s="34" t="s">
        <v>51</v>
      </c>
      <c r="S338" s="35" t="n">
        <f>1086.19</f>
        <v>1086.19</v>
      </c>
      <c r="T338" s="32" t="n">
        <f>1818641</f>
        <v>1818641.0</v>
      </c>
      <c r="U338" s="32" t="n">
        <f>923</f>
        <v>923.0</v>
      </c>
      <c r="V338" s="32" t="n">
        <f>1964555179</f>
        <v>1.964555179E9</v>
      </c>
      <c r="W338" s="32" t="n">
        <f>981297</f>
        <v>981297.0</v>
      </c>
      <c r="X338" s="36" t="n">
        <f>21</f>
        <v>21.0</v>
      </c>
    </row>
    <row r="339">
      <c r="A339" s="27" t="s">
        <v>42</v>
      </c>
      <c r="B339" s="27" t="s">
        <v>1063</v>
      </c>
      <c r="C339" s="27" t="s">
        <v>1064</v>
      </c>
      <c r="D339" s="27" t="s">
        <v>1065</v>
      </c>
      <c r="E339" s="28" t="s">
        <v>46</v>
      </c>
      <c r="F339" s="29" t="s">
        <v>46</v>
      </c>
      <c r="G339" s="30" t="s">
        <v>46</v>
      </c>
      <c r="H339" s="31"/>
      <c r="I339" s="31" t="s">
        <v>47</v>
      </c>
      <c r="J339" s="32" t="n">
        <v>1.0</v>
      </c>
      <c r="K339" s="33" t="n">
        <f>946</f>
        <v>946.0</v>
      </c>
      <c r="L339" s="34" t="s">
        <v>48</v>
      </c>
      <c r="M339" s="33" t="n">
        <f>953</f>
        <v>953.0</v>
      </c>
      <c r="N339" s="34" t="s">
        <v>89</v>
      </c>
      <c r="O339" s="33" t="n">
        <f>913</f>
        <v>913.0</v>
      </c>
      <c r="P339" s="34" t="s">
        <v>90</v>
      </c>
      <c r="Q339" s="33" t="n">
        <f>932</f>
        <v>932.0</v>
      </c>
      <c r="R339" s="34" t="s">
        <v>51</v>
      </c>
      <c r="S339" s="35" t="n">
        <f>936.1</f>
        <v>936.1</v>
      </c>
      <c r="T339" s="32" t="n">
        <f>795351</f>
        <v>795351.0</v>
      </c>
      <c r="U339" s="32" t="n">
        <f>549</f>
        <v>549.0</v>
      </c>
      <c r="V339" s="32" t="n">
        <f>742880693</f>
        <v>7.42880693E8</v>
      </c>
      <c r="W339" s="32" t="n">
        <f>478901</f>
        <v>478901.0</v>
      </c>
      <c r="X339" s="36" t="n">
        <f>21</f>
        <v>21.0</v>
      </c>
    </row>
    <row r="340">
      <c r="A340" s="27" t="s">
        <v>42</v>
      </c>
      <c r="B340" s="27" t="s">
        <v>1066</v>
      </c>
      <c r="C340" s="27" t="s">
        <v>1067</v>
      </c>
      <c r="D340" s="27" t="s">
        <v>1068</v>
      </c>
      <c r="E340" s="28" t="s">
        <v>46</v>
      </c>
      <c r="F340" s="29" t="s">
        <v>46</v>
      </c>
      <c r="G340" s="30" t="s">
        <v>46</v>
      </c>
      <c r="H340" s="31"/>
      <c r="I340" s="31" t="s">
        <v>47</v>
      </c>
      <c r="J340" s="32" t="n">
        <v>1.0</v>
      </c>
      <c r="K340" s="33" t="n">
        <f>1094</f>
        <v>1094.0</v>
      </c>
      <c r="L340" s="34" t="s">
        <v>48</v>
      </c>
      <c r="M340" s="33" t="n">
        <f>1130</f>
        <v>1130.0</v>
      </c>
      <c r="N340" s="34" t="s">
        <v>177</v>
      </c>
      <c r="O340" s="33" t="n">
        <f>1048</f>
        <v>1048.0</v>
      </c>
      <c r="P340" s="34" t="s">
        <v>73</v>
      </c>
      <c r="Q340" s="33" t="n">
        <f>1115</f>
        <v>1115.0</v>
      </c>
      <c r="R340" s="34" t="s">
        <v>51</v>
      </c>
      <c r="S340" s="35" t="n">
        <f>1090.43</f>
        <v>1090.43</v>
      </c>
      <c r="T340" s="32" t="n">
        <f>14205</f>
        <v>14205.0</v>
      </c>
      <c r="U340" s="32" t="str">
        <f>"－"</f>
        <v>－</v>
      </c>
      <c r="V340" s="32" t="n">
        <f>15572255</f>
        <v>1.5572255E7</v>
      </c>
      <c r="W340" s="32" t="str">
        <f>"－"</f>
        <v>－</v>
      </c>
      <c r="X340" s="36" t="n">
        <f>21</f>
        <v>21.0</v>
      </c>
    </row>
    <row r="341">
      <c r="A341" s="27" t="s">
        <v>42</v>
      </c>
      <c r="B341" s="27" t="s">
        <v>1069</v>
      </c>
      <c r="C341" s="27" t="s">
        <v>1070</v>
      </c>
      <c r="D341" s="27" t="s">
        <v>1071</v>
      </c>
      <c r="E341" s="28" t="s">
        <v>46</v>
      </c>
      <c r="F341" s="29" t="s">
        <v>46</v>
      </c>
      <c r="G341" s="30" t="s">
        <v>46</v>
      </c>
      <c r="H341" s="31"/>
      <c r="I341" s="31" t="s">
        <v>47</v>
      </c>
      <c r="J341" s="32" t="n">
        <v>1.0</v>
      </c>
      <c r="K341" s="33" t="n">
        <f>994</f>
        <v>994.0</v>
      </c>
      <c r="L341" s="34" t="s">
        <v>48</v>
      </c>
      <c r="M341" s="33" t="n">
        <f>1002</f>
        <v>1002.0</v>
      </c>
      <c r="N341" s="34" t="s">
        <v>49</v>
      </c>
      <c r="O341" s="33" t="n">
        <f>951</f>
        <v>951.0</v>
      </c>
      <c r="P341" s="34" t="s">
        <v>90</v>
      </c>
      <c r="Q341" s="33" t="n">
        <f>967</f>
        <v>967.0</v>
      </c>
      <c r="R341" s="34" t="s">
        <v>51</v>
      </c>
      <c r="S341" s="35" t="n">
        <f>976.33</f>
        <v>976.33</v>
      </c>
      <c r="T341" s="32" t="n">
        <f>509997</f>
        <v>509997.0</v>
      </c>
      <c r="U341" s="32" t="n">
        <f>553</f>
        <v>553.0</v>
      </c>
      <c r="V341" s="32" t="n">
        <f>495345926</f>
        <v>4.95345926E8</v>
      </c>
      <c r="W341" s="32" t="n">
        <f>520358</f>
        <v>520358.0</v>
      </c>
      <c r="X341" s="36" t="n">
        <f>21</f>
        <v>21.0</v>
      </c>
    </row>
    <row r="342">
      <c r="A342" s="27" t="s">
        <v>42</v>
      </c>
      <c r="B342" s="27" t="s">
        <v>1072</v>
      </c>
      <c r="C342" s="27" t="s">
        <v>1073</v>
      </c>
      <c r="D342" s="27" t="s">
        <v>1074</v>
      </c>
      <c r="E342" s="28" t="s">
        <v>46</v>
      </c>
      <c r="F342" s="29" t="s">
        <v>46</v>
      </c>
      <c r="G342" s="30" t="s">
        <v>46</v>
      </c>
      <c r="H342" s="31"/>
      <c r="I342" s="31" t="s">
        <v>47</v>
      </c>
      <c r="J342" s="32" t="n">
        <v>1.0</v>
      </c>
      <c r="K342" s="33" t="n">
        <f>31480</f>
        <v>31480.0</v>
      </c>
      <c r="L342" s="34" t="s">
        <v>48</v>
      </c>
      <c r="M342" s="33" t="n">
        <f>35290</f>
        <v>35290.0</v>
      </c>
      <c r="N342" s="34" t="s">
        <v>177</v>
      </c>
      <c r="O342" s="33" t="n">
        <f>30790</f>
        <v>30790.0</v>
      </c>
      <c r="P342" s="34" t="s">
        <v>231</v>
      </c>
      <c r="Q342" s="33" t="n">
        <f>35070</f>
        <v>35070.0</v>
      </c>
      <c r="R342" s="34" t="s">
        <v>51</v>
      </c>
      <c r="S342" s="35" t="n">
        <f>33336.19</f>
        <v>33336.19</v>
      </c>
      <c r="T342" s="32" t="n">
        <f>338953</f>
        <v>338953.0</v>
      </c>
      <c r="U342" s="32" t="n">
        <f>266</f>
        <v>266.0</v>
      </c>
      <c r="V342" s="32" t="n">
        <f>11333917110</f>
        <v>1.133391711E10</v>
      </c>
      <c r="W342" s="32" t="n">
        <f>9101960</f>
        <v>9101960.0</v>
      </c>
      <c r="X342" s="36" t="n">
        <f>21</f>
        <v>21.0</v>
      </c>
    </row>
    <row r="343">
      <c r="A343" s="27" t="s">
        <v>42</v>
      </c>
      <c r="B343" s="27" t="s">
        <v>1075</v>
      </c>
      <c r="C343" s="27" t="s">
        <v>1076</v>
      </c>
      <c r="D343" s="27" t="s">
        <v>1077</v>
      </c>
      <c r="E343" s="28" t="s">
        <v>46</v>
      </c>
      <c r="F343" s="29" t="s">
        <v>46</v>
      </c>
      <c r="G343" s="30" t="s">
        <v>46</v>
      </c>
      <c r="H343" s="31"/>
      <c r="I343" s="31" t="s">
        <v>47</v>
      </c>
      <c r="J343" s="32" t="n">
        <v>1.0</v>
      </c>
      <c r="K343" s="33" t="n">
        <f>30940</f>
        <v>30940.0</v>
      </c>
      <c r="L343" s="34" t="s">
        <v>48</v>
      </c>
      <c r="M343" s="33" t="n">
        <f>31570</f>
        <v>31570.0</v>
      </c>
      <c r="N343" s="34" t="s">
        <v>231</v>
      </c>
      <c r="O343" s="33" t="n">
        <f>27115</f>
        <v>27115.0</v>
      </c>
      <c r="P343" s="34" t="s">
        <v>116</v>
      </c>
      <c r="Q343" s="33" t="n">
        <f>27615</f>
        <v>27615.0</v>
      </c>
      <c r="R343" s="34" t="s">
        <v>51</v>
      </c>
      <c r="S343" s="35" t="n">
        <f>29180.48</f>
        <v>29180.48</v>
      </c>
      <c r="T343" s="32" t="n">
        <f>167937</f>
        <v>167937.0</v>
      </c>
      <c r="U343" s="32" t="n">
        <f>109</f>
        <v>109.0</v>
      </c>
      <c r="V343" s="32" t="n">
        <f>4947693810</f>
        <v>4.94769381E9</v>
      </c>
      <c r="W343" s="32" t="n">
        <f>3089505</f>
        <v>3089505.0</v>
      </c>
      <c r="X343" s="36" t="n">
        <f>21</f>
        <v>21.0</v>
      </c>
    </row>
    <row r="344">
      <c r="A344" s="27" t="s">
        <v>42</v>
      </c>
      <c r="B344" s="27" t="s">
        <v>1078</v>
      </c>
      <c r="C344" s="27" t="s">
        <v>1079</v>
      </c>
      <c r="D344" s="27" t="s">
        <v>1080</v>
      </c>
      <c r="E344" s="28" t="s">
        <v>46</v>
      </c>
      <c r="F344" s="29" t="s">
        <v>46</v>
      </c>
      <c r="G344" s="30" t="s">
        <v>46</v>
      </c>
      <c r="H344" s="31"/>
      <c r="I344" s="31" t="s">
        <v>47</v>
      </c>
      <c r="J344" s="32" t="n">
        <v>1.0</v>
      </c>
      <c r="K344" s="33" t="n">
        <f>118500</f>
        <v>118500.0</v>
      </c>
      <c r="L344" s="34" t="s">
        <v>48</v>
      </c>
      <c r="M344" s="33" t="n">
        <f>118600</f>
        <v>118600.0</v>
      </c>
      <c r="N344" s="34" t="s">
        <v>48</v>
      </c>
      <c r="O344" s="33" t="n">
        <f>112800</f>
        <v>112800.0</v>
      </c>
      <c r="P344" s="34" t="s">
        <v>103</v>
      </c>
      <c r="Q344" s="33" t="n">
        <f>116500</f>
        <v>116500.0</v>
      </c>
      <c r="R344" s="34" t="s">
        <v>51</v>
      </c>
      <c r="S344" s="35" t="n">
        <f>115376.19</f>
        <v>115376.19</v>
      </c>
      <c r="T344" s="32" t="n">
        <f>26244</f>
        <v>26244.0</v>
      </c>
      <c r="U344" s="32" t="n">
        <f>2951</f>
        <v>2951.0</v>
      </c>
      <c r="V344" s="32" t="n">
        <f>3019346893</f>
        <v>3.019346893E9</v>
      </c>
      <c r="W344" s="32" t="n">
        <f>340471893</f>
        <v>3.40471893E8</v>
      </c>
      <c r="X344" s="36" t="n">
        <f>21</f>
        <v>21.0</v>
      </c>
    </row>
    <row r="345">
      <c r="A345" s="27" t="s">
        <v>42</v>
      </c>
      <c r="B345" s="27" t="s">
        <v>1081</v>
      </c>
      <c r="C345" s="27" t="s">
        <v>1082</v>
      </c>
      <c r="D345" s="27" t="s">
        <v>1083</v>
      </c>
      <c r="E345" s="28" t="s">
        <v>46</v>
      </c>
      <c r="F345" s="29" t="s">
        <v>46</v>
      </c>
      <c r="G345" s="30" t="s">
        <v>46</v>
      </c>
      <c r="H345" s="31"/>
      <c r="I345" s="31" t="s">
        <v>553</v>
      </c>
      <c r="J345" s="32" t="n">
        <v>1.0</v>
      </c>
      <c r="K345" s="33" t="n">
        <f>92000</f>
        <v>92000.0</v>
      </c>
      <c r="L345" s="34" t="s">
        <v>48</v>
      </c>
      <c r="M345" s="33" t="n">
        <f>92300</f>
        <v>92300.0</v>
      </c>
      <c r="N345" s="34" t="s">
        <v>187</v>
      </c>
      <c r="O345" s="33" t="n">
        <f>87400</f>
        <v>87400.0</v>
      </c>
      <c r="P345" s="34" t="s">
        <v>103</v>
      </c>
      <c r="Q345" s="33" t="n">
        <f>92000</f>
        <v>92000.0</v>
      </c>
      <c r="R345" s="34" t="s">
        <v>51</v>
      </c>
      <c r="S345" s="35" t="n">
        <f>90638.1</f>
        <v>90638.1</v>
      </c>
      <c r="T345" s="32" t="n">
        <f>30127</f>
        <v>30127.0</v>
      </c>
      <c r="U345" s="32" t="n">
        <f>5337</f>
        <v>5337.0</v>
      </c>
      <c r="V345" s="32" t="n">
        <f>2721803350</f>
        <v>2.72180335E9</v>
      </c>
      <c r="W345" s="32" t="n">
        <f>483356850</f>
        <v>4.8335685E8</v>
      </c>
      <c r="X345" s="36" t="n">
        <f>21</f>
        <v>21.0</v>
      </c>
    </row>
    <row r="346">
      <c r="A346" s="27" t="s">
        <v>42</v>
      </c>
      <c r="B346" s="27" t="s">
        <v>1084</v>
      </c>
      <c r="C346" s="27" t="s">
        <v>1085</v>
      </c>
      <c r="D346" s="27" t="s">
        <v>1086</v>
      </c>
      <c r="E346" s="28" t="s">
        <v>46</v>
      </c>
      <c r="F346" s="29" t="s">
        <v>46</v>
      </c>
      <c r="G346" s="30" t="s">
        <v>46</v>
      </c>
      <c r="H346" s="31"/>
      <c r="I346" s="31" t="s">
        <v>47</v>
      </c>
      <c r="J346" s="32" t="n">
        <v>1.0</v>
      </c>
      <c r="K346" s="33" t="n">
        <f>121000</f>
        <v>121000.0</v>
      </c>
      <c r="L346" s="34" t="s">
        <v>48</v>
      </c>
      <c r="M346" s="33" t="n">
        <f>121500</f>
        <v>121500.0</v>
      </c>
      <c r="N346" s="34" t="s">
        <v>48</v>
      </c>
      <c r="O346" s="33" t="n">
        <f>115100</f>
        <v>115100.0</v>
      </c>
      <c r="P346" s="34" t="s">
        <v>103</v>
      </c>
      <c r="Q346" s="33" t="n">
        <f>120100</f>
        <v>120100.0</v>
      </c>
      <c r="R346" s="34" t="s">
        <v>51</v>
      </c>
      <c r="S346" s="35" t="n">
        <f>119204.76</f>
        <v>119204.76</v>
      </c>
      <c r="T346" s="32" t="n">
        <f>57017</f>
        <v>57017.0</v>
      </c>
      <c r="U346" s="32" t="n">
        <f>10473</f>
        <v>10473.0</v>
      </c>
      <c r="V346" s="32" t="n">
        <f>6793141757</f>
        <v>6.793141757E9</v>
      </c>
      <c r="W346" s="32" t="n">
        <f>1247960857</f>
        <v>1.247960857E9</v>
      </c>
      <c r="X346" s="36" t="n">
        <f>21</f>
        <v>21.0</v>
      </c>
    </row>
    <row r="347">
      <c r="A347" s="27" t="s">
        <v>42</v>
      </c>
      <c r="B347" s="27" t="s">
        <v>1087</v>
      </c>
      <c r="C347" s="27" t="s">
        <v>1088</v>
      </c>
      <c r="D347" s="27" t="s">
        <v>1089</v>
      </c>
      <c r="E347" s="28" t="s">
        <v>46</v>
      </c>
      <c r="F347" s="29" t="s">
        <v>46</v>
      </c>
      <c r="G347" s="30" t="s">
        <v>46</v>
      </c>
      <c r="H347" s="31"/>
      <c r="I347" s="31" t="s">
        <v>553</v>
      </c>
      <c r="J347" s="32" t="n">
        <v>1.0</v>
      </c>
      <c r="K347" s="33" t="n">
        <f>127100</f>
        <v>127100.0</v>
      </c>
      <c r="L347" s="34" t="s">
        <v>48</v>
      </c>
      <c r="M347" s="33" t="n">
        <f>127700</f>
        <v>127700.0</v>
      </c>
      <c r="N347" s="34" t="s">
        <v>48</v>
      </c>
      <c r="O347" s="33" t="n">
        <f>122200</f>
        <v>122200.0</v>
      </c>
      <c r="P347" s="34" t="s">
        <v>103</v>
      </c>
      <c r="Q347" s="33" t="n">
        <f>125600</f>
        <v>125600.0</v>
      </c>
      <c r="R347" s="34" t="s">
        <v>51</v>
      </c>
      <c r="S347" s="35" t="n">
        <f>124833.33</f>
        <v>124833.33</v>
      </c>
      <c r="T347" s="32" t="n">
        <f>12792</f>
        <v>12792.0</v>
      </c>
      <c r="U347" s="32" t="n">
        <f>1831</f>
        <v>1831.0</v>
      </c>
      <c r="V347" s="32" t="n">
        <f>1596076768</f>
        <v>1.596076768E9</v>
      </c>
      <c r="W347" s="32" t="n">
        <f>228718068</f>
        <v>2.28718068E8</v>
      </c>
      <c r="X347" s="36" t="n">
        <f>21</f>
        <v>21.0</v>
      </c>
    </row>
    <row r="348">
      <c r="A348" s="27" t="s">
        <v>42</v>
      </c>
      <c r="B348" s="27" t="s">
        <v>1090</v>
      </c>
      <c r="C348" s="27" t="s">
        <v>1091</v>
      </c>
      <c r="D348" s="27" t="s">
        <v>1092</v>
      </c>
      <c r="E348" s="28" t="s">
        <v>46</v>
      </c>
      <c r="F348" s="29" t="s">
        <v>46</v>
      </c>
      <c r="G348" s="30" t="s">
        <v>46</v>
      </c>
      <c r="H348" s="31"/>
      <c r="I348" s="31" t="s">
        <v>47</v>
      </c>
      <c r="J348" s="32" t="n">
        <v>1.0</v>
      </c>
      <c r="K348" s="33" t="n">
        <f>609000</f>
        <v>609000.0</v>
      </c>
      <c r="L348" s="34" t="s">
        <v>48</v>
      </c>
      <c r="M348" s="33" t="n">
        <f>616000</f>
        <v>616000.0</v>
      </c>
      <c r="N348" s="34" t="s">
        <v>49</v>
      </c>
      <c r="O348" s="33" t="n">
        <f>586000</f>
        <v>586000.0</v>
      </c>
      <c r="P348" s="34" t="s">
        <v>103</v>
      </c>
      <c r="Q348" s="33" t="n">
        <f>604000</f>
        <v>604000.0</v>
      </c>
      <c r="R348" s="34" t="s">
        <v>51</v>
      </c>
      <c r="S348" s="35" t="n">
        <f>604190.48</f>
        <v>604190.48</v>
      </c>
      <c r="T348" s="32" t="n">
        <f>26634</f>
        <v>26634.0</v>
      </c>
      <c r="U348" s="32" t="n">
        <f>5576</f>
        <v>5576.0</v>
      </c>
      <c r="V348" s="32" t="n">
        <f>16075240520</f>
        <v>1.607524052E10</v>
      </c>
      <c r="W348" s="32" t="n">
        <f>3364811520</f>
        <v>3.36481152E9</v>
      </c>
      <c r="X348" s="36" t="n">
        <f>21</f>
        <v>21.0</v>
      </c>
    </row>
    <row r="349">
      <c r="A349" s="27" t="s">
        <v>42</v>
      </c>
      <c r="B349" s="27" t="s">
        <v>1093</v>
      </c>
      <c r="C349" s="27" t="s">
        <v>1094</v>
      </c>
      <c r="D349" s="27" t="s">
        <v>1095</v>
      </c>
      <c r="E349" s="28" t="s">
        <v>46</v>
      </c>
      <c r="F349" s="29" t="s">
        <v>46</v>
      </c>
      <c r="G349" s="30" t="s">
        <v>46</v>
      </c>
      <c r="H349" s="31"/>
      <c r="I349" s="31" t="s">
        <v>47</v>
      </c>
      <c r="J349" s="32" t="n">
        <v>1.0</v>
      </c>
      <c r="K349" s="33" t="n">
        <f>140500</f>
        <v>140500.0</v>
      </c>
      <c r="L349" s="34" t="s">
        <v>48</v>
      </c>
      <c r="M349" s="33" t="n">
        <f>140900</f>
        <v>140900.0</v>
      </c>
      <c r="N349" s="34" t="s">
        <v>48</v>
      </c>
      <c r="O349" s="33" t="n">
        <f>136000</f>
        <v>136000.0</v>
      </c>
      <c r="P349" s="34" t="s">
        <v>103</v>
      </c>
      <c r="Q349" s="33" t="n">
        <f>140200</f>
        <v>140200.0</v>
      </c>
      <c r="R349" s="34" t="s">
        <v>51</v>
      </c>
      <c r="S349" s="35" t="n">
        <f>138947.62</f>
        <v>138947.62</v>
      </c>
      <c r="T349" s="32" t="n">
        <f>76162</f>
        <v>76162.0</v>
      </c>
      <c r="U349" s="32" t="n">
        <f>18296</f>
        <v>18296.0</v>
      </c>
      <c r="V349" s="32" t="n">
        <f>10573751816</f>
        <v>1.0573751816E10</v>
      </c>
      <c r="W349" s="32" t="n">
        <f>2540722616</f>
        <v>2.540722616E9</v>
      </c>
      <c r="X349" s="36" t="n">
        <f>21</f>
        <v>21.0</v>
      </c>
    </row>
    <row r="350">
      <c r="A350" s="27" t="s">
        <v>42</v>
      </c>
      <c r="B350" s="27" t="s">
        <v>1096</v>
      </c>
      <c r="C350" s="27" t="s">
        <v>1097</v>
      </c>
      <c r="D350" s="27" t="s">
        <v>1098</v>
      </c>
      <c r="E350" s="28" t="s">
        <v>46</v>
      </c>
      <c r="F350" s="29" t="s">
        <v>46</v>
      </c>
      <c r="G350" s="30" t="s">
        <v>46</v>
      </c>
      <c r="H350" s="31"/>
      <c r="I350" s="31" t="s">
        <v>47</v>
      </c>
      <c r="J350" s="32" t="n">
        <v>1.0</v>
      </c>
      <c r="K350" s="33" t="n">
        <f>138200</f>
        <v>138200.0</v>
      </c>
      <c r="L350" s="34" t="s">
        <v>48</v>
      </c>
      <c r="M350" s="33" t="n">
        <f>139800</f>
        <v>139800.0</v>
      </c>
      <c r="N350" s="34" t="s">
        <v>51</v>
      </c>
      <c r="O350" s="33" t="n">
        <f>132600</f>
        <v>132600.0</v>
      </c>
      <c r="P350" s="34" t="s">
        <v>103</v>
      </c>
      <c r="Q350" s="33" t="n">
        <f>139600</f>
        <v>139600.0</v>
      </c>
      <c r="R350" s="34" t="s">
        <v>51</v>
      </c>
      <c r="S350" s="35" t="n">
        <f>136233.33</f>
        <v>136233.33</v>
      </c>
      <c r="T350" s="32" t="n">
        <f>128556</f>
        <v>128556.0</v>
      </c>
      <c r="U350" s="32" t="n">
        <f>29283</f>
        <v>29283.0</v>
      </c>
      <c r="V350" s="32" t="n">
        <f>17488507459</f>
        <v>1.7488507459E10</v>
      </c>
      <c r="W350" s="32" t="n">
        <f>3988041559</f>
        <v>3.988041559E9</v>
      </c>
      <c r="X350" s="36" t="n">
        <f>21</f>
        <v>21.0</v>
      </c>
    </row>
    <row r="351">
      <c r="A351" s="27" t="s">
        <v>42</v>
      </c>
      <c r="B351" s="27" t="s">
        <v>1099</v>
      </c>
      <c r="C351" s="27" t="s">
        <v>1100</v>
      </c>
      <c r="D351" s="27" t="s">
        <v>1101</v>
      </c>
      <c r="E351" s="28" t="s">
        <v>46</v>
      </c>
      <c r="F351" s="29" t="s">
        <v>46</v>
      </c>
      <c r="G351" s="30" t="s">
        <v>46</v>
      </c>
      <c r="H351" s="31"/>
      <c r="I351" s="31" t="s">
        <v>47</v>
      </c>
      <c r="J351" s="32" t="n">
        <v>1.0</v>
      </c>
      <c r="K351" s="33" t="n">
        <f>323500</f>
        <v>323500.0</v>
      </c>
      <c r="L351" s="34" t="s">
        <v>48</v>
      </c>
      <c r="M351" s="33" t="n">
        <f>332500</f>
        <v>332500.0</v>
      </c>
      <c r="N351" s="34" t="s">
        <v>49</v>
      </c>
      <c r="O351" s="33" t="n">
        <f>310000</f>
        <v>310000.0</v>
      </c>
      <c r="P351" s="34" t="s">
        <v>176</v>
      </c>
      <c r="Q351" s="33" t="n">
        <f>316000</f>
        <v>316000.0</v>
      </c>
      <c r="R351" s="34" t="s">
        <v>51</v>
      </c>
      <c r="S351" s="35" t="n">
        <f>321690.48</f>
        <v>321690.48</v>
      </c>
      <c r="T351" s="32" t="n">
        <f>80626</f>
        <v>80626.0</v>
      </c>
      <c r="U351" s="32" t="n">
        <f>20855</f>
        <v>20855.0</v>
      </c>
      <c r="V351" s="32" t="n">
        <f>25867768070</f>
        <v>2.586776807E10</v>
      </c>
      <c r="W351" s="32" t="n">
        <f>6705143070</f>
        <v>6.70514307E9</v>
      </c>
      <c r="X351" s="36" t="n">
        <f>21</f>
        <v>21.0</v>
      </c>
    </row>
    <row r="352">
      <c r="A352" s="27" t="s">
        <v>42</v>
      </c>
      <c r="B352" s="27" t="s">
        <v>1102</v>
      </c>
      <c r="C352" s="27" t="s">
        <v>1103</v>
      </c>
      <c r="D352" s="27" t="s">
        <v>1104</v>
      </c>
      <c r="E352" s="28" t="s">
        <v>46</v>
      </c>
      <c r="F352" s="29" t="s">
        <v>46</v>
      </c>
      <c r="G352" s="30" t="s">
        <v>46</v>
      </c>
      <c r="H352" s="31"/>
      <c r="I352" s="31" t="s">
        <v>47</v>
      </c>
      <c r="J352" s="32" t="n">
        <v>1.0</v>
      </c>
      <c r="K352" s="33" t="n">
        <f>405000</f>
        <v>405000.0</v>
      </c>
      <c r="L352" s="34" t="s">
        <v>48</v>
      </c>
      <c r="M352" s="33" t="n">
        <f>405000</f>
        <v>405000.0</v>
      </c>
      <c r="N352" s="34" t="s">
        <v>48</v>
      </c>
      <c r="O352" s="33" t="n">
        <f>375500</f>
        <v>375500.0</v>
      </c>
      <c r="P352" s="34" t="s">
        <v>103</v>
      </c>
      <c r="Q352" s="33" t="n">
        <f>388500</f>
        <v>388500.0</v>
      </c>
      <c r="R352" s="34" t="s">
        <v>51</v>
      </c>
      <c r="S352" s="35" t="n">
        <f>390571.43</f>
        <v>390571.43</v>
      </c>
      <c r="T352" s="32" t="n">
        <f>39985</f>
        <v>39985.0</v>
      </c>
      <c r="U352" s="32" t="n">
        <f>9159</f>
        <v>9159.0</v>
      </c>
      <c r="V352" s="32" t="n">
        <f>15601385788</f>
        <v>1.5601385788E10</v>
      </c>
      <c r="W352" s="32" t="n">
        <f>3571085288</f>
        <v>3.571085288E9</v>
      </c>
      <c r="X352" s="36" t="n">
        <f>21</f>
        <v>21.0</v>
      </c>
    </row>
    <row r="353">
      <c r="A353" s="27" t="s">
        <v>42</v>
      </c>
      <c r="B353" s="27" t="s">
        <v>1105</v>
      </c>
      <c r="C353" s="27" t="s">
        <v>1106</v>
      </c>
      <c r="D353" s="27" t="s">
        <v>1107</v>
      </c>
      <c r="E353" s="28" t="s">
        <v>46</v>
      </c>
      <c r="F353" s="29" t="s">
        <v>46</v>
      </c>
      <c r="G353" s="30" t="s">
        <v>46</v>
      </c>
      <c r="H353" s="31"/>
      <c r="I353" s="31" t="s">
        <v>47</v>
      </c>
      <c r="J353" s="32" t="n">
        <v>1.0</v>
      </c>
      <c r="K353" s="33" t="n">
        <f>139700</f>
        <v>139700.0</v>
      </c>
      <c r="L353" s="34" t="s">
        <v>48</v>
      </c>
      <c r="M353" s="33" t="n">
        <f>140700</f>
        <v>140700.0</v>
      </c>
      <c r="N353" s="34" t="s">
        <v>89</v>
      </c>
      <c r="O353" s="33" t="n">
        <f>134800</f>
        <v>134800.0</v>
      </c>
      <c r="P353" s="34" t="s">
        <v>540</v>
      </c>
      <c r="Q353" s="33" t="n">
        <f>140500</f>
        <v>140500.0</v>
      </c>
      <c r="R353" s="34" t="s">
        <v>51</v>
      </c>
      <c r="S353" s="35" t="n">
        <f>137866.67</f>
        <v>137866.67</v>
      </c>
      <c r="T353" s="32" t="n">
        <f>272316</f>
        <v>272316.0</v>
      </c>
      <c r="U353" s="32" t="n">
        <f>56700</f>
        <v>56700.0</v>
      </c>
      <c r="V353" s="32" t="n">
        <f>37542448185</f>
        <v>3.7542448185E10</v>
      </c>
      <c r="W353" s="32" t="n">
        <f>7820438785</f>
        <v>7.820438785E9</v>
      </c>
      <c r="X353" s="36" t="n">
        <f>21</f>
        <v>21.0</v>
      </c>
    </row>
    <row r="354">
      <c r="A354" s="27" t="s">
        <v>42</v>
      </c>
      <c r="B354" s="27" t="s">
        <v>1108</v>
      </c>
      <c r="C354" s="27" t="s">
        <v>1109</v>
      </c>
      <c r="D354" s="27" t="s">
        <v>1110</v>
      </c>
      <c r="E354" s="28" t="s">
        <v>46</v>
      </c>
      <c r="F354" s="29" t="s">
        <v>46</v>
      </c>
      <c r="G354" s="30" t="s">
        <v>46</v>
      </c>
      <c r="H354" s="31"/>
      <c r="I354" s="31" t="s">
        <v>47</v>
      </c>
      <c r="J354" s="32" t="n">
        <v>1.0</v>
      </c>
      <c r="K354" s="33" t="n">
        <f>315500</f>
        <v>315500.0</v>
      </c>
      <c r="L354" s="34" t="s">
        <v>48</v>
      </c>
      <c r="M354" s="33" t="n">
        <f>329000</f>
        <v>329000.0</v>
      </c>
      <c r="N354" s="34" t="s">
        <v>61</v>
      </c>
      <c r="O354" s="33" t="n">
        <f>307000</f>
        <v>307000.0</v>
      </c>
      <c r="P354" s="34" t="s">
        <v>103</v>
      </c>
      <c r="Q354" s="33" t="n">
        <f>317000</f>
        <v>317000.0</v>
      </c>
      <c r="R354" s="34" t="s">
        <v>51</v>
      </c>
      <c r="S354" s="35" t="n">
        <f>320380.95</f>
        <v>320380.95</v>
      </c>
      <c r="T354" s="32" t="n">
        <f>59076</f>
        <v>59076.0</v>
      </c>
      <c r="U354" s="32" t="n">
        <f>16120</f>
        <v>16120.0</v>
      </c>
      <c r="V354" s="32" t="n">
        <f>18969392385</f>
        <v>1.8969392385E10</v>
      </c>
      <c r="W354" s="32" t="n">
        <f>5187817885</f>
        <v>5.187817885E9</v>
      </c>
      <c r="X354" s="36" t="n">
        <f>21</f>
        <v>21.0</v>
      </c>
    </row>
    <row r="355">
      <c r="A355" s="27" t="s">
        <v>42</v>
      </c>
      <c r="B355" s="27" t="s">
        <v>1111</v>
      </c>
      <c r="C355" s="27" t="s">
        <v>1112</v>
      </c>
      <c r="D355" s="27" t="s">
        <v>1113</v>
      </c>
      <c r="E355" s="28" t="s">
        <v>46</v>
      </c>
      <c r="F355" s="29" t="s">
        <v>46</v>
      </c>
      <c r="G355" s="30" t="s">
        <v>46</v>
      </c>
      <c r="H355" s="31"/>
      <c r="I355" s="31" t="s">
        <v>47</v>
      </c>
      <c r="J355" s="32" t="n">
        <v>1.0</v>
      </c>
      <c r="K355" s="33" t="n">
        <f>278900</f>
        <v>278900.0</v>
      </c>
      <c r="L355" s="34" t="s">
        <v>48</v>
      </c>
      <c r="M355" s="33" t="n">
        <f>281700</f>
        <v>281700.0</v>
      </c>
      <c r="N355" s="34" t="s">
        <v>48</v>
      </c>
      <c r="O355" s="33" t="n">
        <f>256700</f>
        <v>256700.0</v>
      </c>
      <c r="P355" s="34" t="s">
        <v>103</v>
      </c>
      <c r="Q355" s="33" t="n">
        <f>271400</f>
        <v>271400.0</v>
      </c>
      <c r="R355" s="34" t="s">
        <v>51</v>
      </c>
      <c r="S355" s="35" t="n">
        <f>265919.05</f>
        <v>265919.05</v>
      </c>
      <c r="T355" s="32" t="n">
        <f>147080</f>
        <v>147080.0</v>
      </c>
      <c r="U355" s="32" t="n">
        <f>28278</f>
        <v>28278.0</v>
      </c>
      <c r="V355" s="32" t="n">
        <f>39208712232</f>
        <v>3.9208712232E10</v>
      </c>
      <c r="W355" s="32" t="n">
        <f>7533591932</f>
        <v>7.533591932E9</v>
      </c>
      <c r="X355" s="36" t="n">
        <f>21</f>
        <v>21.0</v>
      </c>
    </row>
    <row r="356">
      <c r="A356" s="27" t="s">
        <v>42</v>
      </c>
      <c r="B356" s="27" t="s">
        <v>1114</v>
      </c>
      <c r="C356" s="27" t="s">
        <v>1115</v>
      </c>
      <c r="D356" s="27" t="s">
        <v>1116</v>
      </c>
      <c r="E356" s="28" t="s">
        <v>46</v>
      </c>
      <c r="F356" s="29" t="s">
        <v>46</v>
      </c>
      <c r="G356" s="30" t="s">
        <v>46</v>
      </c>
      <c r="H356" s="31"/>
      <c r="I356" s="31" t="s">
        <v>47</v>
      </c>
      <c r="J356" s="32" t="n">
        <v>1.0</v>
      </c>
      <c r="K356" s="33" t="n">
        <f>603000</f>
        <v>603000.0</v>
      </c>
      <c r="L356" s="34" t="s">
        <v>48</v>
      </c>
      <c r="M356" s="33" t="n">
        <f>612000</f>
        <v>612000.0</v>
      </c>
      <c r="N356" s="34" t="s">
        <v>187</v>
      </c>
      <c r="O356" s="33" t="n">
        <f>545000</f>
        <v>545000.0</v>
      </c>
      <c r="P356" s="34" t="s">
        <v>103</v>
      </c>
      <c r="Q356" s="33" t="n">
        <f>566000</f>
        <v>566000.0</v>
      </c>
      <c r="R356" s="34" t="s">
        <v>51</v>
      </c>
      <c r="S356" s="35" t="n">
        <f>586238.1</f>
        <v>586238.1</v>
      </c>
      <c r="T356" s="32" t="n">
        <f>20852</f>
        <v>20852.0</v>
      </c>
      <c r="U356" s="32" t="n">
        <f>3007</f>
        <v>3007.0</v>
      </c>
      <c r="V356" s="32" t="n">
        <f>12128692896</f>
        <v>1.2128692896E10</v>
      </c>
      <c r="W356" s="32" t="n">
        <f>1751808896</f>
        <v>1.751808896E9</v>
      </c>
      <c r="X356" s="36" t="n">
        <f>21</f>
        <v>21.0</v>
      </c>
    </row>
    <row r="357">
      <c r="A357" s="27" t="s">
        <v>42</v>
      </c>
      <c r="B357" s="27" t="s">
        <v>1117</v>
      </c>
      <c r="C357" s="27" t="s">
        <v>1118</v>
      </c>
      <c r="D357" s="27" t="s">
        <v>1119</v>
      </c>
      <c r="E357" s="28" t="s">
        <v>46</v>
      </c>
      <c r="F357" s="29" t="s">
        <v>46</v>
      </c>
      <c r="G357" s="30" t="s">
        <v>46</v>
      </c>
      <c r="H357" s="31"/>
      <c r="I357" s="31" t="s">
        <v>47</v>
      </c>
      <c r="J357" s="32" t="n">
        <v>1.0</v>
      </c>
      <c r="K357" s="33" t="n">
        <f>265900</f>
        <v>265900.0</v>
      </c>
      <c r="L357" s="34" t="s">
        <v>48</v>
      </c>
      <c r="M357" s="33" t="n">
        <f>268200</f>
        <v>268200.0</v>
      </c>
      <c r="N357" s="34" t="s">
        <v>51</v>
      </c>
      <c r="O357" s="33" t="n">
        <f>258400</f>
        <v>258400.0</v>
      </c>
      <c r="P357" s="34" t="s">
        <v>90</v>
      </c>
      <c r="Q357" s="33" t="n">
        <f>265200</f>
        <v>265200.0</v>
      </c>
      <c r="R357" s="34" t="s">
        <v>51</v>
      </c>
      <c r="S357" s="35" t="n">
        <f>263338.1</f>
        <v>263338.1</v>
      </c>
      <c r="T357" s="32" t="n">
        <f>17255</f>
        <v>17255.0</v>
      </c>
      <c r="U357" s="32" t="n">
        <f>2889</f>
        <v>2889.0</v>
      </c>
      <c r="V357" s="32" t="n">
        <f>4541182597</f>
        <v>4.541182597E9</v>
      </c>
      <c r="W357" s="32" t="n">
        <f>760931997</f>
        <v>7.60931997E8</v>
      </c>
      <c r="X357" s="36" t="n">
        <f>21</f>
        <v>21.0</v>
      </c>
    </row>
    <row r="358">
      <c r="A358" s="27" t="s">
        <v>42</v>
      </c>
      <c r="B358" s="27" t="s">
        <v>1120</v>
      </c>
      <c r="C358" s="27" t="s">
        <v>1121</v>
      </c>
      <c r="D358" s="27" t="s">
        <v>1122</v>
      </c>
      <c r="E358" s="28" t="s">
        <v>46</v>
      </c>
      <c r="F358" s="29" t="s">
        <v>46</v>
      </c>
      <c r="G358" s="30" t="s">
        <v>46</v>
      </c>
      <c r="H358" s="31"/>
      <c r="I358" s="31" t="s">
        <v>47</v>
      </c>
      <c r="J358" s="32" t="n">
        <v>1.0</v>
      </c>
      <c r="K358" s="33" t="n">
        <f>143700</f>
        <v>143700.0</v>
      </c>
      <c r="L358" s="34" t="s">
        <v>48</v>
      </c>
      <c r="M358" s="33" t="n">
        <f>143700</f>
        <v>143700.0</v>
      </c>
      <c r="N358" s="34" t="s">
        <v>48</v>
      </c>
      <c r="O358" s="33" t="n">
        <f>136700</f>
        <v>136700.0</v>
      </c>
      <c r="P358" s="34" t="s">
        <v>103</v>
      </c>
      <c r="Q358" s="33" t="n">
        <f>141400</f>
        <v>141400.0</v>
      </c>
      <c r="R358" s="34" t="s">
        <v>51</v>
      </c>
      <c r="S358" s="35" t="n">
        <f>140138.1</f>
        <v>140138.1</v>
      </c>
      <c r="T358" s="32" t="n">
        <f>120327</f>
        <v>120327.0</v>
      </c>
      <c r="U358" s="32" t="n">
        <f>21446</f>
        <v>21446.0</v>
      </c>
      <c r="V358" s="32" t="n">
        <f>16842673170</f>
        <v>1.684267317E10</v>
      </c>
      <c r="W358" s="32" t="n">
        <f>3000083470</f>
        <v>3.00008347E9</v>
      </c>
      <c r="X358" s="36" t="n">
        <f>21</f>
        <v>21.0</v>
      </c>
    </row>
    <row r="359">
      <c r="A359" s="27" t="s">
        <v>42</v>
      </c>
      <c r="B359" s="27" t="s">
        <v>1123</v>
      </c>
      <c r="C359" s="27" t="s">
        <v>1124</v>
      </c>
      <c r="D359" s="27" t="s">
        <v>1125</v>
      </c>
      <c r="E359" s="28" t="s">
        <v>46</v>
      </c>
      <c r="F359" s="29" t="s">
        <v>46</v>
      </c>
      <c r="G359" s="30" t="s">
        <v>46</v>
      </c>
      <c r="H359" s="31"/>
      <c r="I359" s="31" t="s">
        <v>47</v>
      </c>
      <c r="J359" s="32" t="n">
        <v>1.0</v>
      </c>
      <c r="K359" s="33" t="n">
        <f>154000</f>
        <v>154000.0</v>
      </c>
      <c r="L359" s="34" t="s">
        <v>48</v>
      </c>
      <c r="M359" s="33" t="n">
        <f>154100</f>
        <v>154100.0</v>
      </c>
      <c r="N359" s="34" t="s">
        <v>48</v>
      </c>
      <c r="O359" s="33" t="n">
        <f>144200</f>
        <v>144200.0</v>
      </c>
      <c r="P359" s="34" t="s">
        <v>103</v>
      </c>
      <c r="Q359" s="33" t="n">
        <f>149200</f>
        <v>149200.0</v>
      </c>
      <c r="R359" s="34" t="s">
        <v>51</v>
      </c>
      <c r="S359" s="35" t="n">
        <f>148609.52</f>
        <v>148609.52</v>
      </c>
      <c r="T359" s="32" t="n">
        <f>79558</f>
        <v>79558.0</v>
      </c>
      <c r="U359" s="32" t="n">
        <f>15624</f>
        <v>15624.0</v>
      </c>
      <c r="V359" s="32" t="n">
        <f>11832906682</f>
        <v>1.1832906682E10</v>
      </c>
      <c r="W359" s="32" t="n">
        <f>2321367082</f>
        <v>2.321367082E9</v>
      </c>
      <c r="X359" s="36" t="n">
        <f>21</f>
        <v>21.0</v>
      </c>
    </row>
    <row r="360">
      <c r="A360" s="27" t="s">
        <v>42</v>
      </c>
      <c r="B360" s="27" t="s">
        <v>1126</v>
      </c>
      <c r="C360" s="27" t="s">
        <v>1127</v>
      </c>
      <c r="D360" s="27" t="s">
        <v>1128</v>
      </c>
      <c r="E360" s="28" t="s">
        <v>46</v>
      </c>
      <c r="F360" s="29" t="s">
        <v>46</v>
      </c>
      <c r="G360" s="30" t="s">
        <v>46</v>
      </c>
      <c r="H360" s="31"/>
      <c r="I360" s="31" t="s">
        <v>47</v>
      </c>
      <c r="J360" s="32" t="n">
        <v>1.0</v>
      </c>
      <c r="K360" s="33" t="n">
        <f>349500</f>
        <v>349500.0</v>
      </c>
      <c r="L360" s="34" t="s">
        <v>48</v>
      </c>
      <c r="M360" s="33" t="n">
        <f>350000</f>
        <v>350000.0</v>
      </c>
      <c r="N360" s="34" t="s">
        <v>48</v>
      </c>
      <c r="O360" s="33" t="n">
        <f>331000</f>
        <v>331000.0</v>
      </c>
      <c r="P360" s="34" t="s">
        <v>177</v>
      </c>
      <c r="Q360" s="33" t="n">
        <f>336000</f>
        <v>336000.0</v>
      </c>
      <c r="R360" s="34" t="s">
        <v>51</v>
      </c>
      <c r="S360" s="35" t="n">
        <f>341190.48</f>
        <v>341190.48</v>
      </c>
      <c r="T360" s="32" t="n">
        <f>29304</f>
        <v>29304.0</v>
      </c>
      <c r="U360" s="32" t="n">
        <f>6624</f>
        <v>6624.0</v>
      </c>
      <c r="V360" s="32" t="n">
        <f>9991648164</f>
        <v>9.991648164E9</v>
      </c>
      <c r="W360" s="32" t="n">
        <f>2257617164</f>
        <v>2.257617164E9</v>
      </c>
      <c r="X360" s="36" t="n">
        <f>21</f>
        <v>21.0</v>
      </c>
    </row>
    <row r="361">
      <c r="A361" s="27" t="s">
        <v>42</v>
      </c>
      <c r="B361" s="27" t="s">
        <v>1129</v>
      </c>
      <c r="C361" s="27" t="s">
        <v>1130</v>
      </c>
      <c r="D361" s="27" t="s">
        <v>1131</v>
      </c>
      <c r="E361" s="28" t="s">
        <v>46</v>
      </c>
      <c r="F361" s="29" t="s">
        <v>46</v>
      </c>
      <c r="G361" s="30" t="s">
        <v>46</v>
      </c>
      <c r="H361" s="31"/>
      <c r="I361" s="31" t="s">
        <v>47</v>
      </c>
      <c r="J361" s="32" t="n">
        <v>1.0</v>
      </c>
      <c r="K361" s="33" t="n">
        <f>81700</f>
        <v>81700.0</v>
      </c>
      <c r="L361" s="34" t="s">
        <v>48</v>
      </c>
      <c r="M361" s="33" t="n">
        <f>84800</f>
        <v>84800.0</v>
      </c>
      <c r="N361" s="34" t="s">
        <v>48</v>
      </c>
      <c r="O361" s="33" t="n">
        <f>75400</f>
        <v>75400.0</v>
      </c>
      <c r="P361" s="34" t="s">
        <v>103</v>
      </c>
      <c r="Q361" s="33" t="n">
        <f>77100</f>
        <v>77100.0</v>
      </c>
      <c r="R361" s="34" t="s">
        <v>51</v>
      </c>
      <c r="S361" s="35" t="n">
        <f>78904.76</f>
        <v>78904.76</v>
      </c>
      <c r="T361" s="32" t="n">
        <f>290376</f>
        <v>290376.0</v>
      </c>
      <c r="U361" s="32" t="n">
        <f>71233</f>
        <v>71233.0</v>
      </c>
      <c r="V361" s="32" t="n">
        <f>23007368084</f>
        <v>2.3007368084E10</v>
      </c>
      <c r="W361" s="32" t="n">
        <f>5627740984</f>
        <v>5.627740984E9</v>
      </c>
      <c r="X361" s="36" t="n">
        <f>21</f>
        <v>21.0</v>
      </c>
    </row>
    <row r="362">
      <c r="A362" s="27" t="s">
        <v>42</v>
      </c>
      <c r="B362" s="27" t="s">
        <v>1132</v>
      </c>
      <c r="C362" s="27" t="s">
        <v>1133</v>
      </c>
      <c r="D362" s="27" t="s">
        <v>1134</v>
      </c>
      <c r="E362" s="28" t="s">
        <v>46</v>
      </c>
      <c r="F362" s="29" t="s">
        <v>46</v>
      </c>
      <c r="G362" s="30" t="s">
        <v>46</v>
      </c>
      <c r="H362" s="31"/>
      <c r="I362" s="31" t="s">
        <v>553</v>
      </c>
      <c r="J362" s="32" t="n">
        <v>1.0</v>
      </c>
      <c r="K362" s="33" t="n">
        <f>134500</f>
        <v>134500.0</v>
      </c>
      <c r="L362" s="34" t="s">
        <v>48</v>
      </c>
      <c r="M362" s="33" t="n">
        <f>136300</f>
        <v>136300.0</v>
      </c>
      <c r="N362" s="34" t="s">
        <v>51</v>
      </c>
      <c r="O362" s="33" t="n">
        <f>131900</f>
        <v>131900.0</v>
      </c>
      <c r="P362" s="34" t="s">
        <v>103</v>
      </c>
      <c r="Q362" s="33" t="n">
        <f>135700</f>
        <v>135700.0</v>
      </c>
      <c r="R362" s="34" t="s">
        <v>51</v>
      </c>
      <c r="S362" s="35" t="n">
        <f>133990.48</f>
        <v>133990.48</v>
      </c>
      <c r="T362" s="32" t="n">
        <f>20060</f>
        <v>20060.0</v>
      </c>
      <c r="U362" s="32" t="n">
        <f>2332</f>
        <v>2332.0</v>
      </c>
      <c r="V362" s="32" t="n">
        <f>2684027594</f>
        <v>2.684027594E9</v>
      </c>
      <c r="W362" s="32" t="n">
        <f>312188994</f>
        <v>3.12188994E8</v>
      </c>
      <c r="X362" s="36" t="n">
        <f>21</f>
        <v>21.0</v>
      </c>
    </row>
    <row r="363">
      <c r="A363" s="27" t="s">
        <v>42</v>
      </c>
      <c r="B363" s="27" t="s">
        <v>1135</v>
      </c>
      <c r="C363" s="27" t="s">
        <v>1136</v>
      </c>
      <c r="D363" s="27" t="s">
        <v>1137</v>
      </c>
      <c r="E363" s="28" t="s">
        <v>46</v>
      </c>
      <c r="F363" s="29" t="s">
        <v>46</v>
      </c>
      <c r="G363" s="30" t="s">
        <v>46</v>
      </c>
      <c r="H363" s="31"/>
      <c r="I363" s="31" t="s">
        <v>47</v>
      </c>
      <c r="J363" s="32" t="n">
        <v>1.0</v>
      </c>
      <c r="K363" s="33" t="n">
        <f>143500</f>
        <v>143500.0</v>
      </c>
      <c r="L363" s="34" t="s">
        <v>48</v>
      </c>
      <c r="M363" s="33" t="n">
        <f>143600</f>
        <v>143600.0</v>
      </c>
      <c r="N363" s="34" t="s">
        <v>48</v>
      </c>
      <c r="O363" s="33" t="n">
        <f>133900</f>
        <v>133900.0</v>
      </c>
      <c r="P363" s="34" t="s">
        <v>116</v>
      </c>
      <c r="Q363" s="33" t="n">
        <f>139800</f>
        <v>139800.0</v>
      </c>
      <c r="R363" s="34" t="s">
        <v>51</v>
      </c>
      <c r="S363" s="35" t="n">
        <f>139209.52</f>
        <v>139209.52</v>
      </c>
      <c r="T363" s="32" t="n">
        <f>19794</f>
        <v>19794.0</v>
      </c>
      <c r="U363" s="32" t="n">
        <f>3483</f>
        <v>3483.0</v>
      </c>
      <c r="V363" s="32" t="n">
        <f>2745444252</f>
        <v>2.745444252E9</v>
      </c>
      <c r="W363" s="32" t="n">
        <f>484499152</f>
        <v>4.84499152E8</v>
      </c>
      <c r="X363" s="36" t="n">
        <f>21</f>
        <v>21.0</v>
      </c>
    </row>
    <row r="364">
      <c r="A364" s="27" t="s">
        <v>42</v>
      </c>
      <c r="B364" s="27" t="s">
        <v>1138</v>
      </c>
      <c r="C364" s="27" t="s">
        <v>1139</v>
      </c>
      <c r="D364" s="27" t="s">
        <v>1140</v>
      </c>
      <c r="E364" s="28" t="s">
        <v>46</v>
      </c>
      <c r="F364" s="29" t="s">
        <v>46</v>
      </c>
      <c r="G364" s="30" t="s">
        <v>46</v>
      </c>
      <c r="H364" s="31"/>
      <c r="I364" s="31" t="s">
        <v>47</v>
      </c>
      <c r="J364" s="32" t="n">
        <v>1.0</v>
      </c>
      <c r="K364" s="33" t="n">
        <f>112400</f>
        <v>112400.0</v>
      </c>
      <c r="L364" s="34" t="s">
        <v>48</v>
      </c>
      <c r="M364" s="33" t="n">
        <f>112400</f>
        <v>112400.0</v>
      </c>
      <c r="N364" s="34" t="s">
        <v>48</v>
      </c>
      <c r="O364" s="33" t="n">
        <f>106200</f>
        <v>106200.0</v>
      </c>
      <c r="P364" s="34" t="s">
        <v>103</v>
      </c>
      <c r="Q364" s="33" t="n">
        <f>109700</f>
        <v>109700.0</v>
      </c>
      <c r="R364" s="34" t="s">
        <v>51</v>
      </c>
      <c r="S364" s="35" t="n">
        <f>109471.43</f>
        <v>109471.43</v>
      </c>
      <c r="T364" s="32" t="n">
        <f>22924</f>
        <v>22924.0</v>
      </c>
      <c r="U364" s="32" t="n">
        <f>4185</f>
        <v>4185.0</v>
      </c>
      <c r="V364" s="32" t="n">
        <f>2502556486</f>
        <v>2.502556486E9</v>
      </c>
      <c r="W364" s="32" t="n">
        <f>459096686</f>
        <v>4.59096686E8</v>
      </c>
      <c r="X364" s="36" t="n">
        <f>21</f>
        <v>21.0</v>
      </c>
    </row>
    <row r="365">
      <c r="A365" s="27" t="s">
        <v>42</v>
      </c>
      <c r="B365" s="27" t="s">
        <v>1141</v>
      </c>
      <c r="C365" s="27" t="s">
        <v>1142</v>
      </c>
      <c r="D365" s="27" t="s">
        <v>1143</v>
      </c>
      <c r="E365" s="28" t="s">
        <v>46</v>
      </c>
      <c r="F365" s="29" t="s">
        <v>46</v>
      </c>
      <c r="G365" s="30" t="s">
        <v>46</v>
      </c>
      <c r="H365" s="31"/>
      <c r="I365" s="31" t="s">
        <v>47</v>
      </c>
      <c r="J365" s="32" t="n">
        <v>1.0</v>
      </c>
      <c r="K365" s="33" t="n">
        <f>169800</f>
        <v>169800.0</v>
      </c>
      <c r="L365" s="34" t="s">
        <v>48</v>
      </c>
      <c r="M365" s="33" t="n">
        <f>169800</f>
        <v>169800.0</v>
      </c>
      <c r="N365" s="34" t="s">
        <v>48</v>
      </c>
      <c r="O365" s="33" t="n">
        <f>159400</f>
        <v>159400.0</v>
      </c>
      <c r="P365" s="34" t="s">
        <v>103</v>
      </c>
      <c r="Q365" s="33" t="n">
        <f>165000</f>
        <v>165000.0</v>
      </c>
      <c r="R365" s="34" t="s">
        <v>51</v>
      </c>
      <c r="S365" s="35" t="n">
        <f>164414.29</f>
        <v>164414.29</v>
      </c>
      <c r="T365" s="32" t="n">
        <f>215069</f>
        <v>215069.0</v>
      </c>
      <c r="U365" s="32" t="n">
        <f>46600</f>
        <v>46600.0</v>
      </c>
      <c r="V365" s="32" t="n">
        <f>35407672407</f>
        <v>3.5407672407E10</v>
      </c>
      <c r="W365" s="32" t="n">
        <f>7670963907</f>
        <v>7.670963907E9</v>
      </c>
      <c r="X365" s="36" t="n">
        <f>21</f>
        <v>21.0</v>
      </c>
    </row>
    <row r="366">
      <c r="A366" s="27" t="s">
        <v>42</v>
      </c>
      <c r="B366" s="27" t="s">
        <v>1144</v>
      </c>
      <c r="C366" s="27" t="s">
        <v>1145</v>
      </c>
      <c r="D366" s="27" t="s">
        <v>1146</v>
      </c>
      <c r="E366" s="28" t="s">
        <v>46</v>
      </c>
      <c r="F366" s="29" t="s">
        <v>46</v>
      </c>
      <c r="G366" s="30" t="s">
        <v>46</v>
      </c>
      <c r="H366" s="31"/>
      <c r="I366" s="31" t="s">
        <v>553</v>
      </c>
      <c r="J366" s="32" t="n">
        <v>1.0</v>
      </c>
      <c r="K366" s="33" t="n">
        <f>107200</f>
        <v>107200.0</v>
      </c>
      <c r="L366" s="34" t="s">
        <v>48</v>
      </c>
      <c r="M366" s="33" t="n">
        <f>111800</f>
        <v>111800.0</v>
      </c>
      <c r="N366" s="34" t="s">
        <v>177</v>
      </c>
      <c r="O366" s="33" t="n">
        <f>105600</f>
        <v>105600.0</v>
      </c>
      <c r="P366" s="34" t="s">
        <v>176</v>
      </c>
      <c r="Q366" s="33" t="n">
        <f>111400</f>
        <v>111400.0</v>
      </c>
      <c r="R366" s="34" t="s">
        <v>51</v>
      </c>
      <c r="S366" s="35" t="n">
        <f>108142.86</f>
        <v>108142.86</v>
      </c>
      <c r="T366" s="32" t="n">
        <f>40460</f>
        <v>40460.0</v>
      </c>
      <c r="U366" s="32" t="n">
        <f>6457</f>
        <v>6457.0</v>
      </c>
      <c r="V366" s="32" t="n">
        <f>4362766955</f>
        <v>4.362766955E9</v>
      </c>
      <c r="W366" s="32" t="n">
        <f>695386455</f>
        <v>6.95386455E8</v>
      </c>
      <c r="X366" s="36" t="n">
        <f>21</f>
        <v>21.0</v>
      </c>
    </row>
    <row r="367">
      <c r="A367" s="27" t="s">
        <v>42</v>
      </c>
      <c r="B367" s="27" t="s">
        <v>1147</v>
      </c>
      <c r="C367" s="27" t="s">
        <v>1148</v>
      </c>
      <c r="D367" s="27" t="s">
        <v>1149</v>
      </c>
      <c r="E367" s="28" t="s">
        <v>46</v>
      </c>
      <c r="F367" s="29" t="s">
        <v>46</v>
      </c>
      <c r="G367" s="30" t="s">
        <v>46</v>
      </c>
      <c r="H367" s="31"/>
      <c r="I367" s="31" t="s">
        <v>47</v>
      </c>
      <c r="J367" s="32" t="n">
        <v>1.0</v>
      </c>
      <c r="K367" s="33" t="n">
        <f>151500</f>
        <v>151500.0</v>
      </c>
      <c r="L367" s="34" t="s">
        <v>48</v>
      </c>
      <c r="M367" s="33" t="n">
        <f>153700</f>
        <v>153700.0</v>
      </c>
      <c r="N367" s="34" t="s">
        <v>90</v>
      </c>
      <c r="O367" s="33" t="n">
        <f>145800</f>
        <v>145800.0</v>
      </c>
      <c r="P367" s="34" t="s">
        <v>103</v>
      </c>
      <c r="Q367" s="33" t="n">
        <f>152000</f>
        <v>152000.0</v>
      </c>
      <c r="R367" s="34" t="s">
        <v>51</v>
      </c>
      <c r="S367" s="35" t="n">
        <f>149490.48</f>
        <v>149490.48</v>
      </c>
      <c r="T367" s="32" t="n">
        <f>110214</f>
        <v>110214.0</v>
      </c>
      <c r="U367" s="32" t="n">
        <f>25606</f>
        <v>25606.0</v>
      </c>
      <c r="V367" s="32" t="n">
        <f>16498648216</f>
        <v>1.6498648216E10</v>
      </c>
      <c r="W367" s="32" t="n">
        <f>3836872716</f>
        <v>3.836872716E9</v>
      </c>
      <c r="X367" s="36" t="n">
        <f>21</f>
        <v>21.0</v>
      </c>
    </row>
    <row r="368">
      <c r="A368" s="27" t="s">
        <v>42</v>
      </c>
      <c r="B368" s="27" t="s">
        <v>1150</v>
      </c>
      <c r="C368" s="27" t="s">
        <v>1151</v>
      </c>
      <c r="D368" s="27" t="s">
        <v>1152</v>
      </c>
      <c r="E368" s="28" t="s">
        <v>46</v>
      </c>
      <c r="F368" s="29" t="s">
        <v>46</v>
      </c>
      <c r="G368" s="30" t="s">
        <v>46</v>
      </c>
      <c r="H368" s="31"/>
      <c r="I368" s="31" t="s">
        <v>47</v>
      </c>
      <c r="J368" s="32" t="n">
        <v>1.0</v>
      </c>
      <c r="K368" s="33" t="n">
        <f>57500</f>
        <v>57500.0</v>
      </c>
      <c r="L368" s="34" t="s">
        <v>48</v>
      </c>
      <c r="M368" s="33" t="n">
        <f>58800</f>
        <v>58800.0</v>
      </c>
      <c r="N368" s="34" t="s">
        <v>61</v>
      </c>
      <c r="O368" s="33" t="n">
        <f>56100</f>
        <v>56100.0</v>
      </c>
      <c r="P368" s="34" t="s">
        <v>103</v>
      </c>
      <c r="Q368" s="33" t="n">
        <f>57600</f>
        <v>57600.0</v>
      </c>
      <c r="R368" s="34" t="s">
        <v>51</v>
      </c>
      <c r="S368" s="35" t="n">
        <f>57704.76</f>
        <v>57704.76</v>
      </c>
      <c r="T368" s="32" t="n">
        <f>164939</f>
        <v>164939.0</v>
      </c>
      <c r="U368" s="32" t="n">
        <f>42493</f>
        <v>42493.0</v>
      </c>
      <c r="V368" s="32" t="n">
        <f>9512292315</f>
        <v>9.512292315E9</v>
      </c>
      <c r="W368" s="32" t="n">
        <f>2454095315</f>
        <v>2.454095315E9</v>
      </c>
      <c r="X368" s="36" t="n">
        <f>21</f>
        <v>21.0</v>
      </c>
    </row>
    <row r="369">
      <c r="A369" s="27" t="s">
        <v>42</v>
      </c>
      <c r="B369" s="27" t="s">
        <v>1153</v>
      </c>
      <c r="C369" s="27" t="s">
        <v>1154</v>
      </c>
      <c r="D369" s="27" t="s">
        <v>1155</v>
      </c>
      <c r="E369" s="28" t="s">
        <v>46</v>
      </c>
      <c r="F369" s="29" t="s">
        <v>46</v>
      </c>
      <c r="G369" s="30" t="s">
        <v>46</v>
      </c>
      <c r="H369" s="31"/>
      <c r="I369" s="31" t="s">
        <v>553</v>
      </c>
      <c r="J369" s="32" t="n">
        <v>1.0</v>
      </c>
      <c r="K369" s="33" t="n">
        <f>127700</f>
        <v>127700.0</v>
      </c>
      <c r="L369" s="34" t="s">
        <v>48</v>
      </c>
      <c r="M369" s="33" t="n">
        <f>127700</f>
        <v>127700.0</v>
      </c>
      <c r="N369" s="34" t="s">
        <v>48</v>
      </c>
      <c r="O369" s="33" t="n">
        <f>119700</f>
        <v>119700.0</v>
      </c>
      <c r="P369" s="34" t="s">
        <v>177</v>
      </c>
      <c r="Q369" s="33" t="n">
        <f>121900</f>
        <v>121900.0</v>
      </c>
      <c r="R369" s="34" t="s">
        <v>51</v>
      </c>
      <c r="S369" s="35" t="n">
        <f>124680.95</f>
        <v>124680.95</v>
      </c>
      <c r="T369" s="32" t="n">
        <f>24120</f>
        <v>24120.0</v>
      </c>
      <c r="U369" s="32" t="n">
        <f>2207</f>
        <v>2207.0</v>
      </c>
      <c r="V369" s="32" t="n">
        <f>2991059273</f>
        <v>2.991059273E9</v>
      </c>
      <c r="W369" s="32" t="n">
        <f>274854473</f>
        <v>2.74854473E8</v>
      </c>
      <c r="X369" s="36" t="n">
        <f>21</f>
        <v>21.0</v>
      </c>
    </row>
    <row r="370">
      <c r="A370" s="27" t="s">
        <v>42</v>
      </c>
      <c r="B370" s="27" t="s">
        <v>1156</v>
      </c>
      <c r="C370" s="27" t="s">
        <v>1157</v>
      </c>
      <c r="D370" s="27" t="s">
        <v>1158</v>
      </c>
      <c r="E370" s="28" t="s">
        <v>46</v>
      </c>
      <c r="F370" s="29" t="s">
        <v>46</v>
      </c>
      <c r="G370" s="30" t="s">
        <v>46</v>
      </c>
      <c r="H370" s="31"/>
      <c r="I370" s="31" t="s">
        <v>47</v>
      </c>
      <c r="J370" s="32" t="n">
        <v>1.0</v>
      </c>
      <c r="K370" s="33" t="n">
        <f>464500</f>
        <v>464500.0</v>
      </c>
      <c r="L370" s="34" t="s">
        <v>48</v>
      </c>
      <c r="M370" s="33" t="n">
        <f>468000</f>
        <v>468000.0</v>
      </c>
      <c r="N370" s="34" t="s">
        <v>49</v>
      </c>
      <c r="O370" s="33" t="n">
        <f>438500</f>
        <v>438500.0</v>
      </c>
      <c r="P370" s="34" t="s">
        <v>103</v>
      </c>
      <c r="Q370" s="33" t="n">
        <f>457500</f>
        <v>457500.0</v>
      </c>
      <c r="R370" s="34" t="s">
        <v>51</v>
      </c>
      <c r="S370" s="35" t="n">
        <f>452904.76</f>
        <v>452904.76</v>
      </c>
      <c r="T370" s="32" t="n">
        <f>39974</f>
        <v>39974.0</v>
      </c>
      <c r="U370" s="32" t="n">
        <f>9361</f>
        <v>9361.0</v>
      </c>
      <c r="V370" s="32" t="n">
        <f>18104083193</f>
        <v>1.8104083193E10</v>
      </c>
      <c r="W370" s="32" t="n">
        <f>4245882693</f>
        <v>4.245882693E9</v>
      </c>
      <c r="X370" s="36" t="n">
        <f>21</f>
        <v>21.0</v>
      </c>
    </row>
    <row r="371">
      <c r="A371" s="27" t="s">
        <v>42</v>
      </c>
      <c r="B371" s="27" t="s">
        <v>1159</v>
      </c>
      <c r="C371" s="27" t="s">
        <v>1160</v>
      </c>
      <c r="D371" s="27" t="s">
        <v>1161</v>
      </c>
      <c r="E371" s="28" t="s">
        <v>46</v>
      </c>
      <c r="F371" s="29" t="s">
        <v>46</v>
      </c>
      <c r="G371" s="30" t="s">
        <v>46</v>
      </c>
      <c r="H371" s="31"/>
      <c r="I371" s="31" t="s">
        <v>553</v>
      </c>
      <c r="J371" s="32" t="n">
        <v>1.0</v>
      </c>
      <c r="K371" s="33" t="n">
        <f>62500</f>
        <v>62500.0</v>
      </c>
      <c r="L371" s="34" t="s">
        <v>48</v>
      </c>
      <c r="M371" s="33" t="n">
        <f>75300</f>
        <v>75300.0</v>
      </c>
      <c r="N371" s="34" t="s">
        <v>90</v>
      </c>
      <c r="O371" s="33" t="n">
        <f>60500</f>
        <v>60500.0</v>
      </c>
      <c r="P371" s="34" t="s">
        <v>254</v>
      </c>
      <c r="Q371" s="33" t="n">
        <f>70700</f>
        <v>70700.0</v>
      </c>
      <c r="R371" s="34" t="s">
        <v>51</v>
      </c>
      <c r="S371" s="35" t="n">
        <f>67442.86</f>
        <v>67442.86</v>
      </c>
      <c r="T371" s="32" t="n">
        <f>65412</f>
        <v>65412.0</v>
      </c>
      <c r="U371" s="32" t="n">
        <f>8156</f>
        <v>8156.0</v>
      </c>
      <c r="V371" s="32" t="n">
        <f>4511814263</f>
        <v>4.511814263E9</v>
      </c>
      <c r="W371" s="32" t="n">
        <f>541096063</f>
        <v>5.41096063E8</v>
      </c>
      <c r="X371" s="36" t="n">
        <f>21</f>
        <v>21.0</v>
      </c>
    </row>
    <row r="372">
      <c r="A372" s="27" t="s">
        <v>42</v>
      </c>
      <c r="B372" s="27" t="s">
        <v>1162</v>
      </c>
      <c r="C372" s="27" t="s">
        <v>1163</v>
      </c>
      <c r="D372" s="27" t="s">
        <v>1164</v>
      </c>
      <c r="E372" s="28" t="s">
        <v>46</v>
      </c>
      <c r="F372" s="29" t="s">
        <v>46</v>
      </c>
      <c r="G372" s="30" t="s">
        <v>46</v>
      </c>
      <c r="H372" s="31"/>
      <c r="I372" s="31" t="s">
        <v>47</v>
      </c>
      <c r="J372" s="32" t="n">
        <v>1.0</v>
      </c>
      <c r="K372" s="33" t="n">
        <f>44200</f>
        <v>44200.0</v>
      </c>
      <c r="L372" s="34" t="s">
        <v>48</v>
      </c>
      <c r="M372" s="33" t="n">
        <f>44250</f>
        <v>44250.0</v>
      </c>
      <c r="N372" s="34" t="s">
        <v>89</v>
      </c>
      <c r="O372" s="33" t="n">
        <f>42350</f>
        <v>42350.0</v>
      </c>
      <c r="P372" s="34" t="s">
        <v>176</v>
      </c>
      <c r="Q372" s="33" t="n">
        <f>43450</f>
        <v>43450.0</v>
      </c>
      <c r="R372" s="34" t="s">
        <v>51</v>
      </c>
      <c r="S372" s="35" t="n">
        <f>43257.14</f>
        <v>43257.14</v>
      </c>
      <c r="T372" s="32" t="n">
        <f>212194</f>
        <v>212194.0</v>
      </c>
      <c r="U372" s="32" t="n">
        <f>18748</f>
        <v>18748.0</v>
      </c>
      <c r="V372" s="32" t="n">
        <f>9170015961</f>
        <v>9.170015961E9</v>
      </c>
      <c r="W372" s="32" t="n">
        <f>811513911</f>
        <v>8.11513911E8</v>
      </c>
      <c r="X372" s="36" t="n">
        <f>21</f>
        <v>21.0</v>
      </c>
    </row>
    <row r="373">
      <c r="A373" s="27" t="s">
        <v>42</v>
      </c>
      <c r="B373" s="27" t="s">
        <v>1165</v>
      </c>
      <c r="C373" s="27" t="s">
        <v>1166</v>
      </c>
      <c r="D373" s="27" t="s">
        <v>1167</v>
      </c>
      <c r="E373" s="28" t="s">
        <v>46</v>
      </c>
      <c r="F373" s="29" t="s">
        <v>46</v>
      </c>
      <c r="G373" s="30" t="s">
        <v>46</v>
      </c>
      <c r="H373" s="31"/>
      <c r="I373" s="31" t="s">
        <v>47</v>
      </c>
      <c r="J373" s="32" t="n">
        <v>1.0</v>
      </c>
      <c r="K373" s="33" t="n">
        <f>384500</f>
        <v>384500.0</v>
      </c>
      <c r="L373" s="34" t="s">
        <v>48</v>
      </c>
      <c r="M373" s="33" t="n">
        <f>384500</f>
        <v>384500.0</v>
      </c>
      <c r="N373" s="34" t="s">
        <v>48</v>
      </c>
      <c r="O373" s="33" t="n">
        <f>358000</f>
        <v>358000.0</v>
      </c>
      <c r="P373" s="34" t="s">
        <v>103</v>
      </c>
      <c r="Q373" s="33" t="n">
        <f>374500</f>
        <v>374500.0</v>
      </c>
      <c r="R373" s="34" t="s">
        <v>51</v>
      </c>
      <c r="S373" s="35" t="n">
        <f>370761.9</f>
        <v>370761.9</v>
      </c>
      <c r="T373" s="32" t="n">
        <f>34643</f>
        <v>34643.0</v>
      </c>
      <c r="U373" s="32" t="n">
        <f>6633</f>
        <v>6633.0</v>
      </c>
      <c r="V373" s="32" t="n">
        <f>12835608194</f>
        <v>1.2835608194E10</v>
      </c>
      <c r="W373" s="32" t="n">
        <f>2457875694</f>
        <v>2.457875694E9</v>
      </c>
      <c r="X373" s="36" t="n">
        <f>21</f>
        <v>21.0</v>
      </c>
    </row>
    <row r="374">
      <c r="A374" s="27" t="s">
        <v>42</v>
      </c>
      <c r="B374" s="27" t="s">
        <v>1168</v>
      </c>
      <c r="C374" s="27" t="s">
        <v>1169</v>
      </c>
      <c r="D374" s="27" t="s">
        <v>1170</v>
      </c>
      <c r="E374" s="28" t="s">
        <v>46</v>
      </c>
      <c r="F374" s="29" t="s">
        <v>46</v>
      </c>
      <c r="G374" s="30" t="s">
        <v>46</v>
      </c>
      <c r="H374" s="31"/>
      <c r="I374" s="31" t="s">
        <v>47</v>
      </c>
      <c r="J374" s="32" t="n">
        <v>1.0</v>
      </c>
      <c r="K374" s="33" t="n">
        <f>164700</f>
        <v>164700.0</v>
      </c>
      <c r="L374" s="34" t="s">
        <v>48</v>
      </c>
      <c r="M374" s="33" t="n">
        <f>164700</f>
        <v>164700.0</v>
      </c>
      <c r="N374" s="34" t="s">
        <v>48</v>
      </c>
      <c r="O374" s="33" t="n">
        <f>151600</f>
        <v>151600.0</v>
      </c>
      <c r="P374" s="34" t="s">
        <v>177</v>
      </c>
      <c r="Q374" s="33" t="n">
        <f>155300</f>
        <v>155300.0</v>
      </c>
      <c r="R374" s="34" t="s">
        <v>51</v>
      </c>
      <c r="S374" s="35" t="n">
        <f>157009.52</f>
        <v>157009.52</v>
      </c>
      <c r="T374" s="32" t="n">
        <f>49580</f>
        <v>49580.0</v>
      </c>
      <c r="U374" s="32" t="n">
        <f>10169</f>
        <v>10169.0</v>
      </c>
      <c r="V374" s="32" t="n">
        <f>7763529351</f>
        <v>7.763529351E9</v>
      </c>
      <c r="W374" s="32" t="n">
        <f>1598096151</f>
        <v>1.598096151E9</v>
      </c>
      <c r="X374" s="36" t="n">
        <f>21</f>
        <v>21.0</v>
      </c>
    </row>
    <row r="375">
      <c r="A375" s="27" t="s">
        <v>42</v>
      </c>
      <c r="B375" s="27" t="s">
        <v>1171</v>
      </c>
      <c r="C375" s="27" t="s">
        <v>1172</v>
      </c>
      <c r="D375" s="27" t="s">
        <v>1173</v>
      </c>
      <c r="E375" s="28" t="s">
        <v>46</v>
      </c>
      <c r="F375" s="29" t="s">
        <v>46</v>
      </c>
      <c r="G375" s="30" t="s">
        <v>46</v>
      </c>
      <c r="H375" s="31"/>
      <c r="I375" s="31" t="s">
        <v>553</v>
      </c>
      <c r="J375" s="32" t="n">
        <v>1.0</v>
      </c>
      <c r="K375" s="33" t="n">
        <f>118100</f>
        <v>118100.0</v>
      </c>
      <c r="L375" s="34" t="s">
        <v>48</v>
      </c>
      <c r="M375" s="33" t="n">
        <f>118800</f>
        <v>118800.0</v>
      </c>
      <c r="N375" s="34" t="s">
        <v>51</v>
      </c>
      <c r="O375" s="33" t="n">
        <f>114300</f>
        <v>114300.0</v>
      </c>
      <c r="P375" s="34" t="s">
        <v>103</v>
      </c>
      <c r="Q375" s="33" t="n">
        <f>118600</f>
        <v>118600.0</v>
      </c>
      <c r="R375" s="34" t="s">
        <v>51</v>
      </c>
      <c r="S375" s="35" t="n">
        <f>116561.9</f>
        <v>116561.9</v>
      </c>
      <c r="T375" s="32" t="n">
        <f>14239</f>
        <v>14239.0</v>
      </c>
      <c r="U375" s="32" t="n">
        <f>2394</f>
        <v>2394.0</v>
      </c>
      <c r="V375" s="32" t="n">
        <f>1658022845</f>
        <v>1.658022845E9</v>
      </c>
      <c r="W375" s="32" t="n">
        <f>278683645</f>
        <v>2.78683645E8</v>
      </c>
      <c r="X375" s="36" t="n">
        <f>21</f>
        <v>21.0</v>
      </c>
    </row>
    <row r="376">
      <c r="A376" s="27" t="s">
        <v>42</v>
      </c>
      <c r="B376" s="27" t="s">
        <v>1174</v>
      </c>
      <c r="C376" s="27" t="s">
        <v>1175</v>
      </c>
      <c r="D376" s="27" t="s">
        <v>1176</v>
      </c>
      <c r="E376" s="28" t="s">
        <v>46</v>
      </c>
      <c r="F376" s="29" t="s">
        <v>46</v>
      </c>
      <c r="G376" s="30" t="s">
        <v>46</v>
      </c>
      <c r="H376" s="31"/>
      <c r="I376" s="31" t="s">
        <v>47</v>
      </c>
      <c r="J376" s="32" t="n">
        <v>1.0</v>
      </c>
      <c r="K376" s="33" t="n">
        <f>101200</f>
        <v>101200.0</v>
      </c>
      <c r="L376" s="34" t="s">
        <v>48</v>
      </c>
      <c r="M376" s="33" t="n">
        <f>101200</f>
        <v>101200.0</v>
      </c>
      <c r="N376" s="34" t="s">
        <v>48</v>
      </c>
      <c r="O376" s="33" t="n">
        <f>95900</f>
        <v>95900.0</v>
      </c>
      <c r="P376" s="34" t="s">
        <v>103</v>
      </c>
      <c r="Q376" s="33" t="n">
        <f>100800</f>
        <v>100800.0</v>
      </c>
      <c r="R376" s="34" t="s">
        <v>51</v>
      </c>
      <c r="S376" s="35" t="n">
        <f>98919.05</f>
        <v>98919.05</v>
      </c>
      <c r="T376" s="32" t="n">
        <f>53506</f>
        <v>53506.0</v>
      </c>
      <c r="U376" s="32" t="n">
        <f>5582</f>
        <v>5582.0</v>
      </c>
      <c r="V376" s="32" t="n">
        <f>5278471609</f>
        <v>5.278471609E9</v>
      </c>
      <c r="W376" s="32" t="n">
        <f>551590109</f>
        <v>5.51590109E8</v>
      </c>
      <c r="X376" s="36" t="n">
        <f>21</f>
        <v>21.0</v>
      </c>
    </row>
    <row r="377">
      <c r="A377" s="27" t="s">
        <v>42</v>
      </c>
      <c r="B377" s="27" t="s">
        <v>1177</v>
      </c>
      <c r="C377" s="27" t="s">
        <v>1178</v>
      </c>
      <c r="D377" s="27" t="s">
        <v>1179</v>
      </c>
      <c r="E377" s="28" t="s">
        <v>46</v>
      </c>
      <c r="F377" s="29" t="s">
        <v>46</v>
      </c>
      <c r="G377" s="30" t="s">
        <v>46</v>
      </c>
      <c r="H377" s="31"/>
      <c r="I377" s="31" t="s">
        <v>47</v>
      </c>
      <c r="J377" s="32" t="n">
        <v>1.0</v>
      </c>
      <c r="K377" s="33" t="n">
        <f>129000</f>
        <v>129000.0</v>
      </c>
      <c r="L377" s="34" t="s">
        <v>48</v>
      </c>
      <c r="M377" s="33" t="n">
        <f>129000</f>
        <v>129000.0</v>
      </c>
      <c r="N377" s="34" t="s">
        <v>48</v>
      </c>
      <c r="O377" s="33" t="n">
        <f>121000</f>
        <v>121000.0</v>
      </c>
      <c r="P377" s="34" t="s">
        <v>103</v>
      </c>
      <c r="Q377" s="33" t="n">
        <f>126800</f>
        <v>126800.0</v>
      </c>
      <c r="R377" s="34" t="s">
        <v>51</v>
      </c>
      <c r="S377" s="35" t="n">
        <f>126576.19</f>
        <v>126576.19</v>
      </c>
      <c r="T377" s="32" t="n">
        <f>34193</f>
        <v>34193.0</v>
      </c>
      <c r="U377" s="32" t="n">
        <f>6985</f>
        <v>6985.0</v>
      </c>
      <c r="V377" s="32" t="n">
        <f>4322374793</f>
        <v>4.322374793E9</v>
      </c>
      <c r="W377" s="32" t="n">
        <f>883150193</f>
        <v>8.83150193E8</v>
      </c>
      <c r="X377" s="36" t="n">
        <f>21</f>
        <v>21.0</v>
      </c>
    </row>
    <row r="378">
      <c r="A378" s="27" t="s">
        <v>42</v>
      </c>
      <c r="B378" s="27" t="s">
        <v>1180</v>
      </c>
      <c r="C378" s="27" t="s">
        <v>1181</v>
      </c>
      <c r="D378" s="27" t="s">
        <v>1182</v>
      </c>
      <c r="E378" s="28" t="s">
        <v>46</v>
      </c>
      <c r="F378" s="29" t="s">
        <v>46</v>
      </c>
      <c r="G378" s="30" t="s">
        <v>46</v>
      </c>
      <c r="H378" s="31"/>
      <c r="I378" s="31" t="s">
        <v>47</v>
      </c>
      <c r="J378" s="32" t="n">
        <v>1.0</v>
      </c>
      <c r="K378" s="33" t="n">
        <f>619000</f>
        <v>619000.0</v>
      </c>
      <c r="L378" s="34" t="s">
        <v>48</v>
      </c>
      <c r="M378" s="33" t="n">
        <f>625000</f>
        <v>625000.0</v>
      </c>
      <c r="N378" s="34" t="s">
        <v>254</v>
      </c>
      <c r="O378" s="33" t="n">
        <f>602000</f>
        <v>602000.0</v>
      </c>
      <c r="P378" s="34" t="s">
        <v>89</v>
      </c>
      <c r="Q378" s="33" t="n">
        <f>611000</f>
        <v>611000.0</v>
      </c>
      <c r="R378" s="34" t="s">
        <v>51</v>
      </c>
      <c r="S378" s="35" t="n">
        <f>614190.48</f>
        <v>614190.48</v>
      </c>
      <c r="T378" s="32" t="n">
        <f>89862</f>
        <v>89862.0</v>
      </c>
      <c r="U378" s="32" t="n">
        <f>20033</f>
        <v>20033.0</v>
      </c>
      <c r="V378" s="32" t="n">
        <f>55119615333</f>
        <v>5.5119615333E10</v>
      </c>
      <c r="W378" s="32" t="n">
        <f>12280305333</f>
        <v>1.2280305333E10</v>
      </c>
      <c r="X378" s="36" t="n">
        <f>21</f>
        <v>21.0</v>
      </c>
    </row>
    <row r="379">
      <c r="A379" s="27" t="s">
        <v>42</v>
      </c>
      <c r="B379" s="27" t="s">
        <v>1183</v>
      </c>
      <c r="C379" s="27" t="s">
        <v>1184</v>
      </c>
      <c r="D379" s="27" t="s">
        <v>1185</v>
      </c>
      <c r="E379" s="28" t="s">
        <v>46</v>
      </c>
      <c r="F379" s="29" t="s">
        <v>46</v>
      </c>
      <c r="G379" s="30" t="s">
        <v>46</v>
      </c>
      <c r="H379" s="31"/>
      <c r="I379" s="31" t="s">
        <v>47</v>
      </c>
      <c r="J379" s="32" t="n">
        <v>1.0</v>
      </c>
      <c r="K379" s="33" t="n">
        <f>574000</f>
        <v>574000.0</v>
      </c>
      <c r="L379" s="34" t="s">
        <v>48</v>
      </c>
      <c r="M379" s="33" t="n">
        <f>584000</f>
        <v>584000.0</v>
      </c>
      <c r="N379" s="34" t="s">
        <v>51</v>
      </c>
      <c r="O379" s="33" t="n">
        <f>562000</f>
        <v>562000.0</v>
      </c>
      <c r="P379" s="34" t="s">
        <v>48</v>
      </c>
      <c r="Q379" s="33" t="n">
        <f>584000</f>
        <v>584000.0</v>
      </c>
      <c r="R379" s="34" t="s">
        <v>51</v>
      </c>
      <c r="S379" s="35" t="n">
        <f>573952.38</f>
        <v>573952.38</v>
      </c>
      <c r="T379" s="32" t="n">
        <f>79804</f>
        <v>79804.0</v>
      </c>
      <c r="U379" s="32" t="n">
        <f>15679</f>
        <v>15679.0</v>
      </c>
      <c r="V379" s="32" t="n">
        <f>45783495589</f>
        <v>4.5783495589E10</v>
      </c>
      <c r="W379" s="32" t="n">
        <f>8994879589</f>
        <v>8.994879589E9</v>
      </c>
      <c r="X379" s="36" t="n">
        <f>21</f>
        <v>21.0</v>
      </c>
    </row>
    <row r="380">
      <c r="A380" s="27" t="s">
        <v>42</v>
      </c>
      <c r="B380" s="27" t="s">
        <v>1186</v>
      </c>
      <c r="C380" s="27" t="s">
        <v>1187</v>
      </c>
      <c r="D380" s="27" t="s">
        <v>1188</v>
      </c>
      <c r="E380" s="28" t="s">
        <v>46</v>
      </c>
      <c r="F380" s="29" t="s">
        <v>46</v>
      </c>
      <c r="G380" s="30" t="s">
        <v>46</v>
      </c>
      <c r="H380" s="31"/>
      <c r="I380" s="31" t="s">
        <v>47</v>
      </c>
      <c r="J380" s="32" t="n">
        <v>1.0</v>
      </c>
      <c r="K380" s="33" t="n">
        <f>98100</f>
        <v>98100.0</v>
      </c>
      <c r="L380" s="34" t="s">
        <v>48</v>
      </c>
      <c r="M380" s="33" t="n">
        <f>102300</f>
        <v>102300.0</v>
      </c>
      <c r="N380" s="34" t="s">
        <v>51</v>
      </c>
      <c r="O380" s="33" t="n">
        <f>96500</f>
        <v>96500.0</v>
      </c>
      <c r="P380" s="34" t="s">
        <v>89</v>
      </c>
      <c r="Q380" s="33" t="n">
        <f>101900</f>
        <v>101900.0</v>
      </c>
      <c r="R380" s="34" t="s">
        <v>51</v>
      </c>
      <c r="S380" s="35" t="n">
        <f>99695.24</f>
        <v>99695.24</v>
      </c>
      <c r="T380" s="32" t="n">
        <f>363689</f>
        <v>363689.0</v>
      </c>
      <c r="U380" s="32" t="n">
        <f>91468</f>
        <v>91468.0</v>
      </c>
      <c r="V380" s="32" t="n">
        <f>36222138524</f>
        <v>3.6222138524E10</v>
      </c>
      <c r="W380" s="32" t="n">
        <f>9108797524</f>
        <v>9.108797524E9</v>
      </c>
      <c r="X380" s="36" t="n">
        <f>21</f>
        <v>21.0</v>
      </c>
    </row>
    <row r="381">
      <c r="A381" s="27" t="s">
        <v>42</v>
      </c>
      <c r="B381" s="27" t="s">
        <v>1189</v>
      </c>
      <c r="C381" s="27" t="s">
        <v>1190</v>
      </c>
      <c r="D381" s="27" t="s">
        <v>1191</v>
      </c>
      <c r="E381" s="28" t="s">
        <v>46</v>
      </c>
      <c r="F381" s="29" t="s">
        <v>46</v>
      </c>
      <c r="G381" s="30" t="s">
        <v>46</v>
      </c>
      <c r="H381" s="31"/>
      <c r="I381" s="31" t="s">
        <v>47</v>
      </c>
      <c r="J381" s="32" t="n">
        <v>1.0</v>
      </c>
      <c r="K381" s="33" t="n">
        <f>173100</f>
        <v>173100.0</v>
      </c>
      <c r="L381" s="34" t="s">
        <v>48</v>
      </c>
      <c r="M381" s="33" t="n">
        <f>174400</f>
        <v>174400.0</v>
      </c>
      <c r="N381" s="34" t="s">
        <v>61</v>
      </c>
      <c r="O381" s="33" t="n">
        <f>163200</f>
        <v>163200.0</v>
      </c>
      <c r="P381" s="34" t="s">
        <v>176</v>
      </c>
      <c r="Q381" s="33" t="n">
        <f>166500</f>
        <v>166500.0</v>
      </c>
      <c r="R381" s="34" t="s">
        <v>51</v>
      </c>
      <c r="S381" s="35" t="n">
        <f>168171.43</f>
        <v>168171.43</v>
      </c>
      <c r="T381" s="32" t="n">
        <f>190569</f>
        <v>190569.0</v>
      </c>
      <c r="U381" s="32" t="n">
        <f>51813</f>
        <v>51813.0</v>
      </c>
      <c r="V381" s="32" t="n">
        <f>32026275139</f>
        <v>3.2026275139E10</v>
      </c>
      <c r="W381" s="32" t="n">
        <f>8697288139</f>
        <v>8.697288139E9</v>
      </c>
      <c r="X381" s="36" t="n">
        <f>21</f>
        <v>21.0</v>
      </c>
    </row>
    <row r="382">
      <c r="A382" s="27" t="s">
        <v>42</v>
      </c>
      <c r="B382" s="27" t="s">
        <v>1192</v>
      </c>
      <c r="C382" s="27" t="s">
        <v>1193</v>
      </c>
      <c r="D382" s="27" t="s">
        <v>1194</v>
      </c>
      <c r="E382" s="28" t="s">
        <v>46</v>
      </c>
      <c r="F382" s="29" t="s">
        <v>46</v>
      </c>
      <c r="G382" s="30" t="s">
        <v>46</v>
      </c>
      <c r="H382" s="31"/>
      <c r="I382" s="31" t="s">
        <v>47</v>
      </c>
      <c r="J382" s="32" t="n">
        <v>1.0</v>
      </c>
      <c r="K382" s="33" t="n">
        <f>370000</f>
        <v>370000.0</v>
      </c>
      <c r="L382" s="34" t="s">
        <v>48</v>
      </c>
      <c r="M382" s="33" t="n">
        <f>370000</f>
        <v>370000.0</v>
      </c>
      <c r="N382" s="34" t="s">
        <v>48</v>
      </c>
      <c r="O382" s="33" t="n">
        <f>349500</f>
        <v>349500.0</v>
      </c>
      <c r="P382" s="34" t="s">
        <v>177</v>
      </c>
      <c r="Q382" s="33" t="n">
        <f>350000</f>
        <v>350000.0</v>
      </c>
      <c r="R382" s="34" t="s">
        <v>51</v>
      </c>
      <c r="S382" s="35" t="n">
        <f>359714.29</f>
        <v>359714.29</v>
      </c>
      <c r="T382" s="32" t="n">
        <f>81135</f>
        <v>81135.0</v>
      </c>
      <c r="U382" s="32" t="n">
        <f>32225</f>
        <v>32225.0</v>
      </c>
      <c r="V382" s="32" t="n">
        <f>29255577352</f>
        <v>2.9255577352E10</v>
      </c>
      <c r="W382" s="32" t="n">
        <f>11641152852</f>
        <v>1.1641152852E10</v>
      </c>
      <c r="X382" s="36" t="n">
        <f>21</f>
        <v>21.0</v>
      </c>
    </row>
    <row r="383">
      <c r="A383" s="27" t="s">
        <v>42</v>
      </c>
      <c r="B383" s="27" t="s">
        <v>1195</v>
      </c>
      <c r="C383" s="27" t="s">
        <v>1196</v>
      </c>
      <c r="D383" s="27" t="s">
        <v>1197</v>
      </c>
      <c r="E383" s="28" t="s">
        <v>46</v>
      </c>
      <c r="F383" s="29" t="s">
        <v>46</v>
      </c>
      <c r="G383" s="30" t="s">
        <v>46</v>
      </c>
      <c r="H383" s="31"/>
      <c r="I383" s="31" t="s">
        <v>47</v>
      </c>
      <c r="J383" s="32" t="n">
        <v>1.0</v>
      </c>
      <c r="K383" s="33" t="n">
        <f>128000</f>
        <v>128000.0</v>
      </c>
      <c r="L383" s="34" t="s">
        <v>48</v>
      </c>
      <c r="M383" s="33" t="n">
        <f>129000</f>
        <v>129000.0</v>
      </c>
      <c r="N383" s="34" t="s">
        <v>89</v>
      </c>
      <c r="O383" s="33" t="n">
        <f>121800</f>
        <v>121800.0</v>
      </c>
      <c r="P383" s="34" t="s">
        <v>103</v>
      </c>
      <c r="Q383" s="33" t="n">
        <f>124700</f>
        <v>124700.0</v>
      </c>
      <c r="R383" s="34" t="s">
        <v>51</v>
      </c>
      <c r="S383" s="35" t="n">
        <f>125561.9</f>
        <v>125561.9</v>
      </c>
      <c r="T383" s="32" t="n">
        <f>95880</f>
        <v>95880.0</v>
      </c>
      <c r="U383" s="32" t="n">
        <f>19142</f>
        <v>19142.0</v>
      </c>
      <c r="V383" s="32" t="n">
        <f>12022554494</f>
        <v>1.2022554494E10</v>
      </c>
      <c r="W383" s="32" t="n">
        <f>2395853694</f>
        <v>2.395853694E9</v>
      </c>
      <c r="X383" s="36" t="n">
        <f>21</f>
        <v>21.0</v>
      </c>
    </row>
    <row r="384">
      <c r="A384" s="27" t="s">
        <v>42</v>
      </c>
      <c r="B384" s="27" t="s">
        <v>1198</v>
      </c>
      <c r="C384" s="27" t="s">
        <v>1199</v>
      </c>
      <c r="D384" s="27" t="s">
        <v>1200</v>
      </c>
      <c r="E384" s="28" t="s">
        <v>46</v>
      </c>
      <c r="F384" s="29" t="s">
        <v>46</v>
      </c>
      <c r="G384" s="30" t="s">
        <v>46</v>
      </c>
      <c r="H384" s="31"/>
      <c r="I384" s="31" t="s">
        <v>47</v>
      </c>
      <c r="J384" s="32" t="n">
        <v>1.0</v>
      </c>
      <c r="K384" s="33" t="n">
        <f>179700</f>
        <v>179700.0</v>
      </c>
      <c r="L384" s="34" t="s">
        <v>48</v>
      </c>
      <c r="M384" s="33" t="n">
        <f>179700</f>
        <v>179700.0</v>
      </c>
      <c r="N384" s="34" t="s">
        <v>48</v>
      </c>
      <c r="O384" s="33" t="n">
        <f>165600</f>
        <v>165600.0</v>
      </c>
      <c r="P384" s="34" t="s">
        <v>103</v>
      </c>
      <c r="Q384" s="33" t="n">
        <f>170400</f>
        <v>170400.0</v>
      </c>
      <c r="R384" s="34" t="s">
        <v>51</v>
      </c>
      <c r="S384" s="35" t="n">
        <f>171728.57</f>
        <v>171728.57</v>
      </c>
      <c r="T384" s="32" t="n">
        <f>53358</f>
        <v>53358.0</v>
      </c>
      <c r="U384" s="32" t="n">
        <f>11273</f>
        <v>11273.0</v>
      </c>
      <c r="V384" s="32" t="n">
        <f>9162235183</f>
        <v>9.162235183E9</v>
      </c>
      <c r="W384" s="32" t="n">
        <f>1930997883</f>
        <v>1.930997883E9</v>
      </c>
      <c r="X384" s="36" t="n">
        <f>21</f>
        <v>21.0</v>
      </c>
    </row>
    <row r="385">
      <c r="A385" s="27" t="s">
        <v>42</v>
      </c>
      <c r="B385" s="27" t="s">
        <v>1201</v>
      </c>
      <c r="C385" s="27" t="s">
        <v>1202</v>
      </c>
      <c r="D385" s="27" t="s">
        <v>1203</v>
      </c>
      <c r="E385" s="28" t="s">
        <v>46</v>
      </c>
      <c r="F385" s="29" t="s">
        <v>46</v>
      </c>
      <c r="G385" s="30" t="s">
        <v>46</v>
      </c>
      <c r="H385" s="31"/>
      <c r="I385" s="31" t="s">
        <v>47</v>
      </c>
      <c r="J385" s="32" t="n">
        <v>1.0</v>
      </c>
      <c r="K385" s="33" t="n">
        <f>113000</f>
        <v>113000.0</v>
      </c>
      <c r="L385" s="34" t="s">
        <v>48</v>
      </c>
      <c r="M385" s="33" t="n">
        <f>113000</f>
        <v>113000.0</v>
      </c>
      <c r="N385" s="34" t="s">
        <v>48</v>
      </c>
      <c r="O385" s="33" t="n">
        <f>107700</f>
        <v>107700.0</v>
      </c>
      <c r="P385" s="34" t="s">
        <v>103</v>
      </c>
      <c r="Q385" s="33" t="n">
        <f>109500</f>
        <v>109500.0</v>
      </c>
      <c r="R385" s="34" t="s">
        <v>51</v>
      </c>
      <c r="S385" s="35" t="n">
        <f>110390.48</f>
        <v>110390.48</v>
      </c>
      <c r="T385" s="32" t="n">
        <f>71240</f>
        <v>71240.0</v>
      </c>
      <c r="U385" s="32" t="n">
        <f>14806</f>
        <v>14806.0</v>
      </c>
      <c r="V385" s="32" t="n">
        <f>7861367641</f>
        <v>7.861367641E9</v>
      </c>
      <c r="W385" s="32" t="n">
        <f>1637377841</f>
        <v>1.637377841E9</v>
      </c>
      <c r="X385" s="36" t="n">
        <f>21</f>
        <v>21.0</v>
      </c>
    </row>
    <row r="386">
      <c r="A386" s="27" t="s">
        <v>42</v>
      </c>
      <c r="B386" s="27" t="s">
        <v>1204</v>
      </c>
      <c r="C386" s="27" t="s">
        <v>1205</v>
      </c>
      <c r="D386" s="27" t="s">
        <v>1206</v>
      </c>
      <c r="E386" s="28" t="s">
        <v>46</v>
      </c>
      <c r="F386" s="29" t="s">
        <v>46</v>
      </c>
      <c r="G386" s="30" t="s">
        <v>46</v>
      </c>
      <c r="H386" s="31"/>
      <c r="I386" s="31" t="s">
        <v>47</v>
      </c>
      <c r="J386" s="32" t="n">
        <v>1.0</v>
      </c>
      <c r="K386" s="33" t="n">
        <f>144400</f>
        <v>144400.0</v>
      </c>
      <c r="L386" s="34" t="s">
        <v>48</v>
      </c>
      <c r="M386" s="33" t="n">
        <f>147800</f>
        <v>147800.0</v>
      </c>
      <c r="N386" s="34" t="s">
        <v>61</v>
      </c>
      <c r="O386" s="33" t="n">
        <f>140400</f>
        <v>140400.0</v>
      </c>
      <c r="P386" s="34" t="s">
        <v>68</v>
      </c>
      <c r="Q386" s="33" t="n">
        <f>144100</f>
        <v>144100.0</v>
      </c>
      <c r="R386" s="34" t="s">
        <v>51</v>
      </c>
      <c r="S386" s="35" t="n">
        <f>143800</f>
        <v>143800.0</v>
      </c>
      <c r="T386" s="32" t="n">
        <f>177845</f>
        <v>177845.0</v>
      </c>
      <c r="U386" s="32" t="n">
        <f>49743</f>
        <v>49743.0</v>
      </c>
      <c r="V386" s="32" t="n">
        <f>25549995038</f>
        <v>2.5549995038E10</v>
      </c>
      <c r="W386" s="32" t="n">
        <f>7140580238</f>
        <v>7.140580238E9</v>
      </c>
      <c r="X386" s="36" t="n">
        <f>21</f>
        <v>21.0</v>
      </c>
    </row>
    <row r="387">
      <c r="A387" s="27" t="s">
        <v>42</v>
      </c>
      <c r="B387" s="27" t="s">
        <v>1207</v>
      </c>
      <c r="C387" s="27" t="s">
        <v>1208</v>
      </c>
      <c r="D387" s="27" t="s">
        <v>1209</v>
      </c>
      <c r="E387" s="28" t="s">
        <v>46</v>
      </c>
      <c r="F387" s="29" t="s">
        <v>46</v>
      </c>
      <c r="G387" s="30" t="s">
        <v>46</v>
      </c>
      <c r="H387" s="31"/>
      <c r="I387" s="31" t="s">
        <v>47</v>
      </c>
      <c r="J387" s="32" t="n">
        <v>1.0</v>
      </c>
      <c r="K387" s="33" t="n">
        <f>73500</f>
        <v>73500.0</v>
      </c>
      <c r="L387" s="34" t="s">
        <v>48</v>
      </c>
      <c r="M387" s="33" t="n">
        <f>73500</f>
        <v>73500.0</v>
      </c>
      <c r="N387" s="34" t="s">
        <v>48</v>
      </c>
      <c r="O387" s="33" t="n">
        <f>71000</f>
        <v>71000.0</v>
      </c>
      <c r="P387" s="34" t="s">
        <v>50</v>
      </c>
      <c r="Q387" s="33" t="n">
        <f>72500</f>
        <v>72500.0</v>
      </c>
      <c r="R387" s="34" t="s">
        <v>51</v>
      </c>
      <c r="S387" s="35" t="n">
        <f>72352.38</f>
        <v>72352.38</v>
      </c>
      <c r="T387" s="32" t="n">
        <f>114343</f>
        <v>114343.0</v>
      </c>
      <c r="U387" s="32" t="n">
        <f>27968</f>
        <v>27968.0</v>
      </c>
      <c r="V387" s="32" t="n">
        <f>8269778295</f>
        <v>8.269778295E9</v>
      </c>
      <c r="W387" s="32" t="n">
        <f>2021978695</f>
        <v>2.021978695E9</v>
      </c>
      <c r="X387" s="36" t="n">
        <f>21</f>
        <v>21.0</v>
      </c>
    </row>
    <row r="388">
      <c r="A388" s="27" t="s">
        <v>42</v>
      </c>
      <c r="B388" s="27" t="s">
        <v>1210</v>
      </c>
      <c r="C388" s="27" t="s">
        <v>1211</v>
      </c>
      <c r="D388" s="27" t="s">
        <v>1212</v>
      </c>
      <c r="E388" s="28" t="s">
        <v>46</v>
      </c>
      <c r="F388" s="29" t="s">
        <v>46</v>
      </c>
      <c r="G388" s="30" t="s">
        <v>46</v>
      </c>
      <c r="H388" s="31"/>
      <c r="I388" s="31" t="s">
        <v>47</v>
      </c>
      <c r="J388" s="32" t="n">
        <v>1.0</v>
      </c>
      <c r="K388" s="33" t="n">
        <f>59500</f>
        <v>59500.0</v>
      </c>
      <c r="L388" s="34" t="s">
        <v>48</v>
      </c>
      <c r="M388" s="33" t="n">
        <f>61800</f>
        <v>61800.0</v>
      </c>
      <c r="N388" s="34" t="s">
        <v>103</v>
      </c>
      <c r="O388" s="33" t="n">
        <f>55900</f>
        <v>55900.0</v>
      </c>
      <c r="P388" s="34" t="s">
        <v>176</v>
      </c>
      <c r="Q388" s="33" t="n">
        <f>61000</f>
        <v>61000.0</v>
      </c>
      <c r="R388" s="34" t="s">
        <v>51</v>
      </c>
      <c r="S388" s="35" t="n">
        <f>59357.14</f>
        <v>59357.14</v>
      </c>
      <c r="T388" s="32" t="n">
        <f>666410</f>
        <v>666410.0</v>
      </c>
      <c r="U388" s="32" t="n">
        <f>155801</f>
        <v>155801.0</v>
      </c>
      <c r="V388" s="32" t="n">
        <f>39567650258</f>
        <v>3.9567650258E10</v>
      </c>
      <c r="W388" s="32" t="n">
        <f>9260050658</f>
        <v>9.260050658E9</v>
      </c>
      <c r="X388" s="36" t="n">
        <f>21</f>
        <v>21.0</v>
      </c>
    </row>
    <row r="389">
      <c r="A389" s="27" t="s">
        <v>42</v>
      </c>
      <c r="B389" s="27" t="s">
        <v>1213</v>
      </c>
      <c r="C389" s="27" t="s">
        <v>1214</v>
      </c>
      <c r="D389" s="27" t="s">
        <v>1215</v>
      </c>
      <c r="E389" s="28" t="s">
        <v>46</v>
      </c>
      <c r="F389" s="29" t="s">
        <v>46</v>
      </c>
      <c r="G389" s="30" t="s">
        <v>46</v>
      </c>
      <c r="H389" s="31"/>
      <c r="I389" s="31" t="s">
        <v>47</v>
      </c>
      <c r="J389" s="32" t="n">
        <v>1.0</v>
      </c>
      <c r="K389" s="33" t="n">
        <f>454000</f>
        <v>454000.0</v>
      </c>
      <c r="L389" s="34" t="s">
        <v>48</v>
      </c>
      <c r="M389" s="33" t="n">
        <f>454000</f>
        <v>454000.0</v>
      </c>
      <c r="N389" s="34" t="s">
        <v>48</v>
      </c>
      <c r="O389" s="33" t="n">
        <f>427000</f>
        <v>427000.0</v>
      </c>
      <c r="P389" s="34" t="s">
        <v>176</v>
      </c>
      <c r="Q389" s="33" t="n">
        <f>433000</f>
        <v>433000.0</v>
      </c>
      <c r="R389" s="34" t="s">
        <v>51</v>
      </c>
      <c r="S389" s="35" t="n">
        <f>438285.71</f>
        <v>438285.71</v>
      </c>
      <c r="T389" s="32" t="n">
        <f>32104</f>
        <v>32104.0</v>
      </c>
      <c r="U389" s="32" t="n">
        <f>5216</f>
        <v>5216.0</v>
      </c>
      <c r="V389" s="32" t="n">
        <f>14011660441</f>
        <v>1.4011660441E10</v>
      </c>
      <c r="W389" s="32" t="n">
        <f>2275494941</f>
        <v>2.275494941E9</v>
      </c>
      <c r="X389" s="36" t="n">
        <f>21</f>
        <v>21.0</v>
      </c>
    </row>
    <row r="390">
      <c r="A390" s="27" t="s">
        <v>42</v>
      </c>
      <c r="B390" s="27" t="s">
        <v>1216</v>
      </c>
      <c r="C390" s="27" t="s">
        <v>1217</v>
      </c>
      <c r="D390" s="27" t="s">
        <v>1218</v>
      </c>
      <c r="E390" s="28" t="s">
        <v>46</v>
      </c>
      <c r="F390" s="29" t="s">
        <v>46</v>
      </c>
      <c r="G390" s="30" t="s">
        <v>46</v>
      </c>
      <c r="H390" s="31"/>
      <c r="I390" s="31" t="s">
        <v>47</v>
      </c>
      <c r="J390" s="32" t="n">
        <v>1.0</v>
      </c>
      <c r="K390" s="33" t="n">
        <f>135800</f>
        <v>135800.0</v>
      </c>
      <c r="L390" s="34" t="s">
        <v>48</v>
      </c>
      <c r="M390" s="33" t="n">
        <f>138500</f>
        <v>138500.0</v>
      </c>
      <c r="N390" s="34" t="s">
        <v>49</v>
      </c>
      <c r="O390" s="33" t="n">
        <f>129400</f>
        <v>129400.0</v>
      </c>
      <c r="P390" s="34" t="s">
        <v>103</v>
      </c>
      <c r="Q390" s="33" t="n">
        <f>134600</f>
        <v>134600.0</v>
      </c>
      <c r="R390" s="34" t="s">
        <v>51</v>
      </c>
      <c r="S390" s="35" t="n">
        <f>134419.05</f>
        <v>134419.05</v>
      </c>
      <c r="T390" s="32" t="n">
        <f>82493</f>
        <v>82493.0</v>
      </c>
      <c r="U390" s="32" t="n">
        <f>12712</f>
        <v>12712.0</v>
      </c>
      <c r="V390" s="32" t="n">
        <f>11074381829</f>
        <v>1.1074381829E10</v>
      </c>
      <c r="W390" s="32" t="n">
        <f>1704076829</f>
        <v>1.704076829E9</v>
      </c>
      <c r="X390" s="36" t="n">
        <f>21</f>
        <v>21.0</v>
      </c>
    </row>
    <row r="391">
      <c r="A391" s="27" t="s">
        <v>42</v>
      </c>
      <c r="B391" s="27" t="s">
        <v>1219</v>
      </c>
      <c r="C391" s="27" t="s">
        <v>1220</v>
      </c>
      <c r="D391" s="27" t="s">
        <v>1221</v>
      </c>
      <c r="E391" s="28" t="s">
        <v>46</v>
      </c>
      <c r="F391" s="29" t="s">
        <v>46</v>
      </c>
      <c r="G391" s="30" t="s">
        <v>46</v>
      </c>
      <c r="H391" s="31"/>
      <c r="I391" s="31" t="s">
        <v>47</v>
      </c>
      <c r="J391" s="32" t="n">
        <v>1.0</v>
      </c>
      <c r="K391" s="33" t="n">
        <f>289000</f>
        <v>289000.0</v>
      </c>
      <c r="L391" s="34" t="s">
        <v>48</v>
      </c>
      <c r="M391" s="33" t="n">
        <f>290300</f>
        <v>290300.0</v>
      </c>
      <c r="N391" s="34" t="s">
        <v>49</v>
      </c>
      <c r="O391" s="33" t="n">
        <f>271600</f>
        <v>271600.0</v>
      </c>
      <c r="P391" s="34" t="s">
        <v>103</v>
      </c>
      <c r="Q391" s="33" t="n">
        <f>286000</f>
        <v>286000.0</v>
      </c>
      <c r="R391" s="34" t="s">
        <v>51</v>
      </c>
      <c r="S391" s="35" t="n">
        <f>281814.29</f>
        <v>281814.29</v>
      </c>
      <c r="T391" s="32" t="n">
        <f>47441</f>
        <v>47441.0</v>
      </c>
      <c r="U391" s="32" t="n">
        <f>11696</f>
        <v>11696.0</v>
      </c>
      <c r="V391" s="32" t="n">
        <f>13351823668</f>
        <v>1.3351823668E10</v>
      </c>
      <c r="W391" s="32" t="n">
        <f>3297071868</f>
        <v>3.297071868E9</v>
      </c>
      <c r="X391" s="36" t="n">
        <f>21</f>
        <v>21.0</v>
      </c>
    </row>
    <row r="392">
      <c r="A392" s="27" t="s">
        <v>42</v>
      </c>
      <c r="B392" s="27" t="s">
        <v>1222</v>
      </c>
      <c r="C392" s="27" t="s">
        <v>1223</v>
      </c>
      <c r="D392" s="27" t="s">
        <v>1224</v>
      </c>
      <c r="E392" s="28" t="s">
        <v>46</v>
      </c>
      <c r="F392" s="29" t="s">
        <v>46</v>
      </c>
      <c r="G392" s="30" t="s">
        <v>46</v>
      </c>
      <c r="H392" s="31"/>
      <c r="I392" s="31" t="s">
        <v>47</v>
      </c>
      <c r="J392" s="32" t="n">
        <v>1.0</v>
      </c>
      <c r="K392" s="33" t="n">
        <f>165900</f>
        <v>165900.0</v>
      </c>
      <c r="L392" s="34" t="s">
        <v>48</v>
      </c>
      <c r="M392" s="33" t="n">
        <f>172900</f>
        <v>172900.0</v>
      </c>
      <c r="N392" s="34" t="s">
        <v>177</v>
      </c>
      <c r="O392" s="33" t="n">
        <f>163200</f>
        <v>163200.0</v>
      </c>
      <c r="P392" s="34" t="s">
        <v>89</v>
      </c>
      <c r="Q392" s="33" t="n">
        <f>171300</f>
        <v>171300.0</v>
      </c>
      <c r="R392" s="34" t="s">
        <v>51</v>
      </c>
      <c r="S392" s="35" t="n">
        <f>167185.71</f>
        <v>167185.71</v>
      </c>
      <c r="T392" s="32" t="n">
        <f>37807</f>
        <v>37807.0</v>
      </c>
      <c r="U392" s="32" t="n">
        <f>7106</f>
        <v>7106.0</v>
      </c>
      <c r="V392" s="32" t="n">
        <f>6322714078</f>
        <v>6.322714078E9</v>
      </c>
      <c r="W392" s="32" t="n">
        <f>1189409878</f>
        <v>1.189409878E9</v>
      </c>
      <c r="X392" s="36" t="n">
        <f>21</f>
        <v>21.0</v>
      </c>
    </row>
    <row r="393">
      <c r="A393" s="27" t="s">
        <v>42</v>
      </c>
      <c r="B393" s="27" t="s">
        <v>1225</v>
      </c>
      <c r="C393" s="27" t="s">
        <v>1226</v>
      </c>
      <c r="D393" s="27" t="s">
        <v>1227</v>
      </c>
      <c r="E393" s="28" t="s">
        <v>46</v>
      </c>
      <c r="F393" s="29" t="s">
        <v>46</v>
      </c>
      <c r="G393" s="30" t="s">
        <v>46</v>
      </c>
      <c r="H393" s="31"/>
      <c r="I393" s="31" t="s">
        <v>47</v>
      </c>
      <c r="J393" s="32" t="n">
        <v>1.0</v>
      </c>
      <c r="K393" s="33" t="n">
        <f>169100</f>
        <v>169100.0</v>
      </c>
      <c r="L393" s="34" t="s">
        <v>48</v>
      </c>
      <c r="M393" s="33" t="n">
        <f>169200</f>
        <v>169200.0</v>
      </c>
      <c r="N393" s="34" t="s">
        <v>89</v>
      </c>
      <c r="O393" s="33" t="n">
        <f>154700</f>
        <v>154700.0</v>
      </c>
      <c r="P393" s="34" t="s">
        <v>103</v>
      </c>
      <c r="Q393" s="33" t="n">
        <f>160800</f>
        <v>160800.0</v>
      </c>
      <c r="R393" s="34" t="s">
        <v>51</v>
      </c>
      <c r="S393" s="35" t="n">
        <f>160704.76</f>
        <v>160704.76</v>
      </c>
      <c r="T393" s="32" t="n">
        <f>335866</f>
        <v>335866.0</v>
      </c>
      <c r="U393" s="32" t="n">
        <f>77958</f>
        <v>77958.0</v>
      </c>
      <c r="V393" s="32" t="n">
        <f>53974468159</f>
        <v>5.3974468159E10</v>
      </c>
      <c r="W393" s="32" t="n">
        <f>12498568259</f>
        <v>1.2498568259E10</v>
      </c>
      <c r="X393" s="36" t="n">
        <f>21</f>
        <v>21.0</v>
      </c>
    </row>
    <row r="394">
      <c r="A394" s="27" t="s">
        <v>42</v>
      </c>
      <c r="B394" s="27" t="s">
        <v>1228</v>
      </c>
      <c r="C394" s="27" t="s">
        <v>1229</v>
      </c>
      <c r="D394" s="27" t="s">
        <v>1230</v>
      </c>
      <c r="E394" s="28" t="s">
        <v>46</v>
      </c>
      <c r="F394" s="29" t="s">
        <v>46</v>
      </c>
      <c r="G394" s="30" t="s">
        <v>46</v>
      </c>
      <c r="H394" s="31"/>
      <c r="I394" s="31" t="s">
        <v>47</v>
      </c>
      <c r="J394" s="32" t="n">
        <v>1.0</v>
      </c>
      <c r="K394" s="33" t="n">
        <f>85000</f>
        <v>85000.0</v>
      </c>
      <c r="L394" s="34" t="s">
        <v>48</v>
      </c>
      <c r="M394" s="33" t="n">
        <f>85000</f>
        <v>85000.0</v>
      </c>
      <c r="N394" s="34" t="s">
        <v>48</v>
      </c>
      <c r="O394" s="33" t="n">
        <f>80300</f>
        <v>80300.0</v>
      </c>
      <c r="P394" s="34" t="s">
        <v>103</v>
      </c>
      <c r="Q394" s="33" t="n">
        <f>82500</f>
        <v>82500.0</v>
      </c>
      <c r="R394" s="34" t="s">
        <v>51</v>
      </c>
      <c r="S394" s="35" t="n">
        <f>83161.9</f>
        <v>83161.9</v>
      </c>
      <c r="T394" s="32" t="n">
        <f>90911</f>
        <v>90911.0</v>
      </c>
      <c r="U394" s="32" t="n">
        <f>25654</f>
        <v>25654.0</v>
      </c>
      <c r="V394" s="32" t="n">
        <f>7537014092</f>
        <v>7.537014092E9</v>
      </c>
      <c r="W394" s="32" t="n">
        <f>2124289492</f>
        <v>2.124289492E9</v>
      </c>
      <c r="X394" s="36" t="n">
        <f>21</f>
        <v>21.0</v>
      </c>
    </row>
    <row r="395">
      <c r="A395" s="27" t="s">
        <v>42</v>
      </c>
      <c r="B395" s="27" t="s">
        <v>1231</v>
      </c>
      <c r="C395" s="27" t="s">
        <v>1232</v>
      </c>
      <c r="D395" s="27" t="s">
        <v>1233</v>
      </c>
      <c r="E395" s="28" t="s">
        <v>46</v>
      </c>
      <c r="F395" s="29" t="s">
        <v>46</v>
      </c>
      <c r="G395" s="30" t="s">
        <v>46</v>
      </c>
      <c r="H395" s="31"/>
      <c r="I395" s="31" t="s">
        <v>47</v>
      </c>
      <c r="J395" s="32" t="n">
        <v>1.0</v>
      </c>
      <c r="K395" s="33" t="n">
        <f>673000</f>
        <v>673000.0</v>
      </c>
      <c r="L395" s="34" t="s">
        <v>48</v>
      </c>
      <c r="M395" s="33" t="n">
        <f>682000</f>
        <v>682000.0</v>
      </c>
      <c r="N395" s="34" t="s">
        <v>254</v>
      </c>
      <c r="O395" s="33" t="n">
        <f>650000</f>
        <v>650000.0</v>
      </c>
      <c r="P395" s="34" t="s">
        <v>103</v>
      </c>
      <c r="Q395" s="33" t="n">
        <f>665000</f>
        <v>665000.0</v>
      </c>
      <c r="R395" s="34" t="s">
        <v>51</v>
      </c>
      <c r="S395" s="35" t="n">
        <f>665285.71</f>
        <v>665285.71</v>
      </c>
      <c r="T395" s="32" t="n">
        <f>19818</f>
        <v>19818.0</v>
      </c>
      <c r="U395" s="32" t="n">
        <f>5029</f>
        <v>5029.0</v>
      </c>
      <c r="V395" s="32" t="n">
        <f>13177444370</f>
        <v>1.317744437E10</v>
      </c>
      <c r="W395" s="32" t="n">
        <f>3344429370</f>
        <v>3.34442937E9</v>
      </c>
      <c r="X395" s="36" t="n">
        <f>21</f>
        <v>21.0</v>
      </c>
    </row>
    <row r="396">
      <c r="A396" s="27" t="s">
        <v>42</v>
      </c>
      <c r="B396" s="27" t="s">
        <v>1234</v>
      </c>
      <c r="C396" s="27" t="s">
        <v>1235</v>
      </c>
      <c r="D396" s="27" t="s">
        <v>1236</v>
      </c>
      <c r="E396" s="28" t="s">
        <v>46</v>
      </c>
      <c r="F396" s="29" t="s">
        <v>46</v>
      </c>
      <c r="G396" s="30" t="s">
        <v>46</v>
      </c>
      <c r="H396" s="31"/>
      <c r="I396" s="31" t="s">
        <v>47</v>
      </c>
      <c r="J396" s="32" t="n">
        <v>1.0</v>
      </c>
      <c r="K396" s="33" t="n">
        <f>140000</f>
        <v>140000.0</v>
      </c>
      <c r="L396" s="34" t="s">
        <v>48</v>
      </c>
      <c r="M396" s="33" t="n">
        <f>140600</f>
        <v>140600.0</v>
      </c>
      <c r="N396" s="34" t="s">
        <v>48</v>
      </c>
      <c r="O396" s="33" t="n">
        <f>135000</f>
        <v>135000.0</v>
      </c>
      <c r="P396" s="34" t="s">
        <v>103</v>
      </c>
      <c r="Q396" s="33" t="n">
        <f>139000</f>
        <v>139000.0</v>
      </c>
      <c r="R396" s="34" t="s">
        <v>51</v>
      </c>
      <c r="S396" s="35" t="n">
        <f>138314.29</f>
        <v>138314.29</v>
      </c>
      <c r="T396" s="32" t="n">
        <f>26301</f>
        <v>26301.0</v>
      </c>
      <c r="U396" s="32" t="n">
        <f>4742</f>
        <v>4742.0</v>
      </c>
      <c r="V396" s="32" t="n">
        <f>3630946503</f>
        <v>3.630946503E9</v>
      </c>
      <c r="W396" s="32" t="n">
        <f>654704803</f>
        <v>6.54704803E8</v>
      </c>
      <c r="X396" s="36" t="n">
        <f>21</f>
        <v>21.0</v>
      </c>
    </row>
    <row r="397">
      <c r="A397" s="27" t="s">
        <v>42</v>
      </c>
      <c r="B397" s="27" t="s">
        <v>1237</v>
      </c>
      <c r="C397" s="27" t="s">
        <v>1238</v>
      </c>
      <c r="D397" s="27" t="s">
        <v>1239</v>
      </c>
      <c r="E397" s="28" t="s">
        <v>46</v>
      </c>
      <c r="F397" s="29" t="s">
        <v>46</v>
      </c>
      <c r="G397" s="30" t="s">
        <v>46</v>
      </c>
      <c r="H397" s="31"/>
      <c r="I397" s="31" t="s">
        <v>553</v>
      </c>
      <c r="J397" s="32" t="n">
        <v>1.0</v>
      </c>
      <c r="K397" s="33" t="n">
        <f>205900</f>
        <v>205900.0</v>
      </c>
      <c r="L397" s="34" t="s">
        <v>48</v>
      </c>
      <c r="M397" s="33" t="n">
        <f>205900</f>
        <v>205900.0</v>
      </c>
      <c r="N397" s="34" t="s">
        <v>48</v>
      </c>
      <c r="O397" s="33" t="n">
        <f>194100</f>
        <v>194100.0</v>
      </c>
      <c r="P397" s="34" t="s">
        <v>156</v>
      </c>
      <c r="Q397" s="33" t="n">
        <f>201200</f>
        <v>201200.0</v>
      </c>
      <c r="R397" s="34" t="s">
        <v>51</v>
      </c>
      <c r="S397" s="35" t="n">
        <f>199361.9</f>
        <v>199361.9</v>
      </c>
      <c r="T397" s="32" t="n">
        <f>17074</f>
        <v>17074.0</v>
      </c>
      <c r="U397" s="32" t="n">
        <f>2928</f>
        <v>2928.0</v>
      </c>
      <c r="V397" s="32" t="n">
        <f>3394136879</f>
        <v>3.394136879E9</v>
      </c>
      <c r="W397" s="32" t="n">
        <f>582680079</f>
        <v>5.82680079E8</v>
      </c>
      <c r="X397" s="36" t="n">
        <f>21</f>
        <v>21.0</v>
      </c>
    </row>
    <row r="398">
      <c r="A398" s="27" t="s">
        <v>42</v>
      </c>
      <c r="B398" s="27" t="s">
        <v>1240</v>
      </c>
      <c r="C398" s="27" t="s">
        <v>1241</v>
      </c>
      <c r="D398" s="27" t="s">
        <v>1242</v>
      </c>
      <c r="E398" s="28" t="s">
        <v>46</v>
      </c>
      <c r="F398" s="29" t="s">
        <v>46</v>
      </c>
      <c r="G398" s="30" t="s">
        <v>46</v>
      </c>
      <c r="H398" s="31"/>
      <c r="I398" s="31" t="s">
        <v>47</v>
      </c>
      <c r="J398" s="32" t="n">
        <v>1.0</v>
      </c>
      <c r="K398" s="33" t="n">
        <f>265700</f>
        <v>265700.0</v>
      </c>
      <c r="L398" s="34" t="s">
        <v>48</v>
      </c>
      <c r="M398" s="33" t="n">
        <f>269600</f>
        <v>269600.0</v>
      </c>
      <c r="N398" s="34" t="s">
        <v>49</v>
      </c>
      <c r="O398" s="33" t="n">
        <f>245700</f>
        <v>245700.0</v>
      </c>
      <c r="P398" s="34" t="s">
        <v>103</v>
      </c>
      <c r="Q398" s="33" t="n">
        <f>251700</f>
        <v>251700.0</v>
      </c>
      <c r="R398" s="34" t="s">
        <v>51</v>
      </c>
      <c r="S398" s="35" t="n">
        <f>257904.76</f>
        <v>257904.76</v>
      </c>
      <c r="T398" s="32" t="n">
        <f>184361</f>
        <v>184361.0</v>
      </c>
      <c r="U398" s="32" t="n">
        <f>32560</f>
        <v>32560.0</v>
      </c>
      <c r="V398" s="32" t="n">
        <f>47410448597</f>
        <v>4.7410448597E10</v>
      </c>
      <c r="W398" s="32" t="n">
        <f>8364122697</f>
        <v>8.364122697E9</v>
      </c>
      <c r="X398" s="36" t="n">
        <f>21</f>
        <v>21.0</v>
      </c>
    </row>
    <row r="399">
      <c r="A399" s="27" t="s">
        <v>42</v>
      </c>
      <c r="B399" s="27" t="s">
        <v>1243</v>
      </c>
      <c r="C399" s="27" t="s">
        <v>1244</v>
      </c>
      <c r="D399" s="27" t="s">
        <v>1245</v>
      </c>
      <c r="E399" s="28" t="s">
        <v>46</v>
      </c>
      <c r="F399" s="29" t="s">
        <v>46</v>
      </c>
      <c r="G399" s="30" t="s">
        <v>46</v>
      </c>
      <c r="H399" s="31"/>
      <c r="I399" s="31" t="s">
        <v>47</v>
      </c>
      <c r="J399" s="32" t="n">
        <v>1.0</v>
      </c>
      <c r="K399" s="33" t="n">
        <f>68800</f>
        <v>68800.0</v>
      </c>
      <c r="L399" s="34" t="s">
        <v>48</v>
      </c>
      <c r="M399" s="33" t="n">
        <f>69900</f>
        <v>69900.0</v>
      </c>
      <c r="N399" s="34" t="s">
        <v>177</v>
      </c>
      <c r="O399" s="33" t="n">
        <f>64900</f>
        <v>64900.0</v>
      </c>
      <c r="P399" s="34" t="s">
        <v>176</v>
      </c>
      <c r="Q399" s="33" t="n">
        <f>69200</f>
        <v>69200.0</v>
      </c>
      <c r="R399" s="34" t="s">
        <v>51</v>
      </c>
      <c r="S399" s="35" t="n">
        <f>68395.24</f>
        <v>68395.24</v>
      </c>
      <c r="T399" s="32" t="n">
        <f>538036</f>
        <v>538036.0</v>
      </c>
      <c r="U399" s="32" t="n">
        <f>178206</f>
        <v>178206.0</v>
      </c>
      <c r="V399" s="32" t="n">
        <f>36732535154</f>
        <v>3.6732535154E10</v>
      </c>
      <c r="W399" s="32" t="n">
        <f>12179788954</f>
        <v>1.2179788954E10</v>
      </c>
      <c r="X399" s="36" t="n">
        <f>21</f>
        <v>21.0</v>
      </c>
    </row>
    <row r="400">
      <c r="A400" s="27" t="s">
        <v>42</v>
      </c>
      <c r="B400" s="27" t="s">
        <v>1246</v>
      </c>
      <c r="C400" s="27" t="s">
        <v>1247</v>
      </c>
      <c r="D400" s="27" t="s">
        <v>1248</v>
      </c>
      <c r="E400" s="28" t="s">
        <v>46</v>
      </c>
      <c r="F400" s="29" t="s">
        <v>46</v>
      </c>
      <c r="G400" s="30" t="s">
        <v>46</v>
      </c>
      <c r="H400" s="31"/>
      <c r="I400" s="31" t="s">
        <v>47</v>
      </c>
      <c r="J400" s="32" t="n">
        <v>1.0</v>
      </c>
      <c r="K400" s="33" t="n">
        <f>109000</f>
        <v>109000.0</v>
      </c>
      <c r="L400" s="34" t="s">
        <v>48</v>
      </c>
      <c r="M400" s="33" t="n">
        <f>110200</f>
        <v>110200.0</v>
      </c>
      <c r="N400" s="34" t="s">
        <v>157</v>
      </c>
      <c r="O400" s="33" t="n">
        <f>102100</f>
        <v>102100.0</v>
      </c>
      <c r="P400" s="34" t="s">
        <v>103</v>
      </c>
      <c r="Q400" s="33" t="n">
        <f>104300</f>
        <v>104300.0</v>
      </c>
      <c r="R400" s="34" t="s">
        <v>51</v>
      </c>
      <c r="S400" s="35" t="n">
        <f>105323.81</f>
        <v>105323.81</v>
      </c>
      <c r="T400" s="32" t="n">
        <f>138287</f>
        <v>138287.0</v>
      </c>
      <c r="U400" s="32" t="n">
        <f>28060</f>
        <v>28060.0</v>
      </c>
      <c r="V400" s="32" t="n">
        <f>14632535808</f>
        <v>1.4632535808E10</v>
      </c>
      <c r="W400" s="32" t="n">
        <f>2967769408</f>
        <v>2.967769408E9</v>
      </c>
      <c r="X400" s="36" t="n">
        <f>21</f>
        <v>21.0</v>
      </c>
    </row>
    <row r="401">
      <c r="A401" s="27" t="s">
        <v>42</v>
      </c>
      <c r="B401" s="27" t="s">
        <v>1249</v>
      </c>
      <c r="C401" s="27" t="s">
        <v>1250</v>
      </c>
      <c r="D401" s="27" t="s">
        <v>1251</v>
      </c>
      <c r="E401" s="28" t="s">
        <v>46</v>
      </c>
      <c r="F401" s="29" t="s">
        <v>46</v>
      </c>
      <c r="G401" s="30" t="s">
        <v>46</v>
      </c>
      <c r="H401" s="31"/>
      <c r="I401" s="31" t="s">
        <v>47</v>
      </c>
      <c r="J401" s="32" t="n">
        <v>1.0</v>
      </c>
      <c r="K401" s="33" t="n">
        <f>135400</f>
        <v>135400.0</v>
      </c>
      <c r="L401" s="34" t="s">
        <v>48</v>
      </c>
      <c r="M401" s="33" t="n">
        <f>136700</f>
        <v>136700.0</v>
      </c>
      <c r="N401" s="34" t="s">
        <v>48</v>
      </c>
      <c r="O401" s="33" t="n">
        <f>123100</f>
        <v>123100.0</v>
      </c>
      <c r="P401" s="34" t="s">
        <v>177</v>
      </c>
      <c r="Q401" s="33" t="n">
        <f>125400</f>
        <v>125400.0</v>
      </c>
      <c r="R401" s="34" t="s">
        <v>51</v>
      </c>
      <c r="S401" s="35" t="n">
        <f>128257.14</f>
        <v>128257.14</v>
      </c>
      <c r="T401" s="32" t="n">
        <f>91808</f>
        <v>91808.0</v>
      </c>
      <c r="U401" s="32" t="n">
        <f>22423</f>
        <v>22423.0</v>
      </c>
      <c r="V401" s="32" t="n">
        <f>11776893218</f>
        <v>1.1776893218E10</v>
      </c>
      <c r="W401" s="32" t="n">
        <f>2861819718</f>
        <v>2.861819718E9</v>
      </c>
      <c r="X401" s="36" t="n">
        <f>21</f>
        <v>21.0</v>
      </c>
    </row>
    <row r="402">
      <c r="A402" s="27" t="s">
        <v>42</v>
      </c>
      <c r="B402" s="27" t="s">
        <v>1252</v>
      </c>
      <c r="C402" s="27" t="s">
        <v>1253</v>
      </c>
      <c r="D402" s="27" t="s">
        <v>1254</v>
      </c>
      <c r="E402" s="28" t="s">
        <v>46</v>
      </c>
      <c r="F402" s="29" t="s">
        <v>46</v>
      </c>
      <c r="G402" s="30" t="s">
        <v>46</v>
      </c>
      <c r="H402" s="31"/>
      <c r="I402" s="31" t="s">
        <v>553</v>
      </c>
      <c r="J402" s="32" t="n">
        <v>1.0</v>
      </c>
      <c r="K402" s="33" t="n">
        <f>71800</f>
        <v>71800.0</v>
      </c>
      <c r="L402" s="34" t="s">
        <v>48</v>
      </c>
      <c r="M402" s="33" t="n">
        <f>71800</f>
        <v>71800.0</v>
      </c>
      <c r="N402" s="34" t="s">
        <v>48</v>
      </c>
      <c r="O402" s="33" t="n">
        <f>69200</f>
        <v>69200.0</v>
      </c>
      <c r="P402" s="34" t="s">
        <v>103</v>
      </c>
      <c r="Q402" s="33" t="n">
        <f>71000</f>
        <v>71000.0</v>
      </c>
      <c r="R402" s="34" t="s">
        <v>51</v>
      </c>
      <c r="S402" s="35" t="n">
        <f>70914.29</f>
        <v>70914.29</v>
      </c>
      <c r="T402" s="32" t="n">
        <f>2507</f>
        <v>2507.0</v>
      </c>
      <c r="U402" s="32" t="n">
        <f>11</f>
        <v>11.0</v>
      </c>
      <c r="V402" s="32" t="n">
        <f>177007300</f>
        <v>1.770073E8</v>
      </c>
      <c r="W402" s="32" t="n">
        <f>774100</f>
        <v>774100.0</v>
      </c>
      <c r="X402" s="36" t="n">
        <f>21</f>
        <v>21.0</v>
      </c>
    </row>
    <row r="403">
      <c r="A403" s="27" t="s">
        <v>42</v>
      </c>
      <c r="B403" s="27" t="s">
        <v>1255</v>
      </c>
      <c r="C403" s="27" t="s">
        <v>1256</v>
      </c>
      <c r="D403" s="27" t="s">
        <v>1257</v>
      </c>
      <c r="E403" s="28" t="s">
        <v>46</v>
      </c>
      <c r="F403" s="29" t="s">
        <v>46</v>
      </c>
      <c r="G403" s="30" t="s">
        <v>46</v>
      </c>
      <c r="H403" s="31"/>
      <c r="I403" s="31" t="s">
        <v>553</v>
      </c>
      <c r="J403" s="32" t="n">
        <v>1.0</v>
      </c>
      <c r="K403" s="33" t="n">
        <f>119100</f>
        <v>119100.0</v>
      </c>
      <c r="L403" s="34" t="s">
        <v>48</v>
      </c>
      <c r="M403" s="33" t="n">
        <f>119300</f>
        <v>119300.0</v>
      </c>
      <c r="N403" s="34" t="s">
        <v>48</v>
      </c>
      <c r="O403" s="33" t="n">
        <f>110600</f>
        <v>110600.0</v>
      </c>
      <c r="P403" s="34" t="s">
        <v>177</v>
      </c>
      <c r="Q403" s="33" t="n">
        <f>111900</f>
        <v>111900.0</v>
      </c>
      <c r="R403" s="34" t="s">
        <v>51</v>
      </c>
      <c r="S403" s="35" t="n">
        <f>115266.67</f>
        <v>115266.67</v>
      </c>
      <c r="T403" s="32" t="n">
        <f>41432</f>
        <v>41432.0</v>
      </c>
      <c r="U403" s="32" t="n">
        <f>255</f>
        <v>255.0</v>
      </c>
      <c r="V403" s="32" t="n">
        <f>4743683800</f>
        <v>4.7436838E9</v>
      </c>
      <c r="W403" s="32" t="n">
        <f>28650000</f>
        <v>2.865E7</v>
      </c>
      <c r="X403" s="36" t="n">
        <f>21</f>
        <v>21.0</v>
      </c>
    </row>
    <row r="404">
      <c r="A404" s="27" t="s">
        <v>42</v>
      </c>
      <c r="B404" s="27" t="s">
        <v>1258</v>
      </c>
      <c r="C404" s="27" t="s">
        <v>1259</v>
      </c>
      <c r="D404" s="27" t="s">
        <v>1260</v>
      </c>
      <c r="E404" s="28" t="s">
        <v>46</v>
      </c>
      <c r="F404" s="29" t="s">
        <v>46</v>
      </c>
      <c r="G404" s="30" t="s">
        <v>46</v>
      </c>
      <c r="H404" s="31"/>
      <c r="I404" s="31" t="s">
        <v>553</v>
      </c>
      <c r="J404" s="32" t="n">
        <v>1.0</v>
      </c>
      <c r="K404" s="33" t="n">
        <f>91500</f>
        <v>91500.0</v>
      </c>
      <c r="L404" s="34" t="s">
        <v>48</v>
      </c>
      <c r="M404" s="33" t="n">
        <f>91800</f>
        <v>91800.0</v>
      </c>
      <c r="N404" s="34" t="s">
        <v>48</v>
      </c>
      <c r="O404" s="33" t="n">
        <f>86000</f>
        <v>86000.0</v>
      </c>
      <c r="P404" s="34" t="s">
        <v>177</v>
      </c>
      <c r="Q404" s="33" t="n">
        <f>86700</f>
        <v>86700.0</v>
      </c>
      <c r="R404" s="34" t="s">
        <v>51</v>
      </c>
      <c r="S404" s="35" t="n">
        <f>89923.81</f>
        <v>89923.81</v>
      </c>
      <c r="T404" s="32" t="n">
        <f>14220</f>
        <v>14220.0</v>
      </c>
      <c r="U404" s="32" t="n">
        <f>25</f>
        <v>25.0</v>
      </c>
      <c r="V404" s="32" t="n">
        <f>1271592200</f>
        <v>1.2715922E9</v>
      </c>
      <c r="W404" s="32" t="n">
        <f>2227600</f>
        <v>2227600.0</v>
      </c>
      <c r="X404" s="36" t="n">
        <f>21</f>
        <v>21.0</v>
      </c>
    </row>
    <row r="405">
      <c r="A405" s="27" t="s">
        <v>42</v>
      </c>
      <c r="B405" s="27" t="s">
        <v>1261</v>
      </c>
      <c r="C405" s="27" t="s">
        <v>1262</v>
      </c>
      <c r="D405" s="27" t="s">
        <v>1263</v>
      </c>
      <c r="E405" s="28" t="s">
        <v>46</v>
      </c>
      <c r="F405" s="29" t="s">
        <v>46</v>
      </c>
      <c r="G405" s="30" t="s">
        <v>46</v>
      </c>
      <c r="H405" s="31"/>
      <c r="I405" s="31" t="s">
        <v>47</v>
      </c>
      <c r="J405" s="32" t="n">
        <v>1.0</v>
      </c>
      <c r="K405" s="33" t="n">
        <f>87200</f>
        <v>87200.0</v>
      </c>
      <c r="L405" s="34" t="s">
        <v>48</v>
      </c>
      <c r="M405" s="33" t="n">
        <f>87300</f>
        <v>87300.0</v>
      </c>
      <c r="N405" s="34" t="s">
        <v>48</v>
      </c>
      <c r="O405" s="33" t="n">
        <f>82100</f>
        <v>82100.0</v>
      </c>
      <c r="P405" s="34" t="s">
        <v>103</v>
      </c>
      <c r="Q405" s="33" t="n">
        <f>84900</f>
        <v>84900.0</v>
      </c>
      <c r="R405" s="34" t="s">
        <v>51</v>
      </c>
      <c r="S405" s="35" t="n">
        <f>85047.62</f>
        <v>85047.62</v>
      </c>
      <c r="T405" s="32" t="n">
        <f>110112</f>
        <v>110112.0</v>
      </c>
      <c r="U405" s="32" t="n">
        <f>72</f>
        <v>72.0</v>
      </c>
      <c r="V405" s="32" t="n">
        <f>9327564509</f>
        <v>9.327564509E9</v>
      </c>
      <c r="W405" s="32" t="n">
        <f>6075709</f>
        <v>6075709.0</v>
      </c>
      <c r="X405" s="36" t="n">
        <f>21</f>
        <v>21.0</v>
      </c>
    </row>
    <row r="406">
      <c r="A406" s="27" t="s">
        <v>42</v>
      </c>
      <c r="B406" s="27" t="s">
        <v>1264</v>
      </c>
      <c r="C406" s="27" t="s">
        <v>1265</v>
      </c>
      <c r="D406" s="27" t="s">
        <v>1266</v>
      </c>
      <c r="E406" s="28" t="s">
        <v>46</v>
      </c>
      <c r="F406" s="29" t="s">
        <v>46</v>
      </c>
      <c r="G406" s="30" t="s">
        <v>46</v>
      </c>
      <c r="H406" s="31"/>
      <c r="I406" s="31" t="s">
        <v>553</v>
      </c>
      <c r="J406" s="32" t="n">
        <v>1.0</v>
      </c>
      <c r="K406" s="33" t="n">
        <f>87500</f>
        <v>87500.0</v>
      </c>
      <c r="L406" s="34" t="s">
        <v>48</v>
      </c>
      <c r="M406" s="33" t="n">
        <f>87500</f>
        <v>87500.0</v>
      </c>
      <c r="N406" s="34" t="s">
        <v>48</v>
      </c>
      <c r="O406" s="33" t="n">
        <f>82400</f>
        <v>82400.0</v>
      </c>
      <c r="P406" s="34" t="s">
        <v>103</v>
      </c>
      <c r="Q406" s="33" t="n">
        <f>85600</f>
        <v>85600.0</v>
      </c>
      <c r="R406" s="34" t="s">
        <v>51</v>
      </c>
      <c r="S406" s="35" t="n">
        <f>85190.48</f>
        <v>85190.48</v>
      </c>
      <c r="T406" s="32" t="n">
        <f>87268</f>
        <v>87268.0</v>
      </c>
      <c r="U406" s="32" t="n">
        <f>22</f>
        <v>22.0</v>
      </c>
      <c r="V406" s="32" t="n">
        <f>7433290550</f>
        <v>7.43329055E9</v>
      </c>
      <c r="W406" s="32" t="n">
        <f>1871750</f>
        <v>1871750.0</v>
      </c>
      <c r="X406" s="36" t="n">
        <f>21</f>
        <v>21.0</v>
      </c>
    </row>
  </sheetData>
  <mergeCells count="3">
    <mergeCell ref="N1:X3"/>
    <mergeCell ref="A2:M2"/>
    <mergeCell ref="A3:M3"/>
  </mergeCells>
  <phoneticPr fontId="3"/>
  <printOptions horizontalCentered="1"/>
  <pageMargins bottom="0.59055118110236227" footer="0.27559055118110237" header="0.27559055118110237" left="0.39370078740157483" right="0.39370078740157483" top="0.39370078740157483"/>
  <pageSetup fitToHeight="0" orientation="landscape" paperSize="9" r:id="rId1" scale="32"/>
  <headerFooter>
    <oddFooter>&amp;C&amp;P/&amp;N&amp;RCopyright (c) Tokyo Stock Exchange,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BO_EM0004</vt:lpstr>
      <vt:lpstr>BO_EM0004!Print_Titles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2018-10-04T04:21:09Z</dcterms:created>
  <dcterms:modified xsi:type="dcterms:W3CDTF">2020-05-11T08:48:14Z</dcterms:modified>
</cp:coreProperties>
</file>