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<sst xmlns="http://schemas.openxmlformats.org/spreadsheetml/2006/main" count="4686" uniqueCount="1232">
  <si>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</si>
  <si>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</si>
  <si>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</si>
  <si>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</si>
  <si>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</si>
  <si>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</si>
  <si>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</si>
  <si>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</si>
  <si>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</si>
  <si>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</si>
  <si>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</si>
  <si>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</si>
  <si>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</si>
  <si>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</si>
  <si>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</si>
  <si>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</si>
  <si>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</si>
  <si>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</si>
  <si>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</si>
  <si>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</si>
  <si>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</si>
  <si>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</si>
  <si>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</si>
  <si>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</si>
  <si>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</si>
  <si>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</si>
  <si>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</si>
  <si>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</si>
  <si>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</si>
  <si>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</si>
  <si>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</si>
  <si>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</si>
  <si>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</si>
  <si>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</si>
  <si>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</si>
  <si>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</si>
  <si>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</si>
  <si>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</si>
  <si>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</si>
  <si>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</si>
  <si>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</si>
  <si>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</si>
  <si>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2023/07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</si>
  <si>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</si>
  <si>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</si>
  <si>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</si>
  <si>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</si>
  <si>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</si>
  <si>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3</t>
  </si>
  <si>
    <t>12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</si>
  <si>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</si>
  <si>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</si>
  <si>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</si>
  <si>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</si>
  <si>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</si>
  <si>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</si>
  <si>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</si>
  <si>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</si>
  <si>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</si>
  <si>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</si>
  <si>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19</t>
  </si>
  <si>
    <t>1311</t>
  </si>
  <si>
    <t>ＮＥＸＴ　ＦＵＮＤＳ　ＴＯＰＩＸ　Ｃｏｒｅ　３０連動型上場投信　受益証券</t>
  </si>
  <si>
    <t>NEXT FUNDS TOPIX Core 30 Exchange Traded Fund</t>
  </si>
  <si>
    <t>13</t>
  </si>
  <si>
    <t>1319</t>
  </si>
  <si>
    <t>ＮＥＸＴ　ＦＵＮＤＳ　日経３００株価指数連動型上場投信　受益証券</t>
  </si>
  <si>
    <t>NEXT FUNDS Nikkei 300 Index Exchange Traded Fund</t>
  </si>
  <si>
    <t>24</t>
  </si>
  <si>
    <t>10</t>
  </si>
  <si>
    <t>25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</si>
  <si>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</si>
  <si>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</si>
  <si>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</si>
  <si>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</si>
  <si>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</si>
  <si>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</si>
  <si>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</si>
  <si>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</si>
  <si>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</si>
  <si>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</si>
  <si>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</si>
  <si>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</si>
  <si>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</si>
  <si>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</si>
  <si>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</si>
  <si>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4</t>
  </si>
  <si>
    <t>1326</t>
  </si>
  <si>
    <t>ＳＰＤＲゴールド・シェア　受益証券</t>
  </si>
  <si>
    <t>SPDR Gold Shares</t>
  </si>
  <si>
    <t>5</t>
  </si>
  <si>
    <t>14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</si>
  <si>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</si>
  <si>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</si>
  <si>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</si>
  <si>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</si>
  <si>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</si>
  <si>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</si>
  <si>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</si>
  <si>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</si>
  <si>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</si>
  <si>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</si>
  <si>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　指数連動型上場投信　受益証券</t>
  </si>
  <si>
    <t>NEXT FUNDS REIT INDEX ETF</t>
  </si>
  <si>
    <t>27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</si>
  <si>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</si>
  <si>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</si>
  <si>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</si>
  <si>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</si>
  <si>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</si>
  <si>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</si>
  <si>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</si>
  <si>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</si>
  <si>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</si>
  <si>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</si>
  <si>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</si>
  <si>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</si>
  <si>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28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</si>
  <si>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</si>
  <si>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</si>
  <si>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</si>
  <si>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</si>
  <si>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</si>
  <si>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</si>
  <si>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</si>
  <si>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</si>
  <si>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</si>
  <si>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</si>
  <si>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</si>
  <si>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</si>
  <si>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</si>
  <si>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</si>
  <si>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</si>
  <si>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</si>
  <si>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</si>
  <si>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</si>
  <si>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</si>
  <si>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</si>
  <si>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</si>
  <si>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</si>
  <si>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</si>
  <si>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</si>
  <si>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</si>
  <si>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</si>
  <si>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</si>
  <si>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</si>
  <si>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</si>
  <si>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</si>
  <si>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</si>
  <si>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</si>
  <si>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</si>
  <si>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 xml:space="preserve">上場廃止  </t>
  </si>
  <si>
    <t xml:space="preserve">Removal  </t>
  </si>
  <si>
    <t xml:space="preserve">2023/07/21  </t>
  </si>
  <si>
    <t>整</t>
  </si>
  <si>
    <t>20</t>
  </si>
  <si>
    <t>1386</t>
  </si>
  <si>
    <t>ＵＢＳ　ＥＴＦ　欧州株（ＭＳＣＩヨーロッパ）　受益証券</t>
  </si>
  <si>
    <t>UBS ETF MSCI Europe UCITS ETF-JDR</t>
  </si>
  <si>
    <t>11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</si>
  <si>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</si>
  <si>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</si>
  <si>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</si>
  <si>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</si>
  <si>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</si>
  <si>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</si>
  <si>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</si>
  <si>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</si>
  <si>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</si>
  <si>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</si>
  <si>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</si>
  <si>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</si>
  <si>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</si>
  <si>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</si>
  <si>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</si>
  <si>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</si>
  <si>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</si>
  <si>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</si>
  <si>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</si>
  <si>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</si>
  <si>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</si>
  <si>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</si>
  <si>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</si>
  <si>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</si>
  <si>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6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</si>
  <si>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</si>
  <si>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</si>
  <si>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</si>
  <si>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</si>
  <si>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</si>
  <si>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</si>
  <si>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</si>
  <si>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</si>
  <si>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</si>
  <si>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</si>
  <si>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</si>
  <si>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</si>
  <si>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</si>
  <si>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</si>
  <si>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</si>
  <si>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</si>
  <si>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</si>
  <si>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</si>
  <si>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</si>
  <si>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</si>
  <si>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</si>
  <si>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</si>
  <si>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</si>
  <si>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</si>
  <si>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</si>
  <si>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</si>
  <si>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</si>
  <si>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</si>
  <si>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</si>
  <si>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</si>
  <si>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</si>
  <si>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</si>
  <si>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</si>
  <si>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</si>
  <si>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</si>
  <si>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</si>
  <si>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</si>
  <si>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</si>
  <si>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</si>
  <si>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</si>
  <si>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</si>
  <si>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</si>
  <si>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18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</si>
  <si>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</si>
  <si>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</si>
  <si>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</si>
  <si>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</si>
  <si>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</si>
  <si>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</si>
  <si>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</si>
  <si>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</si>
  <si>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</si>
  <si>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</si>
  <si>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</si>
  <si>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</si>
  <si>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</si>
  <si>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</si>
  <si>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</si>
  <si>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</si>
  <si>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</si>
  <si>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</si>
  <si>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</si>
  <si>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</si>
  <si>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</si>
  <si>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</si>
  <si>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</si>
  <si>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</si>
  <si>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</si>
  <si>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</si>
  <si>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</si>
  <si>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</si>
  <si>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</si>
  <si>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</si>
  <si>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</si>
  <si>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</si>
  <si>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</si>
  <si>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</si>
  <si>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</si>
  <si>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</si>
  <si>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</si>
  <si>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</si>
  <si>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</si>
  <si>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7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</si>
  <si>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</si>
  <si>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</si>
  <si>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</si>
  <si>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</si>
  <si>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</si>
  <si>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</si>
  <si>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</si>
  <si>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</si>
  <si>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</si>
  <si>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</si>
  <si>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</si>
  <si>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</si>
  <si>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</si>
  <si>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</si>
  <si>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</si>
  <si>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</si>
  <si>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</si>
  <si>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</si>
  <si>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</si>
  <si>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</si>
  <si>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</si>
  <si>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</si>
  <si>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</si>
  <si>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</si>
  <si>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</si>
  <si>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</si>
  <si>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</si>
  <si>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</si>
  <si>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</si>
  <si>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</si>
  <si>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</si>
  <si>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</si>
  <si>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</si>
  <si>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21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</si>
  <si>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</si>
  <si>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</si>
  <si>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</si>
  <si>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</si>
  <si>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</si>
  <si>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</si>
  <si>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</si>
  <si>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</si>
  <si>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</si>
  <si>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</si>
  <si>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</si>
  <si>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</si>
  <si>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</si>
  <si>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</si>
  <si>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</si>
  <si>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</si>
  <si>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</si>
  <si>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</si>
  <si>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</si>
  <si>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</si>
  <si>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</si>
  <si>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</si>
  <si>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</si>
  <si>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</si>
  <si>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</si>
  <si>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</si>
  <si>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</si>
  <si>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</si>
  <si>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</si>
  <si>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</si>
  <si>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</si>
  <si>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</si>
  <si>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</si>
  <si>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</si>
  <si>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</si>
  <si>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</si>
  <si>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</si>
  <si>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</si>
  <si>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</si>
  <si>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</si>
  <si>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</si>
  <si>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</si>
  <si>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</si>
  <si>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</si>
  <si>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</si>
  <si>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</si>
  <si>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</si>
  <si>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</si>
  <si>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</si>
  <si>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</si>
  <si>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</si>
  <si>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</si>
  <si>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</si>
  <si>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</si>
  <si>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</si>
  <si>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</si>
  <si>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</si>
  <si>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</si>
  <si>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</si>
  <si>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</si>
  <si>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</si>
  <si>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</si>
  <si>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</si>
  <si>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</si>
  <si>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</si>
  <si>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</si>
  <si>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</si>
  <si>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</si>
  <si>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</si>
  <si>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</si>
  <si>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</si>
  <si>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</si>
  <si>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</si>
  <si>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</si>
  <si>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</si>
  <si>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</si>
  <si>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</si>
  <si>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</si>
  <si>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</si>
  <si>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</si>
  <si>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</si>
  <si>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</si>
  <si>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</si>
  <si>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</si>
  <si>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</si>
  <si>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</si>
  <si>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</si>
  <si>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</si>
  <si>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</si>
  <si>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</si>
  <si>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</si>
  <si>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</si>
  <si>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</si>
  <si>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</si>
  <si>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</si>
  <si>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</si>
  <si>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</si>
  <si>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</si>
  <si>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</si>
  <si>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</si>
  <si>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</si>
  <si>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</si>
  <si>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</si>
  <si>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</si>
  <si>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</si>
  <si>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</si>
  <si>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</si>
  <si>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</si>
  <si>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</si>
  <si>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</si>
  <si>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</si>
  <si>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</si>
  <si>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</si>
  <si>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</si>
  <si>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</si>
  <si>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</si>
  <si>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</si>
  <si>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</si>
  <si>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</si>
  <si>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</si>
  <si>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</si>
  <si>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</si>
  <si>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</si>
  <si>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</si>
  <si>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</si>
  <si>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</si>
  <si>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</si>
  <si>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</si>
  <si>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</si>
  <si>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</si>
  <si>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</si>
  <si>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</si>
  <si>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</si>
  <si>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</si>
  <si>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</si>
  <si>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</si>
  <si>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</si>
  <si>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</si>
  <si>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</si>
  <si>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</si>
  <si>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</si>
  <si>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</si>
  <si>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</si>
  <si>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</si>
  <si>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</si>
  <si>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</si>
  <si>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</si>
  <si>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</si>
  <si>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</si>
  <si>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</si>
  <si>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</si>
  <si>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</si>
  <si>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</si>
  <si>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</si>
  <si>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</si>
  <si>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</si>
  <si>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</si>
  <si>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</si>
  <si>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</si>
  <si>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</si>
  <si>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</si>
  <si>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</si>
  <si>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</si>
  <si>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</si>
  <si>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</si>
  <si>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</si>
  <si>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</si>
  <si>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</si>
  <si>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</si>
  <si>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</si>
  <si>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</si>
  <si>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</si>
  <si>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</si>
  <si>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</si>
  <si>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</si>
  <si>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</si>
  <si>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</si>
  <si>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</si>
  <si>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</si>
  <si>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</si>
  <si>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</si>
  <si>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</si>
  <si>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</si>
  <si>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</si>
  <si>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</si>
  <si>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</si>
  <si>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</si>
  <si>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</si>
  <si>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</si>
  <si>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</si>
  <si>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</si>
  <si>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</si>
  <si>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</si>
  <si>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</si>
  <si>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</si>
  <si>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</si>
  <si>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</si>
  <si>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</si>
  <si>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</si>
  <si>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</si>
  <si>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</si>
  <si>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</si>
  <si>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</si>
  <si>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</si>
  <si>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</si>
  <si>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</si>
  <si>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</si>
  <si>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</si>
  <si>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</si>
  <si>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</si>
  <si>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</si>
  <si>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26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</si>
  <si>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</si>
  <si>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</si>
  <si>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</si>
  <si>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</si>
  <si>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</si>
  <si>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</si>
  <si>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</si>
  <si>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</si>
  <si>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</si>
  <si>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</si>
  <si>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</si>
  <si>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</si>
  <si>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</si>
  <si>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</si>
  <si>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</si>
  <si>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</si>
  <si>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</si>
  <si>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</si>
  <si>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</si>
  <si>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</si>
  <si>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</si>
  <si>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</si>
  <si>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</si>
  <si>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</si>
  <si>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</si>
  <si>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</si>
  <si>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</si>
  <si>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</si>
  <si>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</si>
  <si>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</si>
  <si>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</si>
  <si>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</si>
  <si>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</si>
  <si>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</si>
  <si>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</si>
  <si>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</si>
  <si>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</si>
  <si>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</si>
  <si>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</si>
  <si>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</si>
  <si>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</si>
  <si>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</si>
  <si>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</si>
  <si>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</si>
  <si>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</si>
  <si>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</si>
  <si>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</si>
  <si>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</si>
  <si>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</si>
  <si>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</si>
  <si>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</si>
  <si>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</si>
  <si>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</si>
  <si>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</si>
  <si>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</si>
  <si>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</si>
  <si>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</si>
  <si>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</si>
  <si>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</si>
  <si>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</si>
  <si>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</si>
  <si>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</si>
  <si>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</si>
  <si>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</si>
  <si>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</si>
  <si>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</si>
  <si>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</si>
  <si>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</si>
  <si>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</si>
  <si>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</si>
  <si>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</si>
  <si>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</si>
  <si>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</si>
  <si>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</si>
  <si>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</si>
  <si>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</si>
  <si>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</si>
  <si>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</si>
  <si>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</si>
  <si>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</si>
  <si>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</si>
  <si>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</si>
  <si>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</si>
  <si>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</si>
  <si>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</si>
  <si>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</si>
  <si>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</si>
  <si>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</si>
  <si>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</si>
  <si>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</si>
  <si>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</si>
  <si>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</si>
  <si>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</si>
  <si>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</si>
  <si>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</si>
  <si>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</si>
  <si>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</si>
  <si>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</si>
  <si>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</si>
  <si>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</si>
  <si>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</si>
  <si>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</si>
  <si>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</si>
  <si>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</si>
  <si>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</si>
  <si>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</si>
  <si>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</si>
  <si>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</si>
  <si>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</si>
  <si>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</si>
  <si>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</si>
  <si>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</si>
  <si>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</si>
  <si>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</si>
  <si>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</si>
  <si>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</si>
  <si>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</si>
  <si>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</si>
  <si>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</si>
  <si>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</si>
  <si>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</si>
  <si>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</si>
  <si>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</si>
  <si>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</si>
  <si>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</si>
  <si>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</si>
  <si>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</si>
  <si>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</si>
  <si>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</si>
  <si>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</si>
  <si>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</si>
  <si>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</si>
  <si>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</si>
  <si>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</si>
  <si>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</si>
  <si>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</si>
  <si>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</si>
  <si>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</si>
  <si>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</si>
  <si>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</si>
  <si>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</si>
  <si>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</si>
  <si>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</si>
  <si>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</si>
  <si>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</si>
  <si>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</si>
  <si>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</si>
  <si>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</si>
  <si>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</si>
  <si>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</si>
  <si>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</si>
  <si>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</si>
  <si>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</si>
  <si>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</si>
  <si>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</si>
  <si>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</si>
  <si>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</si>
  <si>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</si>
  <si>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</si>
  <si>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</si>
  <si>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</si>
  <si>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</si>
  <si>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</si>
  <si>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</si>
  <si>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</si>
  <si>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</si>
  <si>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</si>
  <si>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</si>
  <si>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</si>
  <si>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</si>
  <si>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</si>
  <si>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</si>
  <si>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</si>
  <si>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</si>
  <si>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</si>
  <si>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</si>
  <si>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</si>
  <si>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</si>
  <si>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</si>
  <si>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</si>
  <si>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</si>
  <si>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</si>
  <si>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</si>
  <si>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</si>
  <si>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</si>
  <si>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</si>
  <si>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</si>
  <si>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</si>
  <si>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</si>
  <si>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</si>
  <si>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</si>
  <si>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</si>
  <si>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</si>
  <si>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</si>
  <si>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</si>
  <si>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</si>
  <si>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</si>
  <si>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</si>
  <si>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</si>
  <si>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</si>
  <si>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</si>
  <si>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</si>
  <si>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 xml:space="preserve">新規上場  </t>
  </si>
  <si>
    <t xml:space="preserve">New Listing  </t>
  </si>
  <si>
    <t xml:space="preserve">2023/07/13  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</si>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</sst>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9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2467.5</f>
        <v>2467.5</v>
      </c>
      <c r="L7" s="34" t="s">
        <v>48</v>
      </c>
      <c r="M7" s="33" t="n">
        <f>2484.5</f>
        <v>2484.5</v>
      </c>
      <c r="N7" s="34" t="s">
        <v>48</v>
      </c>
      <c r="O7" s="33" t="n">
        <f>2318.5</f>
        <v>2318.5</v>
      </c>
      <c r="P7" s="34" t="s">
        <v>49</v>
      </c>
      <c r="Q7" s="33" t="n">
        <f>2428.5</f>
        <v>2428.5</v>
      </c>
      <c r="R7" s="34" t="s">
        <v>50</v>
      </c>
      <c r="S7" s="35" t="n">
        <f>2389.03</f>
        <v>2389.03</v>
      </c>
      <c r="T7" s="32" t="n">
        <f>6307140</f>
        <v>6307140.0</v>
      </c>
      <c r="U7" s="32" t="n">
        <f>744160</f>
        <v>744160.0</v>
      </c>
      <c r="V7" s="32" t="n">
        <f>15087515474</f>
        <v>1.5087515474E10</v>
      </c>
      <c r="W7" s="32" t="n">
        <f>1765598394</f>
        <v>1.765598394E9</v>
      </c>
      <c r="X7" s="36" t="n">
        <f>20</f>
        <v>20.0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2439</f>
        <v>2439.0</v>
      </c>
      <c r="L8" s="34" t="s">
        <v>48</v>
      </c>
      <c r="M8" s="33" t="n">
        <f>2457.5</f>
        <v>2457.5</v>
      </c>
      <c r="N8" s="34" t="s">
        <v>48</v>
      </c>
      <c r="O8" s="33" t="n">
        <f>2293.5</f>
        <v>2293.5</v>
      </c>
      <c r="P8" s="34" t="s">
        <v>49</v>
      </c>
      <c r="Q8" s="33" t="n">
        <f>2401</f>
        <v>2401.0</v>
      </c>
      <c r="R8" s="34" t="s">
        <v>50</v>
      </c>
      <c r="S8" s="35" t="n">
        <f>2362.95</f>
        <v>2362.95</v>
      </c>
      <c r="T8" s="32" t="n">
        <f>41301460</f>
        <v>4.130146E7</v>
      </c>
      <c r="U8" s="32" t="n">
        <f>1716410</f>
        <v>1716410.0</v>
      </c>
      <c r="V8" s="32" t="n">
        <f>97805518521</f>
        <v>9.7805518521E10</v>
      </c>
      <c r="W8" s="32" t="n">
        <f>4093735561</f>
        <v>4.093735561E9</v>
      </c>
      <c r="X8" s="36" t="n">
        <f>20</f>
        <v>20.0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2412</f>
        <v>2412.0</v>
      </c>
      <c r="L9" s="34" t="s">
        <v>48</v>
      </c>
      <c r="M9" s="33" t="n">
        <f>2428.5</f>
        <v>2428.5</v>
      </c>
      <c r="N9" s="34" t="s">
        <v>48</v>
      </c>
      <c r="O9" s="33" t="n">
        <f>2267</f>
        <v>2267.0</v>
      </c>
      <c r="P9" s="34" t="s">
        <v>49</v>
      </c>
      <c r="Q9" s="33" t="n">
        <f>2373</f>
        <v>2373.0</v>
      </c>
      <c r="R9" s="34" t="s">
        <v>50</v>
      </c>
      <c r="S9" s="35" t="n">
        <f>2332.98</f>
        <v>2332.98</v>
      </c>
      <c r="T9" s="32" t="n">
        <f>14864378</f>
        <v>1.4864378E7</v>
      </c>
      <c r="U9" s="32" t="n">
        <f>2399305</f>
        <v>2399305.0</v>
      </c>
      <c r="V9" s="32" t="n">
        <f>34629245753</f>
        <v>3.4629245753E10</v>
      </c>
      <c r="W9" s="32" t="n">
        <f>5593567340</f>
        <v>5.59356734E9</v>
      </c>
      <c r="X9" s="36" t="n">
        <f>20</f>
        <v>20.0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39000</f>
        <v>39000.0</v>
      </c>
      <c r="L10" s="34" t="s">
        <v>48</v>
      </c>
      <c r="M10" s="33" t="n">
        <f>41700</f>
        <v>41700.0</v>
      </c>
      <c r="N10" s="34" t="s">
        <v>50</v>
      </c>
      <c r="O10" s="33" t="n">
        <f>37990</f>
        <v>37990.0</v>
      </c>
      <c r="P10" s="34" t="s">
        <v>60</v>
      </c>
      <c r="Q10" s="33" t="n">
        <f>40950</f>
        <v>40950.0</v>
      </c>
      <c r="R10" s="34" t="s">
        <v>50</v>
      </c>
      <c r="S10" s="35" t="n">
        <f>38966</f>
        <v>38966.0</v>
      </c>
      <c r="T10" s="32" t="n">
        <f>4983</f>
        <v>4983.0</v>
      </c>
      <c r="U10" s="32" t="n">
        <f>7</f>
        <v>7.0</v>
      </c>
      <c r="V10" s="32" t="n">
        <f>196537250</f>
        <v>1.9653725E8</v>
      </c>
      <c r="W10" s="32" t="n">
        <f>270410</f>
        <v>270410.0</v>
      </c>
      <c r="X10" s="36" t="n">
        <f>20</f>
        <v>20.0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1173</f>
        <v>1173.0</v>
      </c>
      <c r="L11" s="34" t="s">
        <v>48</v>
      </c>
      <c r="M11" s="33" t="n">
        <f>1182.5</f>
        <v>1182.5</v>
      </c>
      <c r="N11" s="34" t="s">
        <v>48</v>
      </c>
      <c r="O11" s="33" t="n">
        <f>1097</f>
        <v>1097.0</v>
      </c>
      <c r="P11" s="34" t="s">
        <v>64</v>
      </c>
      <c r="Q11" s="33" t="n">
        <f>1154</f>
        <v>1154.0</v>
      </c>
      <c r="R11" s="34" t="s">
        <v>50</v>
      </c>
      <c r="S11" s="35" t="n">
        <f>1138.53</f>
        <v>1138.53</v>
      </c>
      <c r="T11" s="32" t="n">
        <f>214180</f>
        <v>214180.0</v>
      </c>
      <c r="U11" s="32" t="n">
        <f>50</f>
        <v>50.0</v>
      </c>
      <c r="V11" s="32" t="n">
        <f>243295730</f>
        <v>2.4329573E8</v>
      </c>
      <c r="W11" s="32" t="n">
        <f>56250</f>
        <v>56250.0</v>
      </c>
      <c r="X11" s="36" t="n">
        <f>20</f>
        <v>20.0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380</f>
        <v>380.0</v>
      </c>
      <c r="L12" s="34" t="s">
        <v>48</v>
      </c>
      <c r="M12" s="33" t="n">
        <f>398.7</f>
        <v>398.7</v>
      </c>
      <c r="N12" s="34" t="s">
        <v>68</v>
      </c>
      <c r="O12" s="33" t="n">
        <f>370.6</f>
        <v>370.6</v>
      </c>
      <c r="P12" s="34" t="s">
        <v>69</v>
      </c>
      <c r="Q12" s="33" t="n">
        <f>393.8</f>
        <v>393.8</v>
      </c>
      <c r="R12" s="34" t="s">
        <v>70</v>
      </c>
      <c r="S12" s="35" t="n">
        <f>385.26</f>
        <v>385.26</v>
      </c>
      <c r="T12" s="32" t="n">
        <f>107000</f>
        <v>107000.0</v>
      </c>
      <c r="U12" s="32" t="str">
        <f>"－"</f>
        <v>－</v>
      </c>
      <c r="V12" s="32" t="n">
        <f>41136600</f>
        <v>4.11366E7</v>
      </c>
      <c r="W12" s="32" t="str">
        <f>"－"</f>
        <v>－</v>
      </c>
      <c r="X12" s="36" t="n">
        <f>15</f>
        <v>15.0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34980</f>
        <v>34980.0</v>
      </c>
      <c r="L13" s="34" t="s">
        <v>48</v>
      </c>
      <c r="M13" s="33" t="n">
        <f>35210</f>
        <v>35210.0</v>
      </c>
      <c r="N13" s="34" t="s">
        <v>48</v>
      </c>
      <c r="O13" s="33" t="n">
        <f>32560</f>
        <v>32560.0</v>
      </c>
      <c r="P13" s="34" t="s">
        <v>49</v>
      </c>
      <c r="Q13" s="33" t="n">
        <f>33990</f>
        <v>33990.0</v>
      </c>
      <c r="R13" s="34" t="s">
        <v>50</v>
      </c>
      <c r="S13" s="35" t="n">
        <f>33613.5</f>
        <v>33613.5</v>
      </c>
      <c r="T13" s="32" t="n">
        <f>2313718</f>
        <v>2313718.0</v>
      </c>
      <c r="U13" s="32" t="n">
        <f>1047266</f>
        <v>1047266.0</v>
      </c>
      <c r="V13" s="32" t="n">
        <f>78396829285</f>
        <v>7.8396829285E10</v>
      </c>
      <c r="W13" s="32" t="n">
        <f>35588931875</f>
        <v>3.5588931875E10</v>
      </c>
      <c r="X13" s="36" t="n">
        <f>20</f>
        <v>20.0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35060</f>
        <v>35060.0</v>
      </c>
      <c r="L14" s="34" t="s">
        <v>48</v>
      </c>
      <c r="M14" s="33" t="n">
        <f>35320</f>
        <v>35320.0</v>
      </c>
      <c r="N14" s="34" t="s">
        <v>48</v>
      </c>
      <c r="O14" s="33" t="n">
        <f>32680</f>
        <v>32680.0</v>
      </c>
      <c r="P14" s="34" t="s">
        <v>49</v>
      </c>
      <c r="Q14" s="33" t="n">
        <f>34110</f>
        <v>34110.0</v>
      </c>
      <c r="R14" s="34" t="s">
        <v>50</v>
      </c>
      <c r="S14" s="35" t="n">
        <f>33713.5</f>
        <v>33713.5</v>
      </c>
      <c r="T14" s="32" t="n">
        <f>7824378</f>
        <v>7824378.0</v>
      </c>
      <c r="U14" s="32" t="n">
        <f>793908</f>
        <v>793908.0</v>
      </c>
      <c r="V14" s="32" t="n">
        <f>263375469921</f>
        <v>2.63375469921E11</v>
      </c>
      <c r="W14" s="32" t="n">
        <f>26513751481</f>
        <v>2.6513751481E10</v>
      </c>
      <c r="X14" s="36" t="n">
        <f>20</f>
        <v>20.0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7627</f>
        <v>7627.0</v>
      </c>
      <c r="L15" s="34" t="s">
        <v>48</v>
      </c>
      <c r="M15" s="33" t="n">
        <f>8130</f>
        <v>8130.0</v>
      </c>
      <c r="N15" s="34" t="s">
        <v>50</v>
      </c>
      <c r="O15" s="33" t="n">
        <f>7450</f>
        <v>7450.0</v>
      </c>
      <c r="P15" s="34" t="s">
        <v>60</v>
      </c>
      <c r="Q15" s="33" t="n">
        <f>8039</f>
        <v>8039.0</v>
      </c>
      <c r="R15" s="34" t="s">
        <v>50</v>
      </c>
      <c r="S15" s="35" t="n">
        <f>7654.8</f>
        <v>7654.8</v>
      </c>
      <c r="T15" s="32" t="n">
        <f>12680</f>
        <v>12680.0</v>
      </c>
      <c r="U15" s="32" t="str">
        <f>"－"</f>
        <v>－</v>
      </c>
      <c r="V15" s="32" t="n">
        <f>98063410</f>
        <v>9.806341E7</v>
      </c>
      <c r="W15" s="32" t="str">
        <f>"－"</f>
        <v>－</v>
      </c>
      <c r="X15" s="36" t="n">
        <f>20</f>
        <v>20.0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242</f>
        <v>242.0</v>
      </c>
      <c r="L17" s="34" t="s">
        <v>48</v>
      </c>
      <c r="M17" s="33" t="n">
        <f>255</f>
        <v>255.0</v>
      </c>
      <c r="N17" s="34" t="s">
        <v>86</v>
      </c>
      <c r="O17" s="33" t="n">
        <f>214.3</f>
        <v>214.3</v>
      </c>
      <c r="P17" s="34" t="s">
        <v>64</v>
      </c>
      <c r="Q17" s="33" t="n">
        <f>236.9</f>
        <v>236.9</v>
      </c>
      <c r="R17" s="34" t="s">
        <v>50</v>
      </c>
      <c r="S17" s="35" t="n">
        <f>228.76</f>
        <v>228.76</v>
      </c>
      <c r="T17" s="32" t="n">
        <f>1718800</f>
        <v>1718800.0</v>
      </c>
      <c r="U17" s="32" t="n">
        <f>200</f>
        <v>200.0</v>
      </c>
      <c r="V17" s="32" t="n">
        <f>400946530</f>
        <v>4.0094653E8</v>
      </c>
      <c r="W17" s="32" t="n">
        <f>47730</f>
        <v>47730.0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25710</f>
        <v>25710.0</v>
      </c>
      <c r="L18" s="34" t="s">
        <v>48</v>
      </c>
      <c r="M18" s="33" t="n">
        <f>25875</f>
        <v>25875.0</v>
      </c>
      <c r="N18" s="34" t="s">
        <v>90</v>
      </c>
      <c r="O18" s="33" t="n">
        <f>25020</f>
        <v>25020.0</v>
      </c>
      <c r="P18" s="34" t="s">
        <v>91</v>
      </c>
      <c r="Q18" s="33" t="n">
        <f>25745</f>
        <v>25745.0</v>
      </c>
      <c r="R18" s="34" t="s">
        <v>50</v>
      </c>
      <c r="S18" s="35" t="n">
        <f>25540.75</f>
        <v>25540.75</v>
      </c>
      <c r="T18" s="32" t="n">
        <f>120315</f>
        <v>120315.0</v>
      </c>
      <c r="U18" s="32" t="str">
        <f>"－"</f>
        <v>－</v>
      </c>
      <c r="V18" s="32" t="n">
        <f>3066071505</f>
        <v>3.066071505E9</v>
      </c>
      <c r="W18" s="32" t="str">
        <f>"－"</f>
        <v>－</v>
      </c>
      <c r="X18" s="36" t="n">
        <f>20</f>
        <v>20.0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6858</f>
        <v>6858.0</v>
      </c>
      <c r="L19" s="34" t="s">
        <v>48</v>
      </c>
      <c r="M19" s="33" t="n">
        <f>6905</f>
        <v>6905.0</v>
      </c>
      <c r="N19" s="34" t="s">
        <v>90</v>
      </c>
      <c r="O19" s="33" t="n">
        <f>6684</f>
        <v>6684.0</v>
      </c>
      <c r="P19" s="34" t="s">
        <v>91</v>
      </c>
      <c r="Q19" s="33" t="n">
        <f>6867</f>
        <v>6867.0</v>
      </c>
      <c r="R19" s="34" t="s">
        <v>50</v>
      </c>
      <c r="S19" s="35" t="n">
        <f>6820.4</f>
        <v>6820.4</v>
      </c>
      <c r="T19" s="32" t="n">
        <f>261500</f>
        <v>261500.0</v>
      </c>
      <c r="U19" s="32" t="n">
        <f>190</f>
        <v>190.0</v>
      </c>
      <c r="V19" s="32" t="n">
        <f>1777166950</f>
        <v>1.77716695E9</v>
      </c>
      <c r="W19" s="32" t="n">
        <f>1294000</f>
        <v>1294000.0</v>
      </c>
      <c r="X19" s="36" t="n">
        <f>20</f>
        <v>20.0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34970</f>
        <v>34970.0</v>
      </c>
      <c r="L20" s="34" t="s">
        <v>48</v>
      </c>
      <c r="M20" s="33" t="n">
        <f>35200</f>
        <v>35200.0</v>
      </c>
      <c r="N20" s="34" t="s">
        <v>48</v>
      </c>
      <c r="O20" s="33" t="n">
        <f>33140</f>
        <v>33140.0</v>
      </c>
      <c r="P20" s="34" t="s">
        <v>49</v>
      </c>
      <c r="Q20" s="33" t="n">
        <f>34590</f>
        <v>34590.0</v>
      </c>
      <c r="R20" s="34" t="s">
        <v>50</v>
      </c>
      <c r="S20" s="35" t="n">
        <f>34088.5</f>
        <v>34088.5</v>
      </c>
      <c r="T20" s="32" t="n">
        <f>1331100</f>
        <v>1331100.0</v>
      </c>
      <c r="U20" s="32" t="n">
        <f>404575</f>
        <v>404575.0</v>
      </c>
      <c r="V20" s="32" t="n">
        <f>45417296849</f>
        <v>4.5417296849E10</v>
      </c>
      <c r="W20" s="32" t="n">
        <f>13911768049</f>
        <v>1.3911768049E10</v>
      </c>
      <c r="X20" s="36" t="n">
        <f>20</f>
        <v>20.0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35090</f>
        <v>35090.0</v>
      </c>
      <c r="L21" s="34" t="s">
        <v>48</v>
      </c>
      <c r="M21" s="33" t="n">
        <f>35330</f>
        <v>35330.0</v>
      </c>
      <c r="N21" s="34" t="s">
        <v>48</v>
      </c>
      <c r="O21" s="33" t="n">
        <f>32720</f>
        <v>32720.0</v>
      </c>
      <c r="P21" s="34" t="s">
        <v>49</v>
      </c>
      <c r="Q21" s="33" t="n">
        <f>34150</f>
        <v>34150.0</v>
      </c>
      <c r="R21" s="34" t="s">
        <v>50</v>
      </c>
      <c r="S21" s="35" t="n">
        <f>33743.5</f>
        <v>33743.5</v>
      </c>
      <c r="T21" s="32" t="n">
        <f>1494712</f>
        <v>1494712.0</v>
      </c>
      <c r="U21" s="32" t="n">
        <f>848740</f>
        <v>848740.0</v>
      </c>
      <c r="V21" s="32" t="n">
        <f>51596834615</f>
        <v>5.1596834615E10</v>
      </c>
      <c r="W21" s="32" t="n">
        <f>29697338955</f>
        <v>2.9697338955E10</v>
      </c>
      <c r="X21" s="36" t="n">
        <f>20</f>
        <v>20.0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2010.5</f>
        <v>2010.5</v>
      </c>
      <c r="L22" s="34" t="s">
        <v>48</v>
      </c>
      <c r="M22" s="33" t="n">
        <f>2059</f>
        <v>2059.0</v>
      </c>
      <c r="N22" s="34" t="s">
        <v>104</v>
      </c>
      <c r="O22" s="33" t="n">
        <f>1983</f>
        <v>1983.0</v>
      </c>
      <c r="P22" s="34" t="s">
        <v>69</v>
      </c>
      <c r="Q22" s="33" t="n">
        <f>2030.5</f>
        <v>2030.5</v>
      </c>
      <c r="R22" s="34" t="s">
        <v>50</v>
      </c>
      <c r="S22" s="35" t="n">
        <f>2019.3</f>
        <v>2019.3</v>
      </c>
      <c r="T22" s="32" t="n">
        <f>6362240</f>
        <v>6362240.0</v>
      </c>
      <c r="U22" s="32" t="n">
        <f>2203500</f>
        <v>2203500.0</v>
      </c>
      <c r="V22" s="32" t="n">
        <f>12857593273</f>
        <v>1.2857593273E10</v>
      </c>
      <c r="W22" s="32" t="n">
        <f>4451266963</f>
        <v>4.451266963E9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1896.5</f>
        <v>1896.5</v>
      </c>
      <c r="L23" s="34" t="s">
        <v>48</v>
      </c>
      <c r="M23" s="33" t="n">
        <f>1926</f>
        <v>1926.0</v>
      </c>
      <c r="N23" s="34" t="s">
        <v>104</v>
      </c>
      <c r="O23" s="33" t="n">
        <f>1860</f>
        <v>1860.0</v>
      </c>
      <c r="P23" s="34" t="s">
        <v>69</v>
      </c>
      <c r="Q23" s="33" t="n">
        <f>1907.5</f>
        <v>1907.5</v>
      </c>
      <c r="R23" s="34" t="s">
        <v>50</v>
      </c>
      <c r="S23" s="35" t="n">
        <f>1895.08</f>
        <v>1895.08</v>
      </c>
      <c r="T23" s="32" t="n">
        <f>1239900</f>
        <v>1239900.0</v>
      </c>
      <c r="U23" s="32" t="n">
        <f>562200</f>
        <v>562200.0</v>
      </c>
      <c r="V23" s="32" t="n">
        <f>2348706496</f>
        <v>2.348706496E9</v>
      </c>
      <c r="W23" s="32" t="n">
        <f>1066781796</f>
        <v>1.066781796E9</v>
      </c>
      <c r="X23" s="36" t="n">
        <f>20</f>
        <v>20.0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34870</f>
        <v>34870.0</v>
      </c>
      <c r="L24" s="34" t="s">
        <v>48</v>
      </c>
      <c r="M24" s="33" t="n">
        <f>35110</f>
        <v>35110.0</v>
      </c>
      <c r="N24" s="34" t="s">
        <v>48</v>
      </c>
      <c r="O24" s="33" t="n">
        <f>32940</f>
        <v>32940.0</v>
      </c>
      <c r="P24" s="34" t="s">
        <v>64</v>
      </c>
      <c r="Q24" s="33" t="n">
        <f>34240</f>
        <v>34240.0</v>
      </c>
      <c r="R24" s="34" t="s">
        <v>50</v>
      </c>
      <c r="S24" s="35" t="n">
        <f>33824</f>
        <v>33824.0</v>
      </c>
      <c r="T24" s="32" t="n">
        <f>627018</f>
        <v>627018.0</v>
      </c>
      <c r="U24" s="32" t="n">
        <f>130095</f>
        <v>130095.0</v>
      </c>
      <c r="V24" s="32" t="n">
        <f>21235598750</f>
        <v>2.123559875E10</v>
      </c>
      <c r="W24" s="32" t="n">
        <f>4387668120</f>
        <v>4.38766812E9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2412.5</f>
        <v>2412.5</v>
      </c>
      <c r="L25" s="34" t="s">
        <v>48</v>
      </c>
      <c r="M25" s="33" t="n">
        <f>2430</f>
        <v>2430.0</v>
      </c>
      <c r="N25" s="34" t="s">
        <v>48</v>
      </c>
      <c r="O25" s="33" t="n">
        <f>2292</f>
        <v>2292.0</v>
      </c>
      <c r="P25" s="34" t="s">
        <v>64</v>
      </c>
      <c r="Q25" s="33" t="n">
        <f>2398</f>
        <v>2398.0</v>
      </c>
      <c r="R25" s="34" t="s">
        <v>50</v>
      </c>
      <c r="S25" s="35" t="n">
        <f>2360.68</f>
        <v>2360.68</v>
      </c>
      <c r="T25" s="32" t="n">
        <f>6808760</f>
        <v>6808760.0</v>
      </c>
      <c r="U25" s="32" t="n">
        <f>1647700</f>
        <v>1647700.0</v>
      </c>
      <c r="V25" s="32" t="n">
        <f>16133930643</f>
        <v>1.6133930643E10</v>
      </c>
      <c r="W25" s="32" t="n">
        <f>3902612643</f>
        <v>3.902612643E9</v>
      </c>
      <c r="X25" s="36" t="n">
        <f>20</f>
        <v>20.0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15555</f>
        <v>15555.0</v>
      </c>
      <c r="L26" s="34" t="s">
        <v>48</v>
      </c>
      <c r="M26" s="33" t="n">
        <f>15625</f>
        <v>15625.0</v>
      </c>
      <c r="N26" s="34" t="s">
        <v>86</v>
      </c>
      <c r="O26" s="33" t="n">
        <f>15020</f>
        <v>15020.0</v>
      </c>
      <c r="P26" s="34" t="s">
        <v>117</v>
      </c>
      <c r="Q26" s="33" t="n">
        <f>15215</f>
        <v>15215.0</v>
      </c>
      <c r="R26" s="34" t="s">
        <v>50</v>
      </c>
      <c r="S26" s="35" t="n">
        <f>15304.5</f>
        <v>15304.5</v>
      </c>
      <c r="T26" s="32" t="n">
        <f>790</f>
        <v>790.0</v>
      </c>
      <c r="U26" s="32" t="str">
        <f>"－"</f>
        <v>－</v>
      </c>
      <c r="V26" s="32" t="n">
        <f>12107740</f>
        <v>1.210774E7</v>
      </c>
      <c r="W26" s="32" t="str">
        <f>"－"</f>
        <v>－</v>
      </c>
      <c r="X26" s="36" t="n">
        <f>20</f>
        <v>20.0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606.8</f>
        <v>606.8</v>
      </c>
      <c r="L27" s="34" t="s">
        <v>48</v>
      </c>
      <c r="M27" s="33" t="n">
        <f>655.5</f>
        <v>655.5</v>
      </c>
      <c r="N27" s="34" t="s">
        <v>49</v>
      </c>
      <c r="O27" s="33" t="n">
        <f>589.9</f>
        <v>589.9</v>
      </c>
      <c r="P27" s="34" t="s">
        <v>50</v>
      </c>
      <c r="Q27" s="33" t="n">
        <f>594</f>
        <v>594.0</v>
      </c>
      <c r="R27" s="34" t="s">
        <v>50</v>
      </c>
      <c r="S27" s="35" t="n">
        <f>622.61</f>
        <v>622.61</v>
      </c>
      <c r="T27" s="32" t="n">
        <f>18649160</f>
        <v>1.864916E7</v>
      </c>
      <c r="U27" s="32" t="n">
        <f>1200</f>
        <v>1200.0</v>
      </c>
      <c r="V27" s="32" t="n">
        <f>11667550031</f>
        <v>1.1667550031E10</v>
      </c>
      <c r="W27" s="32" t="n">
        <f>750510</f>
        <v>750510.0</v>
      </c>
      <c r="X27" s="36" t="n">
        <f>20</f>
        <v>20.0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222</f>
        <v>222.0</v>
      </c>
      <c r="L28" s="34" t="s">
        <v>48</v>
      </c>
      <c r="M28" s="33" t="n">
        <f>248</f>
        <v>248.0</v>
      </c>
      <c r="N28" s="34" t="s">
        <v>49</v>
      </c>
      <c r="O28" s="33" t="n">
        <f>219</f>
        <v>219.0</v>
      </c>
      <c r="P28" s="34" t="s">
        <v>48</v>
      </c>
      <c r="Q28" s="33" t="n">
        <f>226</f>
        <v>226.0</v>
      </c>
      <c r="R28" s="34" t="s">
        <v>50</v>
      </c>
      <c r="S28" s="35" t="n">
        <f>233.15</f>
        <v>233.15</v>
      </c>
      <c r="T28" s="32" t="n">
        <f>1739739454</f>
        <v>1.739739454E9</v>
      </c>
      <c r="U28" s="32" t="n">
        <f>1808183</f>
        <v>1808183.0</v>
      </c>
      <c r="V28" s="32" t="n">
        <f>406813174851</f>
        <v>4.06813174851E11</v>
      </c>
      <c r="W28" s="32" t="n">
        <f>420599640</f>
        <v>4.2059964E8</v>
      </c>
      <c r="X28" s="36" t="n">
        <f>20</f>
        <v>20.0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39580</f>
        <v>39580.0</v>
      </c>
      <c r="L29" s="34" t="s">
        <v>48</v>
      </c>
      <c r="M29" s="33" t="n">
        <f>39950</f>
        <v>39950.0</v>
      </c>
      <c r="N29" s="34" t="s">
        <v>48</v>
      </c>
      <c r="O29" s="33" t="n">
        <f>35350</f>
        <v>35350.0</v>
      </c>
      <c r="P29" s="34" t="s">
        <v>49</v>
      </c>
      <c r="Q29" s="33" t="n">
        <f>38520</f>
        <v>38520.0</v>
      </c>
      <c r="R29" s="34" t="s">
        <v>50</v>
      </c>
      <c r="S29" s="35" t="n">
        <f>37395</f>
        <v>37395.0</v>
      </c>
      <c r="T29" s="32" t="n">
        <f>381677</f>
        <v>381677.0</v>
      </c>
      <c r="U29" s="32" t="str">
        <f>"－"</f>
        <v>－</v>
      </c>
      <c r="V29" s="32" t="n">
        <f>14339553250</f>
        <v>1.433955325E10</v>
      </c>
      <c r="W29" s="32" t="str">
        <f>"－"</f>
        <v>－</v>
      </c>
      <c r="X29" s="36" t="n">
        <f>20</f>
        <v>20.0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541.8</f>
        <v>541.8</v>
      </c>
      <c r="L30" s="34" t="s">
        <v>48</v>
      </c>
      <c r="M30" s="33" t="n">
        <f>603.6</f>
        <v>603.6</v>
      </c>
      <c r="N30" s="34" t="s">
        <v>49</v>
      </c>
      <c r="O30" s="33" t="n">
        <f>536.1</f>
        <v>536.1</v>
      </c>
      <c r="P30" s="34" t="s">
        <v>48</v>
      </c>
      <c r="Q30" s="33" t="n">
        <f>550.7</f>
        <v>550.7</v>
      </c>
      <c r="R30" s="34" t="s">
        <v>50</v>
      </c>
      <c r="S30" s="35" t="n">
        <f>570.12</f>
        <v>570.12</v>
      </c>
      <c r="T30" s="32" t="n">
        <f>351257850</f>
        <v>3.5125785E8</v>
      </c>
      <c r="U30" s="32" t="n">
        <f>21650</f>
        <v>21650.0</v>
      </c>
      <c r="V30" s="32" t="n">
        <f>201008778359</f>
        <v>2.01008778359E11</v>
      </c>
      <c r="W30" s="32" t="n">
        <f>11627793</f>
        <v>1.1627793E7</v>
      </c>
      <c r="X30" s="36" t="n">
        <f>20</f>
        <v>20.0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21590</f>
        <v>21590.0</v>
      </c>
      <c r="L31" s="34" t="s">
        <v>48</v>
      </c>
      <c r="M31" s="33" t="n">
        <f>21740</f>
        <v>21740.0</v>
      </c>
      <c r="N31" s="34" t="s">
        <v>50</v>
      </c>
      <c r="O31" s="33" t="n">
        <f>20675</f>
        <v>20675.0</v>
      </c>
      <c r="P31" s="34" t="s">
        <v>49</v>
      </c>
      <c r="Q31" s="33" t="n">
        <f>21695</f>
        <v>21695.0</v>
      </c>
      <c r="R31" s="34" t="s">
        <v>50</v>
      </c>
      <c r="S31" s="35" t="n">
        <f>21234</f>
        <v>21234.0</v>
      </c>
      <c r="T31" s="32" t="n">
        <f>104322</f>
        <v>104322.0</v>
      </c>
      <c r="U31" s="32" t="n">
        <f>95080</f>
        <v>95080.0</v>
      </c>
      <c r="V31" s="32" t="n">
        <f>2199981677</f>
        <v>2.199981677E9</v>
      </c>
      <c r="W31" s="32" t="n">
        <f>2003301812</f>
        <v>2.003301812E9</v>
      </c>
      <c r="X31" s="36" t="n">
        <f>20</f>
        <v>20.0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32740</f>
        <v>32740.0</v>
      </c>
      <c r="L32" s="34" t="s">
        <v>48</v>
      </c>
      <c r="M32" s="33" t="n">
        <f>33200</f>
        <v>33200.0</v>
      </c>
      <c r="N32" s="34" t="s">
        <v>48</v>
      </c>
      <c r="O32" s="33" t="n">
        <f>29395</f>
        <v>29395.0</v>
      </c>
      <c r="P32" s="34" t="s">
        <v>49</v>
      </c>
      <c r="Q32" s="33" t="n">
        <f>32010</f>
        <v>32010.0</v>
      </c>
      <c r="R32" s="34" t="s">
        <v>50</v>
      </c>
      <c r="S32" s="35" t="n">
        <f>31095.5</f>
        <v>31095.5</v>
      </c>
      <c r="T32" s="32" t="n">
        <f>932818</f>
        <v>932818.0</v>
      </c>
      <c r="U32" s="32" t="str">
        <f>"－"</f>
        <v>－</v>
      </c>
      <c r="V32" s="32" t="n">
        <f>28903508070</f>
        <v>2.890350807E10</v>
      </c>
      <c r="W32" s="32" t="str">
        <f>"－"</f>
        <v>－</v>
      </c>
      <c r="X32" s="36" t="n">
        <f>20</f>
        <v>20.0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576</f>
        <v>576.0</v>
      </c>
      <c r="L33" s="34" t="s">
        <v>48</v>
      </c>
      <c r="M33" s="33" t="n">
        <f>643</f>
        <v>643.0</v>
      </c>
      <c r="N33" s="34" t="s">
        <v>49</v>
      </c>
      <c r="O33" s="33" t="n">
        <f>571</f>
        <v>571.0</v>
      </c>
      <c r="P33" s="34" t="s">
        <v>48</v>
      </c>
      <c r="Q33" s="33" t="n">
        <f>587</f>
        <v>587.0</v>
      </c>
      <c r="R33" s="34" t="s">
        <v>50</v>
      </c>
      <c r="S33" s="35" t="n">
        <f>607.4</f>
        <v>607.4</v>
      </c>
      <c r="T33" s="32" t="n">
        <f>28994982</f>
        <v>2.8994982E7</v>
      </c>
      <c r="U33" s="32" t="str">
        <f>"－"</f>
        <v>－</v>
      </c>
      <c r="V33" s="32" t="n">
        <f>17678854288</f>
        <v>1.7678854288E10</v>
      </c>
      <c r="W33" s="32" t="str">
        <f>"－"</f>
        <v>－</v>
      </c>
      <c r="X33" s="36" t="n">
        <f>20</f>
        <v>20.0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26755</f>
        <v>26755.0</v>
      </c>
      <c r="L34" s="34" t="s">
        <v>48</v>
      </c>
      <c r="M34" s="33" t="n">
        <f>27255</f>
        <v>27255.0</v>
      </c>
      <c r="N34" s="34" t="s">
        <v>50</v>
      </c>
      <c r="O34" s="33" t="n">
        <f>24650</f>
        <v>24650.0</v>
      </c>
      <c r="P34" s="34" t="s">
        <v>49</v>
      </c>
      <c r="Q34" s="33" t="n">
        <f>27030</f>
        <v>27030.0</v>
      </c>
      <c r="R34" s="34" t="s">
        <v>50</v>
      </c>
      <c r="S34" s="35" t="n">
        <f>25954.5</f>
        <v>25954.5</v>
      </c>
      <c r="T34" s="32" t="n">
        <f>487293</f>
        <v>487293.0</v>
      </c>
      <c r="U34" s="32" t="n">
        <f>4</f>
        <v>4.0</v>
      </c>
      <c r="V34" s="32" t="n">
        <f>12638934635</f>
        <v>1.2638934635E10</v>
      </c>
      <c r="W34" s="32" t="n">
        <f>104240</f>
        <v>104240.0</v>
      </c>
      <c r="X34" s="36" t="n">
        <f>20</f>
        <v>20.0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882</f>
        <v>882.0</v>
      </c>
      <c r="L35" s="34" t="s">
        <v>48</v>
      </c>
      <c r="M35" s="33" t="n">
        <f>952</f>
        <v>952.0</v>
      </c>
      <c r="N35" s="34" t="s">
        <v>49</v>
      </c>
      <c r="O35" s="33" t="n">
        <f>857</f>
        <v>857.0</v>
      </c>
      <c r="P35" s="34" t="s">
        <v>50</v>
      </c>
      <c r="Q35" s="33" t="n">
        <f>865</f>
        <v>865.0</v>
      </c>
      <c r="R35" s="34" t="s">
        <v>50</v>
      </c>
      <c r="S35" s="35" t="n">
        <f>904.15</f>
        <v>904.15</v>
      </c>
      <c r="T35" s="32" t="n">
        <f>2230514</f>
        <v>2230514.0</v>
      </c>
      <c r="U35" s="32" t="str">
        <f>"－"</f>
        <v>－</v>
      </c>
      <c r="V35" s="32" t="n">
        <f>2021355698</f>
        <v>2.021355698E9</v>
      </c>
      <c r="W35" s="32" t="str">
        <f>"－"</f>
        <v>－</v>
      </c>
      <c r="X35" s="36" t="n">
        <f>20</f>
        <v>20.0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33870</f>
        <v>33870.0</v>
      </c>
      <c r="L36" s="34" t="s">
        <v>48</v>
      </c>
      <c r="M36" s="33" t="n">
        <f>34120</f>
        <v>34120.0</v>
      </c>
      <c r="N36" s="34" t="s">
        <v>48</v>
      </c>
      <c r="O36" s="33" t="n">
        <f>31830</f>
        <v>31830.0</v>
      </c>
      <c r="P36" s="34" t="s">
        <v>49</v>
      </c>
      <c r="Q36" s="33" t="n">
        <f>33210</f>
        <v>33210.0</v>
      </c>
      <c r="R36" s="34" t="s">
        <v>50</v>
      </c>
      <c r="S36" s="35" t="n">
        <f>32764.5</f>
        <v>32764.5</v>
      </c>
      <c r="T36" s="32" t="n">
        <f>136816</f>
        <v>136816.0</v>
      </c>
      <c r="U36" s="32" t="n">
        <f>27100</f>
        <v>27100.0</v>
      </c>
      <c r="V36" s="32" t="n">
        <f>4502326410</f>
        <v>4.50232641E9</v>
      </c>
      <c r="W36" s="32" t="n">
        <f>899829670</f>
        <v>8.9982967E8</v>
      </c>
      <c r="X36" s="36" t="n">
        <f>20</f>
        <v>20.0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151</v>
      </c>
      <c r="F37" s="29" t="s">
        <v>152</v>
      </c>
      <c r="G37" s="30" t="s">
        <v>153</v>
      </c>
      <c r="H37" s="31" t="s">
        <v>154</v>
      </c>
      <c r="I37" s="31"/>
      <c r="J37" s="32" t="n">
        <v>1.0</v>
      </c>
      <c r="K37" s="33" t="n">
        <f>6740</f>
        <v>6740.0</v>
      </c>
      <c r="L37" s="34" t="s">
        <v>48</v>
      </c>
      <c r="M37" s="33" t="n">
        <f>6780</f>
        <v>6780.0</v>
      </c>
      <c r="N37" s="34" t="s">
        <v>48</v>
      </c>
      <c r="O37" s="33" t="n">
        <f>6420</f>
        <v>6420.0</v>
      </c>
      <c r="P37" s="34" t="s">
        <v>69</v>
      </c>
      <c r="Q37" s="33" t="n">
        <f>6640</f>
        <v>6640.0</v>
      </c>
      <c r="R37" s="34" t="s">
        <v>155</v>
      </c>
      <c r="S37" s="35" t="n">
        <f>6590</f>
        <v>6590.0</v>
      </c>
      <c r="T37" s="32" t="n">
        <f>11962</f>
        <v>11962.0</v>
      </c>
      <c r="U37" s="32" t="str">
        <f>"－"</f>
        <v>－</v>
      </c>
      <c r="V37" s="32" t="n">
        <f>78875990</f>
        <v>7.887599E7</v>
      </c>
      <c r="W37" s="32" t="str">
        <f>"－"</f>
        <v>－</v>
      </c>
      <c r="X37" s="36" t="n">
        <f>13</f>
        <v>13.0</v>
      </c>
    </row>
    <row r="38">
      <c r="A38" s="27" t="s">
        <v>42</v>
      </c>
      <c r="B38" s="27" t="s">
        <v>156</v>
      </c>
      <c r="C38" s="27" t="s">
        <v>157</v>
      </c>
      <c r="D38" s="27" t="s">
        <v>158</v>
      </c>
      <c r="E38" s="28" t="s">
        <v>151</v>
      </c>
      <c r="F38" s="29" t="s">
        <v>152</v>
      </c>
      <c r="G38" s="30" t="s">
        <v>153</v>
      </c>
      <c r="H38" s="31" t="s">
        <v>154</v>
      </c>
      <c r="I38" s="31"/>
      <c r="J38" s="32" t="n">
        <v>1.0</v>
      </c>
      <c r="K38" s="33" t="n">
        <f>11585</f>
        <v>11585.0</v>
      </c>
      <c r="L38" s="34" t="s">
        <v>48</v>
      </c>
      <c r="M38" s="33" t="n">
        <f>11700</f>
        <v>11700.0</v>
      </c>
      <c r="N38" s="34" t="s">
        <v>48</v>
      </c>
      <c r="O38" s="33" t="n">
        <f>11025</f>
        <v>11025.0</v>
      </c>
      <c r="P38" s="34" t="s">
        <v>159</v>
      </c>
      <c r="Q38" s="33" t="n">
        <f>11445</f>
        <v>11445.0</v>
      </c>
      <c r="R38" s="34" t="s">
        <v>155</v>
      </c>
      <c r="S38" s="35" t="n">
        <f>11354.23</f>
        <v>11354.23</v>
      </c>
      <c r="T38" s="32" t="n">
        <f>2649</f>
        <v>2649.0</v>
      </c>
      <c r="U38" s="32" t="str">
        <f>"－"</f>
        <v>－</v>
      </c>
      <c r="V38" s="32" t="n">
        <f>30119185</f>
        <v>3.0119185E7</v>
      </c>
      <c r="W38" s="32" t="str">
        <f>"－"</f>
        <v>－</v>
      </c>
      <c r="X38" s="36" t="n">
        <f>13</f>
        <v>13.0</v>
      </c>
    </row>
    <row r="39">
      <c r="A39" s="27" t="s">
        <v>42</v>
      </c>
      <c r="B39" s="27" t="s">
        <v>160</v>
      </c>
      <c r="C39" s="27" t="s">
        <v>161</v>
      </c>
      <c r="D39" s="27" t="s">
        <v>162</v>
      </c>
      <c r="E39" s="28" t="s">
        <v>151</v>
      </c>
      <c r="F39" s="29" t="s">
        <v>152</v>
      </c>
      <c r="G39" s="30" t="s">
        <v>153</v>
      </c>
      <c r="H39" s="31" t="s">
        <v>154</v>
      </c>
      <c r="I39" s="31"/>
      <c r="J39" s="32" t="n">
        <v>1.0</v>
      </c>
      <c r="K39" s="33" t="n">
        <f>22295</f>
        <v>22295.0</v>
      </c>
      <c r="L39" s="34" t="s">
        <v>48</v>
      </c>
      <c r="M39" s="33" t="n">
        <f>22995</f>
        <v>22995.0</v>
      </c>
      <c r="N39" s="34" t="s">
        <v>60</v>
      </c>
      <c r="O39" s="33" t="n">
        <f>21650</f>
        <v>21650.0</v>
      </c>
      <c r="P39" s="34" t="s">
        <v>49</v>
      </c>
      <c r="Q39" s="33" t="n">
        <f>22160</f>
        <v>22160.0</v>
      </c>
      <c r="R39" s="34" t="s">
        <v>155</v>
      </c>
      <c r="S39" s="35" t="n">
        <f>22396.11</f>
        <v>22396.11</v>
      </c>
      <c r="T39" s="32" t="n">
        <f>419</f>
        <v>419.0</v>
      </c>
      <c r="U39" s="32" t="str">
        <f>"－"</f>
        <v>－</v>
      </c>
      <c r="V39" s="32" t="n">
        <f>9264290</f>
        <v>9264290.0</v>
      </c>
      <c r="W39" s="32" t="str">
        <f>"－"</f>
        <v>－</v>
      </c>
      <c r="X39" s="36" t="n">
        <f>9</f>
        <v>9.0</v>
      </c>
    </row>
    <row r="40">
      <c r="A40" s="27" t="s">
        <v>42</v>
      </c>
      <c r="B40" s="27" t="s">
        <v>163</v>
      </c>
      <c r="C40" s="27" t="s">
        <v>164</v>
      </c>
      <c r="D40" s="27" t="s">
        <v>165</v>
      </c>
      <c r="E40" s="28" t="s">
        <v>151</v>
      </c>
      <c r="F40" s="29" t="s">
        <v>152</v>
      </c>
      <c r="G40" s="30" t="s">
        <v>153</v>
      </c>
      <c r="H40" s="31" t="s">
        <v>154</v>
      </c>
      <c r="I40" s="31"/>
      <c r="J40" s="32" t="n">
        <v>1.0</v>
      </c>
      <c r="K40" s="33" t="n">
        <f>17300</f>
        <v>17300.0</v>
      </c>
      <c r="L40" s="34" t="s">
        <v>48</v>
      </c>
      <c r="M40" s="33" t="n">
        <f>18000</f>
        <v>18000.0</v>
      </c>
      <c r="N40" s="34" t="s">
        <v>91</v>
      </c>
      <c r="O40" s="33" t="n">
        <f>16895</f>
        <v>16895.0</v>
      </c>
      <c r="P40" s="34" t="s">
        <v>49</v>
      </c>
      <c r="Q40" s="33" t="n">
        <f>17480</f>
        <v>17480.0</v>
      </c>
      <c r="R40" s="34" t="s">
        <v>60</v>
      </c>
      <c r="S40" s="35" t="n">
        <f>17345</f>
        <v>17345.0</v>
      </c>
      <c r="T40" s="32" t="n">
        <f>124</f>
        <v>124.0</v>
      </c>
      <c r="U40" s="32" t="str">
        <f>"－"</f>
        <v>－</v>
      </c>
      <c r="V40" s="32" t="n">
        <f>2154565</f>
        <v>2154565.0</v>
      </c>
      <c r="W40" s="32" t="str">
        <f>"－"</f>
        <v>－</v>
      </c>
      <c r="X40" s="36" t="n">
        <f>8</f>
        <v>8.0</v>
      </c>
    </row>
    <row r="41">
      <c r="A41" s="27" t="s">
        <v>42</v>
      </c>
      <c r="B41" s="27" t="s">
        <v>166</v>
      </c>
      <c r="C41" s="27" t="s">
        <v>167</v>
      </c>
      <c r="D41" s="27" t="s">
        <v>168</v>
      </c>
      <c r="E41" s="28" t="s">
        <v>151</v>
      </c>
      <c r="F41" s="29" t="s">
        <v>152</v>
      </c>
      <c r="G41" s="30" t="s">
        <v>153</v>
      </c>
      <c r="H41" s="31" t="s">
        <v>154</v>
      </c>
      <c r="I41" s="31"/>
      <c r="J41" s="32" t="n">
        <v>1.0</v>
      </c>
      <c r="K41" s="33" t="n">
        <f>12240</f>
        <v>12240.0</v>
      </c>
      <c r="L41" s="34" t="s">
        <v>48</v>
      </c>
      <c r="M41" s="33" t="n">
        <f>12350</f>
        <v>12350.0</v>
      </c>
      <c r="N41" s="34" t="s">
        <v>48</v>
      </c>
      <c r="O41" s="33" t="n">
        <f>11670</f>
        <v>11670.0</v>
      </c>
      <c r="P41" s="34" t="s">
        <v>49</v>
      </c>
      <c r="Q41" s="33" t="n">
        <f>12105</f>
        <v>12105.0</v>
      </c>
      <c r="R41" s="34" t="s">
        <v>155</v>
      </c>
      <c r="S41" s="35" t="n">
        <f>11989.62</f>
        <v>11989.62</v>
      </c>
      <c r="T41" s="32" t="n">
        <f>3656</f>
        <v>3656.0</v>
      </c>
      <c r="U41" s="32" t="str">
        <f>"－"</f>
        <v>－</v>
      </c>
      <c r="V41" s="32" t="n">
        <f>44687600</f>
        <v>4.46876E7</v>
      </c>
      <c r="W41" s="32" t="str">
        <f>"－"</f>
        <v>－</v>
      </c>
      <c r="X41" s="36" t="n">
        <f>13</f>
        <v>13.0</v>
      </c>
    </row>
    <row r="42">
      <c r="A42" s="27" t="s">
        <v>42</v>
      </c>
      <c r="B42" s="27" t="s">
        <v>169</v>
      </c>
      <c r="C42" s="27" t="s">
        <v>170</v>
      </c>
      <c r="D42" s="27" t="s">
        <v>171</v>
      </c>
      <c r="E42" s="28" t="s">
        <v>151</v>
      </c>
      <c r="F42" s="29" t="s">
        <v>152</v>
      </c>
      <c r="G42" s="30" t="s">
        <v>153</v>
      </c>
      <c r="H42" s="31" t="s">
        <v>154</v>
      </c>
      <c r="I42" s="31"/>
      <c r="J42" s="32" t="n">
        <v>1.0</v>
      </c>
      <c r="K42" s="33" t="n">
        <f>5760</f>
        <v>5760.0</v>
      </c>
      <c r="L42" s="34" t="s">
        <v>48</v>
      </c>
      <c r="M42" s="33" t="n">
        <f>5830</f>
        <v>5830.0</v>
      </c>
      <c r="N42" s="34" t="s">
        <v>90</v>
      </c>
      <c r="O42" s="33" t="n">
        <f>5450</f>
        <v>5450.0</v>
      </c>
      <c r="P42" s="34" t="s">
        <v>64</v>
      </c>
      <c r="Q42" s="33" t="n">
        <f>5670</f>
        <v>5670.0</v>
      </c>
      <c r="R42" s="34" t="s">
        <v>155</v>
      </c>
      <c r="S42" s="35" t="n">
        <f>5685.38</f>
        <v>5685.38</v>
      </c>
      <c r="T42" s="32" t="n">
        <f>4830</f>
        <v>4830.0</v>
      </c>
      <c r="U42" s="32" t="str">
        <f>"－"</f>
        <v>－</v>
      </c>
      <c r="V42" s="32" t="n">
        <f>27301880</f>
        <v>2.730188E7</v>
      </c>
      <c r="W42" s="32" t="str">
        <f>"－"</f>
        <v>－</v>
      </c>
      <c r="X42" s="36" t="n">
        <f>13</f>
        <v>13.0</v>
      </c>
    </row>
    <row r="43">
      <c r="A43" s="27" t="s">
        <v>42</v>
      </c>
      <c r="B43" s="27" t="s">
        <v>172</v>
      </c>
      <c r="C43" s="27" t="s">
        <v>173</v>
      </c>
      <c r="D43" s="27" t="s">
        <v>174</v>
      </c>
      <c r="E43" s="28" t="s">
        <v>151</v>
      </c>
      <c r="F43" s="29" t="s">
        <v>152</v>
      </c>
      <c r="G43" s="30" t="s">
        <v>153</v>
      </c>
      <c r="H43" s="31" t="s">
        <v>154</v>
      </c>
      <c r="I43" s="31"/>
      <c r="J43" s="32" t="n">
        <v>1.0</v>
      </c>
      <c r="K43" s="33" t="n">
        <f>3315</f>
        <v>3315.0</v>
      </c>
      <c r="L43" s="34" t="s">
        <v>48</v>
      </c>
      <c r="M43" s="33" t="n">
        <f>3330</f>
        <v>3330.0</v>
      </c>
      <c r="N43" s="34" t="s">
        <v>48</v>
      </c>
      <c r="O43" s="33" t="n">
        <f>3155</f>
        <v>3155.0</v>
      </c>
      <c r="P43" s="34" t="s">
        <v>49</v>
      </c>
      <c r="Q43" s="33" t="n">
        <f>3300</f>
        <v>3300.0</v>
      </c>
      <c r="R43" s="34" t="s">
        <v>155</v>
      </c>
      <c r="S43" s="35" t="n">
        <f>3238.46</f>
        <v>3238.46</v>
      </c>
      <c r="T43" s="32" t="n">
        <f>11550</f>
        <v>11550.0</v>
      </c>
      <c r="U43" s="32" t="str">
        <f>"－"</f>
        <v>－</v>
      </c>
      <c r="V43" s="32" t="n">
        <f>37937970</f>
        <v>3.793797E7</v>
      </c>
      <c r="W43" s="32" t="str">
        <f>"－"</f>
        <v>－</v>
      </c>
      <c r="X43" s="36" t="n">
        <f>13</f>
        <v>13.0</v>
      </c>
    </row>
    <row r="44">
      <c r="A44" s="27" t="s">
        <v>42</v>
      </c>
      <c r="B44" s="27" t="s">
        <v>175</v>
      </c>
      <c r="C44" s="27" t="s">
        <v>176</v>
      </c>
      <c r="D44" s="27" t="s">
        <v>177</v>
      </c>
      <c r="E44" s="28" t="s">
        <v>151</v>
      </c>
      <c r="F44" s="29" t="s">
        <v>152</v>
      </c>
      <c r="G44" s="30" t="s">
        <v>153</v>
      </c>
      <c r="H44" s="31" t="s">
        <v>154</v>
      </c>
      <c r="I44" s="31"/>
      <c r="J44" s="32" t="n">
        <v>1.0</v>
      </c>
      <c r="K44" s="33" t="n">
        <f>3365</f>
        <v>3365.0</v>
      </c>
      <c r="L44" s="34" t="s">
        <v>48</v>
      </c>
      <c r="M44" s="33" t="n">
        <f>3375</f>
        <v>3375.0</v>
      </c>
      <c r="N44" s="34" t="s">
        <v>48</v>
      </c>
      <c r="O44" s="33" t="n">
        <f>3205</f>
        <v>3205.0</v>
      </c>
      <c r="P44" s="34" t="s">
        <v>49</v>
      </c>
      <c r="Q44" s="33" t="n">
        <f>3320</f>
        <v>3320.0</v>
      </c>
      <c r="R44" s="34" t="s">
        <v>155</v>
      </c>
      <c r="S44" s="35" t="n">
        <f>3304.62</f>
        <v>3304.62</v>
      </c>
      <c r="T44" s="32" t="n">
        <f>6860</f>
        <v>6860.0</v>
      </c>
      <c r="U44" s="32" t="n">
        <f>77</f>
        <v>77.0</v>
      </c>
      <c r="V44" s="32" t="n">
        <f>22830425</f>
        <v>2.2830425E7</v>
      </c>
      <c r="W44" s="32" t="n">
        <f>249480</f>
        <v>249480.0</v>
      </c>
      <c r="X44" s="36" t="n">
        <f>13</f>
        <v>13.0</v>
      </c>
    </row>
    <row r="45">
      <c r="A45" s="27" t="s">
        <v>42</v>
      </c>
      <c r="B45" s="27" t="s">
        <v>178</v>
      </c>
      <c r="C45" s="27" t="s">
        <v>179</v>
      </c>
      <c r="D45" s="27" t="s">
        <v>180</v>
      </c>
      <c r="E45" s="28" t="s">
        <v>151</v>
      </c>
      <c r="F45" s="29" t="s">
        <v>152</v>
      </c>
      <c r="G45" s="30" t="s">
        <v>153</v>
      </c>
      <c r="H45" s="31" t="s">
        <v>154</v>
      </c>
      <c r="I45" s="31"/>
      <c r="J45" s="32" t="n">
        <v>1.0</v>
      </c>
      <c r="K45" s="33" t="n">
        <f>58990</f>
        <v>58990.0</v>
      </c>
      <c r="L45" s="34" t="s">
        <v>48</v>
      </c>
      <c r="M45" s="33" t="n">
        <f>60590</f>
        <v>60590.0</v>
      </c>
      <c r="N45" s="34" t="s">
        <v>155</v>
      </c>
      <c r="O45" s="33" t="n">
        <f>56770</f>
        <v>56770.0</v>
      </c>
      <c r="P45" s="34" t="s">
        <v>64</v>
      </c>
      <c r="Q45" s="33" t="n">
        <f>58390</f>
        <v>58390.0</v>
      </c>
      <c r="R45" s="34" t="s">
        <v>155</v>
      </c>
      <c r="S45" s="35" t="n">
        <f>58024.62</f>
        <v>58024.62</v>
      </c>
      <c r="T45" s="32" t="n">
        <f>986</f>
        <v>986.0</v>
      </c>
      <c r="U45" s="32" t="str">
        <f>"－"</f>
        <v>－</v>
      </c>
      <c r="V45" s="32" t="n">
        <f>57294360</f>
        <v>5.729436E7</v>
      </c>
      <c r="W45" s="32" t="str">
        <f>"－"</f>
        <v>－</v>
      </c>
      <c r="X45" s="36" t="n">
        <f>13</f>
        <v>13.0</v>
      </c>
    </row>
    <row r="46">
      <c r="A46" s="27" t="s">
        <v>42</v>
      </c>
      <c r="B46" s="27" t="s">
        <v>181</v>
      </c>
      <c r="C46" s="27" t="s">
        <v>182</v>
      </c>
      <c r="D46" s="27" t="s">
        <v>183</v>
      </c>
      <c r="E46" s="28" t="s">
        <v>151</v>
      </c>
      <c r="F46" s="29" t="s">
        <v>152</v>
      </c>
      <c r="G46" s="30" t="s">
        <v>153</v>
      </c>
      <c r="H46" s="31" t="s">
        <v>154</v>
      </c>
      <c r="I46" s="31"/>
      <c r="J46" s="32" t="n">
        <v>1.0</v>
      </c>
      <c r="K46" s="33" t="n">
        <f>41000</f>
        <v>41000.0</v>
      </c>
      <c r="L46" s="34" t="s">
        <v>86</v>
      </c>
      <c r="M46" s="33" t="n">
        <f>41990</f>
        <v>41990.0</v>
      </c>
      <c r="N46" s="34" t="s">
        <v>184</v>
      </c>
      <c r="O46" s="33" t="n">
        <f>39600</f>
        <v>39600.0</v>
      </c>
      <c r="P46" s="34" t="s">
        <v>49</v>
      </c>
      <c r="Q46" s="33" t="n">
        <f>40700</f>
        <v>40700.0</v>
      </c>
      <c r="R46" s="34" t="s">
        <v>155</v>
      </c>
      <c r="S46" s="35" t="n">
        <f>40695.56</f>
        <v>40695.56</v>
      </c>
      <c r="T46" s="32" t="n">
        <f>417</f>
        <v>417.0</v>
      </c>
      <c r="U46" s="32" t="str">
        <f>"－"</f>
        <v>－</v>
      </c>
      <c r="V46" s="32" t="n">
        <f>16772970</f>
        <v>1.677297E7</v>
      </c>
      <c r="W46" s="32" t="str">
        <f>"－"</f>
        <v>－</v>
      </c>
      <c r="X46" s="36" t="n">
        <f>9</f>
        <v>9.0</v>
      </c>
    </row>
    <row r="47">
      <c r="A47" s="27" t="s">
        <v>42</v>
      </c>
      <c r="B47" s="27" t="s">
        <v>185</v>
      </c>
      <c r="C47" s="27" t="s">
        <v>186</v>
      </c>
      <c r="D47" s="27" t="s">
        <v>187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33860</f>
        <v>33860.0</v>
      </c>
      <c r="L47" s="34" t="s">
        <v>48</v>
      </c>
      <c r="M47" s="33" t="n">
        <f>34080</f>
        <v>34080.0</v>
      </c>
      <c r="N47" s="34" t="s">
        <v>48</v>
      </c>
      <c r="O47" s="33" t="n">
        <f>32240</f>
        <v>32240.0</v>
      </c>
      <c r="P47" s="34" t="s">
        <v>49</v>
      </c>
      <c r="Q47" s="33" t="n">
        <f>33560</f>
        <v>33560.0</v>
      </c>
      <c r="R47" s="34" t="s">
        <v>50</v>
      </c>
      <c r="S47" s="35" t="n">
        <f>33040.53</f>
        <v>33040.53</v>
      </c>
      <c r="T47" s="32" t="n">
        <f>97636</f>
        <v>97636.0</v>
      </c>
      <c r="U47" s="32" t="n">
        <f>14700</f>
        <v>14700.0</v>
      </c>
      <c r="V47" s="32" t="n">
        <f>3230776015</f>
        <v>3.230776015E9</v>
      </c>
      <c r="W47" s="32" t="n">
        <f>483650275</f>
        <v>4.83650275E8</v>
      </c>
      <c r="X47" s="36" t="n">
        <f>19</f>
        <v>19.0</v>
      </c>
    </row>
    <row r="48">
      <c r="A48" s="27" t="s">
        <v>42</v>
      </c>
      <c r="B48" s="27" t="s">
        <v>188</v>
      </c>
      <c r="C48" s="27" t="s">
        <v>189</v>
      </c>
      <c r="D48" s="27" t="s">
        <v>190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1911</f>
        <v>1911.0</v>
      </c>
      <c r="L48" s="34" t="s">
        <v>48</v>
      </c>
      <c r="M48" s="33" t="n">
        <f>1951.5</f>
        <v>1951.5</v>
      </c>
      <c r="N48" s="34" t="s">
        <v>104</v>
      </c>
      <c r="O48" s="33" t="n">
        <f>1885.5</f>
        <v>1885.5</v>
      </c>
      <c r="P48" s="34" t="s">
        <v>69</v>
      </c>
      <c r="Q48" s="33" t="n">
        <f>1932</f>
        <v>1932.0</v>
      </c>
      <c r="R48" s="34" t="s">
        <v>50</v>
      </c>
      <c r="S48" s="35" t="n">
        <f>1918.38</f>
        <v>1918.38</v>
      </c>
      <c r="T48" s="32" t="n">
        <f>3165850</f>
        <v>3165850.0</v>
      </c>
      <c r="U48" s="32" t="n">
        <f>1159960</f>
        <v>1159960.0</v>
      </c>
      <c r="V48" s="32" t="n">
        <f>6085709343</f>
        <v>6.085709343E9</v>
      </c>
      <c r="W48" s="32" t="n">
        <f>2233594283</f>
        <v>2.233594283E9</v>
      </c>
      <c r="X48" s="36" t="n">
        <f>20</f>
        <v>20.0</v>
      </c>
    </row>
    <row r="49">
      <c r="A49" s="27" t="s">
        <v>42</v>
      </c>
      <c r="B49" s="27" t="s">
        <v>191</v>
      </c>
      <c r="C49" s="27" t="s">
        <v>192</v>
      </c>
      <c r="D49" s="27" t="s">
        <v>193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1866.5</f>
        <v>1866.5</v>
      </c>
      <c r="L49" s="34" t="s">
        <v>48</v>
      </c>
      <c r="M49" s="33" t="n">
        <f>1896.5</f>
        <v>1896.5</v>
      </c>
      <c r="N49" s="34" t="s">
        <v>104</v>
      </c>
      <c r="O49" s="33" t="n">
        <f>1813</f>
        <v>1813.0</v>
      </c>
      <c r="P49" s="34" t="s">
        <v>91</v>
      </c>
      <c r="Q49" s="33" t="n">
        <f>1888</f>
        <v>1888.0</v>
      </c>
      <c r="R49" s="34" t="s">
        <v>50</v>
      </c>
      <c r="S49" s="35" t="n">
        <f>1853.9</f>
        <v>1853.9</v>
      </c>
      <c r="T49" s="32" t="n">
        <f>8650</f>
        <v>8650.0</v>
      </c>
      <c r="U49" s="32" t="n">
        <f>20</f>
        <v>20.0</v>
      </c>
      <c r="V49" s="32" t="n">
        <f>15955705</f>
        <v>1.5955705E7</v>
      </c>
      <c r="W49" s="32" t="n">
        <f>37460</f>
        <v>37460.0</v>
      </c>
      <c r="X49" s="36" t="n">
        <f>20</f>
        <v>20.0</v>
      </c>
    </row>
    <row r="50">
      <c r="A50" s="27" t="s">
        <v>42</v>
      </c>
      <c r="B50" s="27" t="s">
        <v>194</v>
      </c>
      <c r="C50" s="27" t="s">
        <v>195</v>
      </c>
      <c r="D50" s="27" t="s">
        <v>196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3270</f>
        <v>3270.0</v>
      </c>
      <c r="L50" s="34" t="s">
        <v>48</v>
      </c>
      <c r="M50" s="33" t="n">
        <f>3445</f>
        <v>3445.0</v>
      </c>
      <c r="N50" s="34" t="s">
        <v>49</v>
      </c>
      <c r="O50" s="33" t="n">
        <f>3245</f>
        <v>3245.0</v>
      </c>
      <c r="P50" s="34" t="s">
        <v>48</v>
      </c>
      <c r="Q50" s="33" t="n">
        <f>3290</f>
        <v>3290.0</v>
      </c>
      <c r="R50" s="34" t="s">
        <v>50</v>
      </c>
      <c r="S50" s="35" t="n">
        <f>3350.5</f>
        <v>3350.5</v>
      </c>
      <c r="T50" s="32" t="n">
        <f>859548</f>
        <v>859548.0</v>
      </c>
      <c r="U50" s="32" t="n">
        <f>180001</f>
        <v>180001.0</v>
      </c>
      <c r="V50" s="32" t="n">
        <f>2876988915</f>
        <v>2.876988915E9</v>
      </c>
      <c r="W50" s="32" t="n">
        <f>593166405</f>
        <v>5.93166405E8</v>
      </c>
      <c r="X50" s="36" t="n">
        <f>20</f>
        <v>20.0</v>
      </c>
    </row>
    <row r="51">
      <c r="A51" s="27" t="s">
        <v>42</v>
      </c>
      <c r="B51" s="27" t="s">
        <v>197</v>
      </c>
      <c r="C51" s="27" t="s">
        <v>198</v>
      </c>
      <c r="D51" s="27" t="s">
        <v>199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3950</f>
        <v>3950.0</v>
      </c>
      <c r="L51" s="34" t="s">
        <v>48</v>
      </c>
      <c r="M51" s="33" t="n">
        <f>4105</f>
        <v>4105.0</v>
      </c>
      <c r="N51" s="34" t="s">
        <v>49</v>
      </c>
      <c r="O51" s="33" t="n">
        <f>3900</f>
        <v>3900.0</v>
      </c>
      <c r="P51" s="34" t="s">
        <v>50</v>
      </c>
      <c r="Q51" s="33" t="n">
        <f>3915</f>
        <v>3915.0</v>
      </c>
      <c r="R51" s="34" t="s">
        <v>50</v>
      </c>
      <c r="S51" s="35" t="n">
        <f>4005</f>
        <v>4005.0</v>
      </c>
      <c r="T51" s="32" t="n">
        <f>2337643</f>
        <v>2337643.0</v>
      </c>
      <c r="U51" s="32" t="n">
        <f>475900</f>
        <v>475900.0</v>
      </c>
      <c r="V51" s="32" t="n">
        <f>9423471305</f>
        <v>9.423471305E9</v>
      </c>
      <c r="W51" s="32" t="n">
        <f>1916912040</f>
        <v>1.91691204E9</v>
      </c>
      <c r="X51" s="36" t="n">
        <f>20</f>
        <v>20.0</v>
      </c>
    </row>
    <row r="52">
      <c r="A52" s="27" t="s">
        <v>42</v>
      </c>
      <c r="B52" s="27" t="s">
        <v>200</v>
      </c>
      <c r="C52" s="27" t="s">
        <v>201</v>
      </c>
      <c r="D52" s="27" t="s">
        <v>202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24930</f>
        <v>24930.0</v>
      </c>
      <c r="L52" s="34" t="s">
        <v>48</v>
      </c>
      <c r="M52" s="33" t="n">
        <f>25295</f>
        <v>25295.0</v>
      </c>
      <c r="N52" s="34" t="s">
        <v>48</v>
      </c>
      <c r="O52" s="33" t="n">
        <f>22390</f>
        <v>22390.0</v>
      </c>
      <c r="P52" s="34" t="s">
        <v>49</v>
      </c>
      <c r="Q52" s="33" t="n">
        <f>24375</f>
        <v>24375.0</v>
      </c>
      <c r="R52" s="34" t="s">
        <v>50</v>
      </c>
      <c r="S52" s="35" t="n">
        <f>23690.75</f>
        <v>23690.75</v>
      </c>
      <c r="T52" s="32" t="n">
        <f>10069849</f>
        <v>1.0069849E7</v>
      </c>
      <c r="U52" s="32" t="n">
        <f>155</f>
        <v>155.0</v>
      </c>
      <c r="V52" s="32" t="n">
        <f>238056441775</f>
        <v>2.38056441775E11</v>
      </c>
      <c r="W52" s="32" t="n">
        <f>3371590</f>
        <v>3371590.0</v>
      </c>
      <c r="X52" s="36" t="n">
        <f>20</f>
        <v>20.0</v>
      </c>
    </row>
    <row r="53">
      <c r="A53" s="27" t="s">
        <v>42</v>
      </c>
      <c r="B53" s="27" t="s">
        <v>203</v>
      </c>
      <c r="C53" s="27" t="s">
        <v>204</v>
      </c>
      <c r="D53" s="27" t="s">
        <v>205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892</f>
        <v>892.0</v>
      </c>
      <c r="L53" s="34" t="s">
        <v>48</v>
      </c>
      <c r="M53" s="33" t="n">
        <f>995</f>
        <v>995.0</v>
      </c>
      <c r="N53" s="34" t="s">
        <v>49</v>
      </c>
      <c r="O53" s="33" t="n">
        <f>883</f>
        <v>883.0</v>
      </c>
      <c r="P53" s="34" t="s">
        <v>48</v>
      </c>
      <c r="Q53" s="33" t="n">
        <f>908</f>
        <v>908.0</v>
      </c>
      <c r="R53" s="34" t="s">
        <v>50</v>
      </c>
      <c r="S53" s="35" t="n">
        <f>939</f>
        <v>939.0</v>
      </c>
      <c r="T53" s="32" t="n">
        <f>298134633</f>
        <v>2.98134633E8</v>
      </c>
      <c r="U53" s="32" t="n">
        <f>4554655</f>
        <v>4554655.0</v>
      </c>
      <c r="V53" s="32" t="n">
        <f>281471277630</f>
        <v>2.8147127763E11</v>
      </c>
      <c r="W53" s="32" t="n">
        <f>4498396150</f>
        <v>4.49839615E9</v>
      </c>
      <c r="X53" s="36" t="n">
        <f>20</f>
        <v>20.0</v>
      </c>
    </row>
    <row r="54">
      <c r="A54" s="27" t="s">
        <v>42</v>
      </c>
      <c r="B54" s="27" t="s">
        <v>206</v>
      </c>
      <c r="C54" s="27" t="s">
        <v>207</v>
      </c>
      <c r="D54" s="27" t="s">
        <v>208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21625</f>
        <v>21625.0</v>
      </c>
      <c r="L54" s="34" t="s">
        <v>48</v>
      </c>
      <c r="M54" s="33" t="n">
        <f>21910</f>
        <v>21910.0</v>
      </c>
      <c r="N54" s="34" t="s">
        <v>50</v>
      </c>
      <c r="O54" s="33" t="n">
        <f>19875</f>
        <v>19875.0</v>
      </c>
      <c r="P54" s="34" t="s">
        <v>49</v>
      </c>
      <c r="Q54" s="33" t="n">
        <f>21720</f>
        <v>21720.0</v>
      </c>
      <c r="R54" s="34" t="s">
        <v>50</v>
      </c>
      <c r="S54" s="35" t="n">
        <f>20863.95</f>
        <v>20863.95</v>
      </c>
      <c r="T54" s="32" t="n">
        <f>1550</f>
        <v>1550.0</v>
      </c>
      <c r="U54" s="32" t="str">
        <f>"－"</f>
        <v>－</v>
      </c>
      <c r="V54" s="32" t="n">
        <f>32473750</f>
        <v>3.247375E7</v>
      </c>
      <c r="W54" s="32" t="str">
        <f>"－"</f>
        <v>－</v>
      </c>
      <c r="X54" s="36" t="n">
        <f>19</f>
        <v>19.0</v>
      </c>
    </row>
    <row r="55">
      <c r="A55" s="27" t="s">
        <v>42</v>
      </c>
      <c r="B55" s="27" t="s">
        <v>209</v>
      </c>
      <c r="C55" s="27" t="s">
        <v>210</v>
      </c>
      <c r="D55" s="27" t="s">
        <v>211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3825</f>
        <v>3825.0</v>
      </c>
      <c r="L55" s="34" t="s">
        <v>48</v>
      </c>
      <c r="M55" s="33" t="n">
        <f>3905</f>
        <v>3905.0</v>
      </c>
      <c r="N55" s="34" t="s">
        <v>49</v>
      </c>
      <c r="O55" s="33" t="n">
        <f>3820</f>
        <v>3820.0</v>
      </c>
      <c r="P55" s="34" t="s">
        <v>86</v>
      </c>
      <c r="Q55" s="33" t="n">
        <f>3905</f>
        <v>3905.0</v>
      </c>
      <c r="R55" s="34" t="s">
        <v>49</v>
      </c>
      <c r="S55" s="35" t="n">
        <f>3852</f>
        <v>3852.0</v>
      </c>
      <c r="T55" s="32" t="n">
        <f>2738</f>
        <v>2738.0</v>
      </c>
      <c r="U55" s="32" t="str">
        <f>"－"</f>
        <v>－</v>
      </c>
      <c r="V55" s="32" t="n">
        <f>10470900</f>
        <v>1.04709E7</v>
      </c>
      <c r="W55" s="32" t="str">
        <f>"－"</f>
        <v>－</v>
      </c>
      <c r="X55" s="36" t="n">
        <f>5</f>
        <v>5.0</v>
      </c>
    </row>
    <row r="56">
      <c r="A56" s="27" t="s">
        <v>42</v>
      </c>
      <c r="B56" s="27" t="s">
        <v>212</v>
      </c>
      <c r="C56" s="27" t="s">
        <v>213</v>
      </c>
      <c r="D56" s="27" t="s">
        <v>214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1111</f>
        <v>1111.0</v>
      </c>
      <c r="L56" s="34" t="s">
        <v>48</v>
      </c>
      <c r="M56" s="33" t="n">
        <f>1212</f>
        <v>1212.0</v>
      </c>
      <c r="N56" s="34" t="s">
        <v>49</v>
      </c>
      <c r="O56" s="33" t="n">
        <f>1068</f>
        <v>1068.0</v>
      </c>
      <c r="P56" s="34" t="s">
        <v>90</v>
      </c>
      <c r="Q56" s="33" t="n">
        <f>1103</f>
        <v>1103.0</v>
      </c>
      <c r="R56" s="34" t="s">
        <v>50</v>
      </c>
      <c r="S56" s="35" t="n">
        <f>1153.05</f>
        <v>1153.05</v>
      </c>
      <c r="T56" s="32" t="n">
        <f>19032</f>
        <v>19032.0</v>
      </c>
      <c r="U56" s="32" t="str">
        <f>"－"</f>
        <v>－</v>
      </c>
      <c r="V56" s="32" t="n">
        <f>21850184</f>
        <v>2.1850184E7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10.0</v>
      </c>
      <c r="K57" s="33" t="n">
        <f>1096</f>
        <v>1096.0</v>
      </c>
      <c r="L57" s="34" t="s">
        <v>48</v>
      </c>
      <c r="M57" s="33" t="n">
        <f>1182</f>
        <v>1182.0</v>
      </c>
      <c r="N57" s="34" t="s">
        <v>64</v>
      </c>
      <c r="O57" s="33" t="n">
        <f>1075</f>
        <v>1075.0</v>
      </c>
      <c r="P57" s="34" t="s">
        <v>50</v>
      </c>
      <c r="Q57" s="33" t="n">
        <f>1078</f>
        <v>1078.0</v>
      </c>
      <c r="R57" s="34" t="s">
        <v>50</v>
      </c>
      <c r="S57" s="35" t="n">
        <f>1123.85</f>
        <v>1123.85</v>
      </c>
      <c r="T57" s="32" t="n">
        <f>108570</f>
        <v>108570.0</v>
      </c>
      <c r="U57" s="32" t="str">
        <f>"－"</f>
        <v>－</v>
      </c>
      <c r="V57" s="32" t="n">
        <f>122274100</f>
        <v>1.222741E8</v>
      </c>
      <c r="W57" s="32" t="str">
        <f>"－"</f>
        <v>－</v>
      </c>
      <c r="X57" s="36" t="n">
        <f>20</f>
        <v>20.0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458</f>
        <v>458.0</v>
      </c>
      <c r="L58" s="34" t="s">
        <v>48</v>
      </c>
      <c r="M58" s="33" t="n">
        <f>487</f>
        <v>487.0</v>
      </c>
      <c r="N58" s="34" t="s">
        <v>49</v>
      </c>
      <c r="O58" s="33" t="n">
        <f>440</f>
        <v>440.0</v>
      </c>
      <c r="P58" s="34" t="s">
        <v>48</v>
      </c>
      <c r="Q58" s="33" t="n">
        <f>448</f>
        <v>448.0</v>
      </c>
      <c r="R58" s="34" t="s">
        <v>50</v>
      </c>
      <c r="S58" s="35" t="n">
        <f>461.75</f>
        <v>461.75</v>
      </c>
      <c r="T58" s="32" t="n">
        <f>44184</f>
        <v>44184.0</v>
      </c>
      <c r="U58" s="32" t="str">
        <f>"－"</f>
        <v>－</v>
      </c>
      <c r="V58" s="32" t="n">
        <f>20476975</f>
        <v>2.0476975E7</v>
      </c>
      <c r="W58" s="32" t="str">
        <f>"－"</f>
        <v>－</v>
      </c>
      <c r="X58" s="36" t="n">
        <f>20</f>
        <v>20.0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2364.5</f>
        <v>2364.5</v>
      </c>
      <c r="L59" s="34" t="s">
        <v>48</v>
      </c>
      <c r="M59" s="33" t="n">
        <f>2381</f>
        <v>2381.0</v>
      </c>
      <c r="N59" s="34" t="s">
        <v>48</v>
      </c>
      <c r="O59" s="33" t="n">
        <f>2249</f>
        <v>2249.0</v>
      </c>
      <c r="P59" s="34" t="s">
        <v>49</v>
      </c>
      <c r="Q59" s="33" t="n">
        <f>2352.5</f>
        <v>2352.5</v>
      </c>
      <c r="R59" s="34" t="s">
        <v>50</v>
      </c>
      <c r="S59" s="35" t="n">
        <f>2306.63</f>
        <v>2306.63</v>
      </c>
      <c r="T59" s="32" t="n">
        <f>2337500</f>
        <v>2337500.0</v>
      </c>
      <c r="U59" s="32" t="n">
        <f>500160</f>
        <v>500160.0</v>
      </c>
      <c r="V59" s="32" t="n">
        <f>5420783090</f>
        <v>5.42078309E9</v>
      </c>
      <c r="W59" s="32" t="n">
        <f>1180679120</f>
        <v>1.18067912E9</v>
      </c>
      <c r="X59" s="36" t="n">
        <f>20</f>
        <v>20.0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21655</f>
        <v>21655.0</v>
      </c>
      <c r="L60" s="34" t="s">
        <v>48</v>
      </c>
      <c r="M60" s="33" t="n">
        <f>21655</f>
        <v>21655.0</v>
      </c>
      <c r="N60" s="34" t="s">
        <v>48</v>
      </c>
      <c r="O60" s="33" t="n">
        <f>20140</f>
        <v>20140.0</v>
      </c>
      <c r="P60" s="34" t="s">
        <v>227</v>
      </c>
      <c r="Q60" s="33" t="n">
        <f>21205</f>
        <v>21205.0</v>
      </c>
      <c r="R60" s="34" t="s">
        <v>50</v>
      </c>
      <c r="S60" s="35" t="n">
        <f>20811.5</f>
        <v>20811.5</v>
      </c>
      <c r="T60" s="32" t="n">
        <f>9858</f>
        <v>9858.0</v>
      </c>
      <c r="U60" s="32" t="str">
        <f>"－"</f>
        <v>－</v>
      </c>
      <c r="V60" s="32" t="n">
        <f>204929635</f>
        <v>2.04929635E8</v>
      </c>
      <c r="W60" s="32" t="str">
        <f>"－"</f>
        <v>－</v>
      </c>
      <c r="X60" s="36" t="n">
        <f>20</f>
        <v>20.0</v>
      </c>
    </row>
    <row r="61">
      <c r="A61" s="27" t="s">
        <v>42</v>
      </c>
      <c r="B61" s="27" t="s">
        <v>228</v>
      </c>
      <c r="C61" s="27" t="s">
        <v>229</v>
      </c>
      <c r="D61" s="27" t="s">
        <v>230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2385</f>
        <v>2385.0</v>
      </c>
      <c r="L61" s="34" t="s">
        <v>48</v>
      </c>
      <c r="M61" s="33" t="n">
        <f>2411</f>
        <v>2411.0</v>
      </c>
      <c r="N61" s="34" t="s">
        <v>50</v>
      </c>
      <c r="O61" s="33" t="n">
        <f>2291</f>
        <v>2291.0</v>
      </c>
      <c r="P61" s="34" t="s">
        <v>49</v>
      </c>
      <c r="Q61" s="33" t="n">
        <f>2401</f>
        <v>2401.0</v>
      </c>
      <c r="R61" s="34" t="s">
        <v>50</v>
      </c>
      <c r="S61" s="35" t="n">
        <f>2351.65</f>
        <v>2351.65</v>
      </c>
      <c r="T61" s="32" t="n">
        <f>22801955</f>
        <v>2.2801955E7</v>
      </c>
      <c r="U61" s="32" t="n">
        <f>10895860</f>
        <v>1.089586E7</v>
      </c>
      <c r="V61" s="32" t="n">
        <f>53727128251</f>
        <v>5.3727128251E10</v>
      </c>
      <c r="W61" s="32" t="n">
        <f>25737830154</f>
        <v>2.5737830154E10</v>
      </c>
      <c r="X61" s="36" t="n">
        <f>20</f>
        <v>20.0</v>
      </c>
    </row>
    <row r="62">
      <c r="A62" s="27" t="s">
        <v>42</v>
      </c>
      <c r="B62" s="27" t="s">
        <v>231</v>
      </c>
      <c r="C62" s="27" t="s">
        <v>232</v>
      </c>
      <c r="D62" s="27" t="s">
        <v>233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1927</f>
        <v>1927.0</v>
      </c>
      <c r="L62" s="34" t="s">
        <v>48</v>
      </c>
      <c r="M62" s="33" t="n">
        <f>1969</f>
        <v>1969.0</v>
      </c>
      <c r="N62" s="34" t="s">
        <v>104</v>
      </c>
      <c r="O62" s="33" t="n">
        <f>1902</f>
        <v>1902.0</v>
      </c>
      <c r="P62" s="34" t="s">
        <v>69</v>
      </c>
      <c r="Q62" s="33" t="n">
        <f>1948</f>
        <v>1948.0</v>
      </c>
      <c r="R62" s="34" t="s">
        <v>50</v>
      </c>
      <c r="S62" s="35" t="n">
        <f>1934.5</f>
        <v>1934.5</v>
      </c>
      <c r="T62" s="32" t="n">
        <f>3114458</f>
        <v>3114458.0</v>
      </c>
      <c r="U62" s="32" t="n">
        <f>1676330</f>
        <v>1676330.0</v>
      </c>
      <c r="V62" s="32" t="n">
        <f>6043976347</f>
        <v>6.043976347E9</v>
      </c>
      <c r="W62" s="32" t="n">
        <f>3259528784</f>
        <v>3.259528784E9</v>
      </c>
      <c r="X62" s="36" t="n">
        <f>20</f>
        <v>20.0</v>
      </c>
    </row>
    <row r="63">
      <c r="A63" s="27" t="s">
        <v>42</v>
      </c>
      <c r="B63" s="27" t="s">
        <v>234</v>
      </c>
      <c r="C63" s="27" t="s">
        <v>235</v>
      </c>
      <c r="D63" s="27" t="s">
        <v>236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2209</f>
        <v>2209.0</v>
      </c>
      <c r="L63" s="34" t="s">
        <v>48</v>
      </c>
      <c r="M63" s="33" t="n">
        <f>2248</f>
        <v>2248.0</v>
      </c>
      <c r="N63" s="34" t="s">
        <v>117</v>
      </c>
      <c r="O63" s="33" t="n">
        <f>2118</f>
        <v>2118.0</v>
      </c>
      <c r="P63" s="34" t="s">
        <v>69</v>
      </c>
      <c r="Q63" s="33" t="n">
        <f>2216</f>
        <v>2216.0</v>
      </c>
      <c r="R63" s="34" t="s">
        <v>50</v>
      </c>
      <c r="S63" s="35" t="n">
        <f>2178.55</f>
        <v>2178.55</v>
      </c>
      <c r="T63" s="32" t="n">
        <f>80711</f>
        <v>80711.0</v>
      </c>
      <c r="U63" s="32" t="n">
        <f>18814</f>
        <v>18814.0</v>
      </c>
      <c r="V63" s="32" t="n">
        <f>177958739</f>
        <v>1.77958739E8</v>
      </c>
      <c r="W63" s="32" t="n">
        <f>41768244</f>
        <v>4.1768244E7</v>
      </c>
      <c r="X63" s="36" t="n">
        <f>20</f>
        <v>20.0</v>
      </c>
    </row>
    <row r="64">
      <c r="A64" s="27" t="s">
        <v>42</v>
      </c>
      <c r="B64" s="27" t="s">
        <v>237</v>
      </c>
      <c r="C64" s="27" t="s">
        <v>238</v>
      </c>
      <c r="D64" s="27" t="s">
        <v>239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2965</f>
        <v>2965.0</v>
      </c>
      <c r="L64" s="34" t="s">
        <v>48</v>
      </c>
      <c r="M64" s="33" t="n">
        <f>3005</f>
        <v>3005.0</v>
      </c>
      <c r="N64" s="34" t="s">
        <v>50</v>
      </c>
      <c r="O64" s="33" t="n">
        <f>2830</f>
        <v>2830.0</v>
      </c>
      <c r="P64" s="34" t="s">
        <v>64</v>
      </c>
      <c r="Q64" s="33" t="n">
        <f>2994</f>
        <v>2994.0</v>
      </c>
      <c r="R64" s="34" t="s">
        <v>50</v>
      </c>
      <c r="S64" s="35" t="n">
        <f>2925.05</f>
        <v>2925.05</v>
      </c>
      <c r="T64" s="32" t="n">
        <f>2997401</f>
        <v>2997401.0</v>
      </c>
      <c r="U64" s="32" t="n">
        <f>1960647</f>
        <v>1960647.0</v>
      </c>
      <c r="V64" s="32" t="n">
        <f>8866639080</f>
        <v>8.86663908E9</v>
      </c>
      <c r="W64" s="32" t="n">
        <f>5835737951</f>
        <v>5.835737951E9</v>
      </c>
      <c r="X64" s="36" t="n">
        <f>20</f>
        <v>20.0</v>
      </c>
    </row>
    <row r="65">
      <c r="A65" s="27" t="s">
        <v>42</v>
      </c>
      <c r="B65" s="27" t="s">
        <v>240</v>
      </c>
      <c r="C65" s="27" t="s">
        <v>241</v>
      </c>
      <c r="D65" s="27" t="s">
        <v>242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29095</f>
        <v>29095.0</v>
      </c>
      <c r="L65" s="34" t="s">
        <v>86</v>
      </c>
      <c r="M65" s="33" t="n">
        <f>29095</f>
        <v>29095.0</v>
      </c>
      <c r="N65" s="34" t="s">
        <v>86</v>
      </c>
      <c r="O65" s="33" t="n">
        <f>27650</f>
        <v>27650.0</v>
      </c>
      <c r="P65" s="34" t="s">
        <v>91</v>
      </c>
      <c r="Q65" s="33" t="n">
        <f>28695</f>
        <v>28695.0</v>
      </c>
      <c r="R65" s="34" t="s">
        <v>50</v>
      </c>
      <c r="S65" s="35" t="n">
        <f>28357.78</f>
        <v>28357.78</v>
      </c>
      <c r="T65" s="32" t="n">
        <f>3138</f>
        <v>3138.0</v>
      </c>
      <c r="U65" s="32" t="str">
        <f>"－"</f>
        <v>－</v>
      </c>
      <c r="V65" s="32" t="n">
        <f>89721965</f>
        <v>8.9721965E7</v>
      </c>
      <c r="W65" s="32" t="str">
        <f>"－"</f>
        <v>－</v>
      </c>
      <c r="X65" s="36" t="n">
        <f>9</f>
        <v>9.0</v>
      </c>
    </row>
    <row r="66">
      <c r="A66" s="27" t="s">
        <v>42</v>
      </c>
      <c r="B66" s="27" t="s">
        <v>243</v>
      </c>
      <c r="C66" s="27" t="s">
        <v>244</v>
      </c>
      <c r="D66" s="27" t="s">
        <v>245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23470</f>
        <v>23470.0</v>
      </c>
      <c r="L66" s="34" t="s">
        <v>48</v>
      </c>
      <c r="M66" s="33" t="n">
        <f>23955</f>
        <v>23955.0</v>
      </c>
      <c r="N66" s="34" t="s">
        <v>86</v>
      </c>
      <c r="O66" s="33" t="n">
        <f>22500</f>
        <v>22500.0</v>
      </c>
      <c r="P66" s="34" t="s">
        <v>159</v>
      </c>
      <c r="Q66" s="33" t="n">
        <f>23180</f>
        <v>23180.0</v>
      </c>
      <c r="R66" s="34" t="s">
        <v>50</v>
      </c>
      <c r="S66" s="35" t="n">
        <f>22927.5</f>
        <v>22927.5</v>
      </c>
      <c r="T66" s="32" t="n">
        <f>75</f>
        <v>75.0</v>
      </c>
      <c r="U66" s="32" t="str">
        <f>"－"</f>
        <v>－</v>
      </c>
      <c r="V66" s="32" t="n">
        <f>1718275</f>
        <v>1718275.0</v>
      </c>
      <c r="W66" s="32" t="str">
        <f>"－"</f>
        <v>－</v>
      </c>
      <c r="X66" s="36" t="n">
        <f>10</f>
        <v>10.0</v>
      </c>
    </row>
    <row r="67">
      <c r="A67" s="27" t="s">
        <v>42</v>
      </c>
      <c r="B67" s="27" t="s">
        <v>246</v>
      </c>
      <c r="C67" s="27" t="s">
        <v>247</v>
      </c>
      <c r="D67" s="27" t="s">
        <v>248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2410</f>
        <v>2410.0</v>
      </c>
      <c r="L67" s="34" t="s">
        <v>48</v>
      </c>
      <c r="M67" s="33" t="n">
        <f>2430</f>
        <v>2430.0</v>
      </c>
      <c r="N67" s="34" t="s">
        <v>91</v>
      </c>
      <c r="O67" s="33" t="n">
        <f>2280</f>
        <v>2280.0</v>
      </c>
      <c r="P67" s="34" t="s">
        <v>49</v>
      </c>
      <c r="Q67" s="33" t="n">
        <f>2367</f>
        <v>2367.0</v>
      </c>
      <c r="R67" s="34" t="s">
        <v>50</v>
      </c>
      <c r="S67" s="35" t="n">
        <f>2339.17</f>
        <v>2339.17</v>
      </c>
      <c r="T67" s="32" t="n">
        <f>7520</f>
        <v>7520.0</v>
      </c>
      <c r="U67" s="32" t="str">
        <f>"－"</f>
        <v>－</v>
      </c>
      <c r="V67" s="32" t="n">
        <f>17615435</f>
        <v>1.7615435E7</v>
      </c>
      <c r="W67" s="32" t="str">
        <f>"－"</f>
        <v>－</v>
      </c>
      <c r="X67" s="36" t="n">
        <f>18</f>
        <v>18.0</v>
      </c>
    </row>
    <row r="68">
      <c r="A68" s="27" t="s">
        <v>42</v>
      </c>
      <c r="B68" s="27" t="s">
        <v>249</v>
      </c>
      <c r="C68" s="27" t="s">
        <v>250</v>
      </c>
      <c r="D68" s="27" t="s">
        <v>251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1856</f>
        <v>1856.0</v>
      </c>
      <c r="L68" s="34" t="s">
        <v>48</v>
      </c>
      <c r="M68" s="33" t="n">
        <f>1863</f>
        <v>1863.0</v>
      </c>
      <c r="N68" s="34" t="s">
        <v>155</v>
      </c>
      <c r="O68" s="33" t="n">
        <f>1813</f>
        <v>1813.0</v>
      </c>
      <c r="P68" s="34" t="s">
        <v>69</v>
      </c>
      <c r="Q68" s="33" t="n">
        <f>1828</f>
        <v>1828.0</v>
      </c>
      <c r="R68" s="34" t="s">
        <v>50</v>
      </c>
      <c r="S68" s="35" t="n">
        <f>1844.5</f>
        <v>1844.5</v>
      </c>
      <c r="T68" s="32" t="n">
        <f>8364692</f>
        <v>8364692.0</v>
      </c>
      <c r="U68" s="32" t="n">
        <f>5746511</f>
        <v>5746511.0</v>
      </c>
      <c r="V68" s="32" t="n">
        <f>15377608410</f>
        <v>1.537760841E10</v>
      </c>
      <c r="W68" s="32" t="n">
        <f>10569942067</f>
        <v>1.0569942067E10</v>
      </c>
      <c r="X68" s="36" t="n">
        <f>20</f>
        <v>20.0</v>
      </c>
    </row>
    <row r="69">
      <c r="A69" s="27" t="s">
        <v>42</v>
      </c>
      <c r="B69" s="27" t="s">
        <v>252</v>
      </c>
      <c r="C69" s="27" t="s">
        <v>253</v>
      </c>
      <c r="D69" s="27" t="s">
        <v>254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2400</f>
        <v>2400.0</v>
      </c>
      <c r="L69" s="34" t="s">
        <v>48</v>
      </c>
      <c r="M69" s="33" t="n">
        <f>2465</f>
        <v>2465.0</v>
      </c>
      <c r="N69" s="34" t="s">
        <v>86</v>
      </c>
      <c r="O69" s="33" t="n">
        <f>2300</f>
        <v>2300.0</v>
      </c>
      <c r="P69" s="34" t="s">
        <v>70</v>
      </c>
      <c r="Q69" s="33" t="n">
        <f>2370</f>
        <v>2370.0</v>
      </c>
      <c r="R69" s="34" t="s">
        <v>50</v>
      </c>
      <c r="S69" s="35" t="n">
        <f>2355.89</f>
        <v>2355.89</v>
      </c>
      <c r="T69" s="32" t="n">
        <f>3153</f>
        <v>3153.0</v>
      </c>
      <c r="U69" s="32" t="str">
        <f>"－"</f>
        <v>－</v>
      </c>
      <c r="V69" s="32" t="n">
        <f>7417576</f>
        <v>7417576.0</v>
      </c>
      <c r="W69" s="32" t="str">
        <f>"－"</f>
        <v>－</v>
      </c>
      <c r="X69" s="36" t="n">
        <f>18</f>
        <v>18.0</v>
      </c>
    </row>
    <row r="70">
      <c r="A70" s="27" t="s">
        <v>42</v>
      </c>
      <c r="B70" s="27" t="s">
        <v>255</v>
      </c>
      <c r="C70" s="27" t="s">
        <v>256</v>
      </c>
      <c r="D70" s="27" t="s">
        <v>257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10.0</v>
      </c>
      <c r="K70" s="33" t="n">
        <f>2382</f>
        <v>2382.0</v>
      </c>
      <c r="L70" s="34" t="s">
        <v>48</v>
      </c>
      <c r="M70" s="33" t="n">
        <f>2382</f>
        <v>2382.0</v>
      </c>
      <c r="N70" s="34" t="s">
        <v>48</v>
      </c>
      <c r="O70" s="33" t="n">
        <f>2241</f>
        <v>2241.0</v>
      </c>
      <c r="P70" s="34" t="s">
        <v>49</v>
      </c>
      <c r="Q70" s="33" t="n">
        <f>2329.5</f>
        <v>2329.5</v>
      </c>
      <c r="R70" s="34" t="s">
        <v>50</v>
      </c>
      <c r="S70" s="35" t="n">
        <f>2297.05</f>
        <v>2297.05</v>
      </c>
      <c r="T70" s="32" t="n">
        <f>22650</f>
        <v>22650.0</v>
      </c>
      <c r="U70" s="32" t="str">
        <f>"－"</f>
        <v>－</v>
      </c>
      <c r="V70" s="32" t="n">
        <f>52087265</f>
        <v>5.2087265E7</v>
      </c>
      <c r="W70" s="32" t="str">
        <f>"－"</f>
        <v>－</v>
      </c>
      <c r="X70" s="36" t="n">
        <f>20</f>
        <v>20.0</v>
      </c>
    </row>
    <row r="71">
      <c r="A71" s="27" t="s">
        <v>42</v>
      </c>
      <c r="B71" s="27" t="s">
        <v>258</v>
      </c>
      <c r="C71" s="27" t="s">
        <v>259</v>
      </c>
      <c r="D71" s="27" t="s">
        <v>260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35560</f>
        <v>35560.0</v>
      </c>
      <c r="L71" s="34" t="s">
        <v>90</v>
      </c>
      <c r="M71" s="33" t="n">
        <f>35560</f>
        <v>35560.0</v>
      </c>
      <c r="N71" s="34" t="s">
        <v>90</v>
      </c>
      <c r="O71" s="33" t="n">
        <f>35560</f>
        <v>35560.0</v>
      </c>
      <c r="P71" s="34" t="s">
        <v>90</v>
      </c>
      <c r="Q71" s="33" t="n">
        <f>35560</f>
        <v>35560.0</v>
      </c>
      <c r="R71" s="34" t="s">
        <v>90</v>
      </c>
      <c r="S71" s="35" t="n">
        <f>35560</f>
        <v>35560.0</v>
      </c>
      <c r="T71" s="32" t="n">
        <f>30</f>
        <v>30.0</v>
      </c>
      <c r="U71" s="32" t="str">
        <f>"－"</f>
        <v>－</v>
      </c>
      <c r="V71" s="32" t="n">
        <f>1066800</f>
        <v>1066800.0</v>
      </c>
      <c r="W71" s="32" t="str">
        <f>"－"</f>
        <v>－</v>
      </c>
      <c r="X71" s="36" t="n">
        <f>1</f>
        <v>1.0</v>
      </c>
    </row>
    <row r="72">
      <c r="A72" s="27" t="s">
        <v>42</v>
      </c>
      <c r="B72" s="27" t="s">
        <v>261</v>
      </c>
      <c r="C72" s="27" t="s">
        <v>262</v>
      </c>
      <c r="D72" s="27" t="s">
        <v>263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23310</f>
        <v>23310.0</v>
      </c>
      <c r="L72" s="34" t="s">
        <v>48</v>
      </c>
      <c r="M72" s="33" t="n">
        <f>23330</f>
        <v>23330.0</v>
      </c>
      <c r="N72" s="34" t="s">
        <v>86</v>
      </c>
      <c r="O72" s="33" t="n">
        <f>21595</f>
        <v>21595.0</v>
      </c>
      <c r="P72" s="34" t="s">
        <v>117</v>
      </c>
      <c r="Q72" s="33" t="n">
        <f>22220</f>
        <v>22220.0</v>
      </c>
      <c r="R72" s="34" t="s">
        <v>50</v>
      </c>
      <c r="S72" s="35" t="n">
        <f>22356.25</f>
        <v>22356.25</v>
      </c>
      <c r="T72" s="32" t="n">
        <f>731465</f>
        <v>731465.0</v>
      </c>
      <c r="U72" s="32" t="n">
        <f>645302</f>
        <v>645302.0</v>
      </c>
      <c r="V72" s="32" t="n">
        <f>16601646156</f>
        <v>1.6601646156E10</v>
      </c>
      <c r="W72" s="32" t="n">
        <f>14670732696</f>
        <v>1.4670732696E10</v>
      </c>
      <c r="X72" s="36" t="n">
        <f>20</f>
        <v>20.0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14335</f>
        <v>14335.0</v>
      </c>
      <c r="L73" s="34" t="s">
        <v>48</v>
      </c>
      <c r="M73" s="33" t="n">
        <f>14600</f>
        <v>14600.0</v>
      </c>
      <c r="N73" s="34" t="s">
        <v>184</v>
      </c>
      <c r="O73" s="33" t="n">
        <f>13855</f>
        <v>13855.0</v>
      </c>
      <c r="P73" s="34" t="s">
        <v>267</v>
      </c>
      <c r="Q73" s="33" t="n">
        <f>14005</f>
        <v>14005.0</v>
      </c>
      <c r="R73" s="34" t="s">
        <v>50</v>
      </c>
      <c r="S73" s="35" t="n">
        <f>14147.75</f>
        <v>14147.75</v>
      </c>
      <c r="T73" s="32" t="n">
        <f>445876</f>
        <v>445876.0</v>
      </c>
      <c r="U73" s="32" t="n">
        <f>262940</f>
        <v>262940.0</v>
      </c>
      <c r="V73" s="32" t="n">
        <f>6274390013</f>
        <v>6.274390013E9</v>
      </c>
      <c r="W73" s="32" t="n">
        <f>3683847253</f>
        <v>3.683847253E9</v>
      </c>
      <c r="X73" s="36" t="n">
        <f>20</f>
        <v>20.0</v>
      </c>
    </row>
    <row r="74">
      <c r="A74" s="27" t="s">
        <v>42</v>
      </c>
      <c r="B74" s="27" t="s">
        <v>268</v>
      </c>
      <c r="C74" s="27" t="s">
        <v>269</v>
      </c>
      <c r="D74" s="27" t="s">
        <v>270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10.0</v>
      </c>
      <c r="K74" s="33" t="n">
        <f>1924</f>
        <v>1924.0</v>
      </c>
      <c r="L74" s="34" t="s">
        <v>48</v>
      </c>
      <c r="M74" s="33" t="n">
        <f>1967</f>
        <v>1967.0</v>
      </c>
      <c r="N74" s="34" t="s">
        <v>104</v>
      </c>
      <c r="O74" s="33" t="n">
        <f>1898.5</f>
        <v>1898.5</v>
      </c>
      <c r="P74" s="34" t="s">
        <v>69</v>
      </c>
      <c r="Q74" s="33" t="n">
        <f>1943</f>
        <v>1943.0</v>
      </c>
      <c r="R74" s="34" t="s">
        <v>50</v>
      </c>
      <c r="S74" s="35" t="n">
        <f>1931.73</f>
        <v>1931.73</v>
      </c>
      <c r="T74" s="32" t="n">
        <f>591430</f>
        <v>591430.0</v>
      </c>
      <c r="U74" s="32" t="n">
        <f>222050</f>
        <v>222050.0</v>
      </c>
      <c r="V74" s="32" t="n">
        <f>1146275071</f>
        <v>1.146275071E9</v>
      </c>
      <c r="W74" s="32" t="n">
        <f>432301416</f>
        <v>4.32301416E8</v>
      </c>
      <c r="X74" s="36" t="n">
        <f>20</f>
        <v>20.0</v>
      </c>
    </row>
    <row r="75">
      <c r="A75" s="27" t="s">
        <v>42</v>
      </c>
      <c r="B75" s="27" t="s">
        <v>271</v>
      </c>
      <c r="C75" s="27" t="s">
        <v>272</v>
      </c>
      <c r="D75" s="27" t="s">
        <v>273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52330</f>
        <v>52330.0</v>
      </c>
      <c r="L75" s="34" t="s">
        <v>48</v>
      </c>
      <c r="M75" s="33" t="n">
        <f>54500</f>
        <v>54500.0</v>
      </c>
      <c r="N75" s="34" t="s">
        <v>50</v>
      </c>
      <c r="O75" s="33" t="n">
        <f>50940</f>
        <v>50940.0</v>
      </c>
      <c r="P75" s="34" t="s">
        <v>91</v>
      </c>
      <c r="Q75" s="33" t="n">
        <f>54300</f>
        <v>54300.0</v>
      </c>
      <c r="R75" s="34" t="s">
        <v>50</v>
      </c>
      <c r="S75" s="35" t="n">
        <f>52397.5</f>
        <v>52397.5</v>
      </c>
      <c r="T75" s="32" t="n">
        <f>350489</f>
        <v>350489.0</v>
      </c>
      <c r="U75" s="32" t="n">
        <f>22420</f>
        <v>22420.0</v>
      </c>
      <c r="V75" s="32" t="n">
        <f>18372653209</f>
        <v>1.8372653209E10</v>
      </c>
      <c r="W75" s="32" t="n">
        <f>1167591479</f>
        <v>1.167591479E9</v>
      </c>
      <c r="X75" s="36" t="n">
        <f>20</f>
        <v>20.0</v>
      </c>
    </row>
    <row r="76">
      <c r="A76" s="27" t="s">
        <v>42</v>
      </c>
      <c r="B76" s="27" t="s">
        <v>274</v>
      </c>
      <c r="C76" s="27" t="s">
        <v>275</v>
      </c>
      <c r="D76" s="27" t="s">
        <v>276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10.0</v>
      </c>
      <c r="K76" s="33" t="n">
        <f>7627</f>
        <v>7627.0</v>
      </c>
      <c r="L76" s="34" t="s">
        <v>159</v>
      </c>
      <c r="M76" s="33" t="n">
        <f>7663</f>
        <v>7663.0</v>
      </c>
      <c r="N76" s="34" t="s">
        <v>70</v>
      </c>
      <c r="O76" s="33" t="n">
        <f>7627</f>
        <v>7627.0</v>
      </c>
      <c r="P76" s="34" t="s">
        <v>159</v>
      </c>
      <c r="Q76" s="33" t="n">
        <f>7662</f>
        <v>7662.0</v>
      </c>
      <c r="R76" s="34" t="s">
        <v>50</v>
      </c>
      <c r="S76" s="35" t="n">
        <f>7650.67</f>
        <v>7650.67</v>
      </c>
      <c r="T76" s="32" t="n">
        <f>350</f>
        <v>350.0</v>
      </c>
      <c r="U76" s="32" t="str">
        <f>"－"</f>
        <v>－</v>
      </c>
      <c r="V76" s="32" t="n">
        <f>2678440</f>
        <v>2678440.0</v>
      </c>
      <c r="W76" s="32" t="str">
        <f>"－"</f>
        <v>－</v>
      </c>
      <c r="X76" s="36" t="n">
        <f>3</f>
        <v>3.0</v>
      </c>
    </row>
    <row r="77">
      <c r="A77" s="27" t="s">
        <v>42</v>
      </c>
      <c r="B77" s="27" t="s">
        <v>277</v>
      </c>
      <c r="C77" s="27" t="s">
        <v>278</v>
      </c>
      <c r="D77" s="27" t="s">
        <v>279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17300</f>
        <v>17300.0</v>
      </c>
      <c r="L77" s="34" t="s">
        <v>48</v>
      </c>
      <c r="M77" s="33" t="n">
        <f>17400</f>
        <v>17400.0</v>
      </c>
      <c r="N77" s="34" t="s">
        <v>159</v>
      </c>
      <c r="O77" s="33" t="n">
        <f>16400</f>
        <v>16400.0</v>
      </c>
      <c r="P77" s="34" t="s">
        <v>48</v>
      </c>
      <c r="Q77" s="33" t="n">
        <f>17265</f>
        <v>17265.0</v>
      </c>
      <c r="R77" s="34" t="s">
        <v>50</v>
      </c>
      <c r="S77" s="35" t="n">
        <f>17157.75</f>
        <v>17157.75</v>
      </c>
      <c r="T77" s="32" t="n">
        <f>4681</f>
        <v>4681.0</v>
      </c>
      <c r="U77" s="32" t="n">
        <f>4000</f>
        <v>4000.0</v>
      </c>
      <c r="V77" s="32" t="n">
        <f>78872062</f>
        <v>7.8872062E7</v>
      </c>
      <c r="W77" s="32" t="n">
        <f>67208557</f>
        <v>6.7208557E7</v>
      </c>
      <c r="X77" s="36" t="n">
        <f>20</f>
        <v>20.0</v>
      </c>
    </row>
    <row r="78">
      <c r="A78" s="27" t="s">
        <v>42</v>
      </c>
      <c r="B78" s="27" t="s">
        <v>280</v>
      </c>
      <c r="C78" s="27" t="s">
        <v>281</v>
      </c>
      <c r="D78" s="27" t="s">
        <v>282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17120</f>
        <v>17120.0</v>
      </c>
      <c r="L78" s="34" t="s">
        <v>48</v>
      </c>
      <c r="M78" s="33" t="n">
        <f>17125</f>
        <v>17125.0</v>
      </c>
      <c r="N78" s="34" t="s">
        <v>48</v>
      </c>
      <c r="O78" s="33" t="n">
        <f>16330</f>
        <v>16330.0</v>
      </c>
      <c r="P78" s="34" t="s">
        <v>64</v>
      </c>
      <c r="Q78" s="33" t="n">
        <f>16870</f>
        <v>16870.0</v>
      </c>
      <c r="R78" s="34" t="s">
        <v>50</v>
      </c>
      <c r="S78" s="35" t="n">
        <f>16655.25</f>
        <v>16655.25</v>
      </c>
      <c r="T78" s="32" t="n">
        <f>3416</f>
        <v>3416.0</v>
      </c>
      <c r="U78" s="32" t="str">
        <f>"－"</f>
        <v>－</v>
      </c>
      <c r="V78" s="32" t="n">
        <f>56856675</f>
        <v>5.6856675E7</v>
      </c>
      <c r="W78" s="32" t="str">
        <f>"－"</f>
        <v>－</v>
      </c>
      <c r="X78" s="36" t="n">
        <f>20</f>
        <v>20.0</v>
      </c>
    </row>
    <row r="79">
      <c r="A79" s="27" t="s">
        <v>42</v>
      </c>
      <c r="B79" s="27" t="s">
        <v>283</v>
      </c>
      <c r="C79" s="27" t="s">
        <v>284</v>
      </c>
      <c r="D79" s="27" t="s">
        <v>285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24640</f>
        <v>24640.0</v>
      </c>
      <c r="L79" s="34" t="s">
        <v>48</v>
      </c>
      <c r="M79" s="33" t="n">
        <f>25760</f>
        <v>25760.0</v>
      </c>
      <c r="N79" s="34" t="s">
        <v>50</v>
      </c>
      <c r="O79" s="33" t="n">
        <f>24080</f>
        <v>24080.0</v>
      </c>
      <c r="P79" s="34" t="s">
        <v>91</v>
      </c>
      <c r="Q79" s="33" t="n">
        <f>25570</f>
        <v>25570.0</v>
      </c>
      <c r="R79" s="34" t="s">
        <v>50</v>
      </c>
      <c r="S79" s="35" t="n">
        <f>24706</f>
        <v>24706.0</v>
      </c>
      <c r="T79" s="32" t="n">
        <f>24811</f>
        <v>24811.0</v>
      </c>
      <c r="U79" s="32" t="n">
        <f>1000</f>
        <v>1000.0</v>
      </c>
      <c r="V79" s="32" t="n">
        <f>612288305</f>
        <v>6.12288305E8</v>
      </c>
      <c r="W79" s="32" t="n">
        <f>24703800</f>
        <v>2.47038E7</v>
      </c>
      <c r="X79" s="36" t="n">
        <f>20</f>
        <v>20.0</v>
      </c>
    </row>
    <row r="80">
      <c r="A80" s="27" t="s">
        <v>42</v>
      </c>
      <c r="B80" s="27" t="s">
        <v>286</v>
      </c>
      <c r="C80" s="27" t="s">
        <v>287</v>
      </c>
      <c r="D80" s="27" t="s">
        <v>288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10865</f>
        <v>10865.0</v>
      </c>
      <c r="L80" s="34" t="s">
        <v>48</v>
      </c>
      <c r="M80" s="33" t="n">
        <f>10965</f>
        <v>10965.0</v>
      </c>
      <c r="N80" s="34" t="s">
        <v>86</v>
      </c>
      <c r="O80" s="33" t="n">
        <f>10350</f>
        <v>10350.0</v>
      </c>
      <c r="P80" s="34" t="s">
        <v>70</v>
      </c>
      <c r="Q80" s="33" t="n">
        <f>10555</f>
        <v>10555.0</v>
      </c>
      <c r="R80" s="34" t="s">
        <v>50</v>
      </c>
      <c r="S80" s="35" t="n">
        <f>10610.75</f>
        <v>10610.75</v>
      </c>
      <c r="T80" s="32" t="n">
        <f>18280</f>
        <v>18280.0</v>
      </c>
      <c r="U80" s="32" t="n">
        <f>60</f>
        <v>60.0</v>
      </c>
      <c r="V80" s="32" t="n">
        <f>193804550</f>
        <v>1.9380455E8</v>
      </c>
      <c r="W80" s="32" t="n">
        <f>632950</f>
        <v>632950.0</v>
      </c>
      <c r="X80" s="36" t="n">
        <f>20</f>
        <v>20.0</v>
      </c>
    </row>
    <row r="81">
      <c r="A81" s="27" t="s">
        <v>42</v>
      </c>
      <c r="B81" s="27" t="s">
        <v>289</v>
      </c>
      <c r="C81" s="27" t="s">
        <v>290</v>
      </c>
      <c r="D81" s="27" t="s">
        <v>291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1960</f>
        <v>1960.0</v>
      </c>
      <c r="L81" s="34" t="s">
        <v>48</v>
      </c>
      <c r="M81" s="33" t="n">
        <f>1964</f>
        <v>1964.0</v>
      </c>
      <c r="N81" s="34" t="s">
        <v>86</v>
      </c>
      <c r="O81" s="33" t="n">
        <f>1897</f>
        <v>1897.0</v>
      </c>
      <c r="P81" s="34" t="s">
        <v>69</v>
      </c>
      <c r="Q81" s="33" t="n">
        <f>1928</f>
        <v>1928.0</v>
      </c>
      <c r="R81" s="34" t="s">
        <v>50</v>
      </c>
      <c r="S81" s="35" t="n">
        <f>1936.8</f>
        <v>1936.8</v>
      </c>
      <c r="T81" s="32" t="n">
        <f>1344428</f>
        <v>1344428.0</v>
      </c>
      <c r="U81" s="32" t="n">
        <f>826500</f>
        <v>826500.0</v>
      </c>
      <c r="V81" s="32" t="n">
        <f>2607891041</f>
        <v>2.607891041E9</v>
      </c>
      <c r="W81" s="32" t="n">
        <f>1606030193</f>
        <v>1.606030193E9</v>
      </c>
      <c r="X81" s="36" t="n">
        <f>20</f>
        <v>20.0</v>
      </c>
    </row>
    <row r="82">
      <c r="A82" s="27" t="s">
        <v>42</v>
      </c>
      <c r="B82" s="27" t="s">
        <v>292</v>
      </c>
      <c r="C82" s="27" t="s">
        <v>293</v>
      </c>
      <c r="D82" s="27" t="s">
        <v>294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1915</f>
        <v>1915.0</v>
      </c>
      <c r="L82" s="34" t="s">
        <v>48</v>
      </c>
      <c r="M82" s="33" t="n">
        <f>1924</f>
        <v>1924.0</v>
      </c>
      <c r="N82" s="34" t="s">
        <v>90</v>
      </c>
      <c r="O82" s="33" t="n">
        <f>1868</f>
        <v>1868.0</v>
      </c>
      <c r="P82" s="34" t="s">
        <v>69</v>
      </c>
      <c r="Q82" s="33" t="n">
        <f>1893</f>
        <v>1893.0</v>
      </c>
      <c r="R82" s="34" t="s">
        <v>50</v>
      </c>
      <c r="S82" s="35" t="n">
        <f>1902.3</f>
        <v>1902.3</v>
      </c>
      <c r="T82" s="32" t="n">
        <f>1004878</f>
        <v>1004878.0</v>
      </c>
      <c r="U82" s="32" t="n">
        <f>40730</f>
        <v>40730.0</v>
      </c>
      <c r="V82" s="32" t="n">
        <f>1905704070</f>
        <v>1.90570407E9</v>
      </c>
      <c r="W82" s="32" t="n">
        <f>77408641</f>
        <v>7.7408641E7</v>
      </c>
      <c r="X82" s="36" t="n">
        <f>20</f>
        <v>20.0</v>
      </c>
    </row>
    <row r="83">
      <c r="A83" s="27" t="s">
        <v>42</v>
      </c>
      <c r="B83" s="27" t="s">
        <v>295</v>
      </c>
      <c r="C83" s="27" t="s">
        <v>296</v>
      </c>
      <c r="D83" s="27" t="s">
        <v>297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18100</f>
        <v>18100.0</v>
      </c>
      <c r="L83" s="34" t="s">
        <v>48</v>
      </c>
      <c r="M83" s="33" t="n">
        <f>18200</f>
        <v>18200.0</v>
      </c>
      <c r="N83" s="34" t="s">
        <v>48</v>
      </c>
      <c r="O83" s="33" t="n">
        <f>17110</f>
        <v>17110.0</v>
      </c>
      <c r="P83" s="34" t="s">
        <v>49</v>
      </c>
      <c r="Q83" s="33" t="n">
        <f>17990</f>
        <v>17990.0</v>
      </c>
      <c r="R83" s="34" t="s">
        <v>50</v>
      </c>
      <c r="S83" s="35" t="n">
        <f>17623.5</f>
        <v>17623.5</v>
      </c>
      <c r="T83" s="32" t="n">
        <f>7975</f>
        <v>7975.0</v>
      </c>
      <c r="U83" s="32" t="str">
        <f>"－"</f>
        <v>－</v>
      </c>
      <c r="V83" s="32" t="n">
        <f>142488345</f>
        <v>1.42488345E8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298</v>
      </c>
      <c r="C84" s="27" t="s">
        <v>299</v>
      </c>
      <c r="D84" s="27" t="s">
        <v>300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9010</f>
        <v>9010.0</v>
      </c>
      <c r="L84" s="34" t="s">
        <v>48</v>
      </c>
      <c r="M84" s="33" t="n">
        <f>9290</f>
        <v>9290.0</v>
      </c>
      <c r="N84" s="34" t="s">
        <v>301</v>
      </c>
      <c r="O84" s="33" t="n">
        <f>8883</f>
        <v>8883.0</v>
      </c>
      <c r="P84" s="34" t="s">
        <v>60</v>
      </c>
      <c r="Q84" s="33" t="n">
        <f>9033</f>
        <v>9033.0</v>
      </c>
      <c r="R84" s="34" t="s">
        <v>50</v>
      </c>
      <c r="S84" s="35" t="n">
        <f>9013.9</f>
        <v>9013.9</v>
      </c>
      <c r="T84" s="32" t="n">
        <f>1891</f>
        <v>1891.0</v>
      </c>
      <c r="U84" s="32" t="n">
        <f>2</f>
        <v>2.0</v>
      </c>
      <c r="V84" s="32" t="n">
        <f>17079431</f>
        <v>1.7079431E7</v>
      </c>
      <c r="W84" s="32" t="n">
        <f>18039</f>
        <v>18039.0</v>
      </c>
      <c r="X84" s="36" t="n">
        <f>20</f>
        <v>20.0</v>
      </c>
    </row>
    <row r="85">
      <c r="A85" s="27" t="s">
        <v>42</v>
      </c>
      <c r="B85" s="27" t="s">
        <v>302</v>
      </c>
      <c r="C85" s="27" t="s">
        <v>303</v>
      </c>
      <c r="D85" s="27" t="s">
        <v>304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8433</f>
        <v>8433.0</v>
      </c>
      <c r="L85" s="34" t="s">
        <v>48</v>
      </c>
      <c r="M85" s="33" t="n">
        <f>8505</f>
        <v>8505.0</v>
      </c>
      <c r="N85" s="34" t="s">
        <v>90</v>
      </c>
      <c r="O85" s="33" t="n">
        <f>8235</f>
        <v>8235.0</v>
      </c>
      <c r="P85" s="34" t="s">
        <v>117</v>
      </c>
      <c r="Q85" s="33" t="n">
        <f>8436</f>
        <v>8436.0</v>
      </c>
      <c r="R85" s="34" t="s">
        <v>50</v>
      </c>
      <c r="S85" s="35" t="n">
        <f>8389.15</f>
        <v>8389.15</v>
      </c>
      <c r="T85" s="32" t="n">
        <f>1972460</f>
        <v>1972460.0</v>
      </c>
      <c r="U85" s="32" t="n">
        <f>37615</f>
        <v>37615.0</v>
      </c>
      <c r="V85" s="32" t="n">
        <f>16508042594</f>
        <v>1.6508042594E10</v>
      </c>
      <c r="W85" s="32" t="n">
        <f>316918058</f>
        <v>3.16918058E8</v>
      </c>
      <c r="X85" s="36" t="n">
        <f>20</f>
        <v>20.0</v>
      </c>
    </row>
    <row r="86">
      <c r="A86" s="27" t="s">
        <v>42</v>
      </c>
      <c r="B86" s="27" t="s">
        <v>305</v>
      </c>
      <c r="C86" s="27" t="s">
        <v>306</v>
      </c>
      <c r="D86" s="27" t="s">
        <v>307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3950</f>
        <v>3950.0</v>
      </c>
      <c r="L86" s="34" t="s">
        <v>48</v>
      </c>
      <c r="M86" s="33" t="n">
        <f>4095</f>
        <v>4095.0</v>
      </c>
      <c r="N86" s="34" t="s">
        <v>60</v>
      </c>
      <c r="O86" s="33" t="n">
        <f>3900</f>
        <v>3900.0</v>
      </c>
      <c r="P86" s="34" t="s">
        <v>117</v>
      </c>
      <c r="Q86" s="33" t="n">
        <f>3945</f>
        <v>3945.0</v>
      </c>
      <c r="R86" s="34" t="s">
        <v>50</v>
      </c>
      <c r="S86" s="35" t="n">
        <f>3999.25</f>
        <v>3999.25</v>
      </c>
      <c r="T86" s="32" t="n">
        <f>517888</f>
        <v>517888.0</v>
      </c>
      <c r="U86" s="32" t="str">
        <f>"－"</f>
        <v>－</v>
      </c>
      <c r="V86" s="32" t="n">
        <f>2060795545</f>
        <v>2.060795545E9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308</v>
      </c>
      <c r="C87" s="27" t="s">
        <v>309</v>
      </c>
      <c r="D87" s="27" t="s">
        <v>310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9562</f>
        <v>9562.0</v>
      </c>
      <c r="L87" s="34" t="s">
        <v>48</v>
      </c>
      <c r="M87" s="33" t="n">
        <f>10150</f>
        <v>10150.0</v>
      </c>
      <c r="N87" s="34" t="s">
        <v>155</v>
      </c>
      <c r="O87" s="33" t="n">
        <f>9412</f>
        <v>9412.0</v>
      </c>
      <c r="P87" s="34" t="s">
        <v>49</v>
      </c>
      <c r="Q87" s="33" t="n">
        <f>9850</f>
        <v>9850.0</v>
      </c>
      <c r="R87" s="34" t="s">
        <v>50</v>
      </c>
      <c r="S87" s="35" t="n">
        <f>9776.4</f>
        <v>9776.4</v>
      </c>
      <c r="T87" s="32" t="n">
        <f>117988</f>
        <v>117988.0</v>
      </c>
      <c r="U87" s="32" t="str">
        <f>"－"</f>
        <v>－</v>
      </c>
      <c r="V87" s="32" t="n">
        <f>1155022259</f>
        <v>1.155022259E9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311</v>
      </c>
      <c r="C88" s="27" t="s">
        <v>312</v>
      </c>
      <c r="D88" s="27" t="s">
        <v>313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53450</f>
        <v>53450.0</v>
      </c>
      <c r="L88" s="34" t="s">
        <v>48</v>
      </c>
      <c r="M88" s="33" t="n">
        <f>54340</f>
        <v>54340.0</v>
      </c>
      <c r="N88" s="34" t="s">
        <v>90</v>
      </c>
      <c r="O88" s="33" t="n">
        <f>51210</f>
        <v>51210.0</v>
      </c>
      <c r="P88" s="34" t="s">
        <v>117</v>
      </c>
      <c r="Q88" s="33" t="n">
        <f>51900</f>
        <v>51900.0</v>
      </c>
      <c r="R88" s="34" t="s">
        <v>50</v>
      </c>
      <c r="S88" s="35" t="n">
        <f>53025.5</f>
        <v>53025.5</v>
      </c>
      <c r="T88" s="32" t="n">
        <f>6367</f>
        <v>6367.0</v>
      </c>
      <c r="U88" s="32" t="n">
        <f>15</f>
        <v>15.0</v>
      </c>
      <c r="V88" s="32" t="n">
        <f>336338840</f>
        <v>3.3633884E8</v>
      </c>
      <c r="W88" s="32" t="n">
        <f>752410</f>
        <v>752410.0</v>
      </c>
      <c r="X88" s="36" t="n">
        <f>20</f>
        <v>20.0</v>
      </c>
    </row>
    <row r="89">
      <c r="A89" s="27" t="s">
        <v>42</v>
      </c>
      <c r="B89" s="27" t="s">
        <v>314</v>
      </c>
      <c r="C89" s="27" t="s">
        <v>315</v>
      </c>
      <c r="D89" s="27" t="s">
        <v>316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22300</f>
        <v>22300.0</v>
      </c>
      <c r="L89" s="34" t="s">
        <v>48</v>
      </c>
      <c r="M89" s="33" t="n">
        <f>22680</f>
        <v>22680.0</v>
      </c>
      <c r="N89" s="34" t="s">
        <v>50</v>
      </c>
      <c r="O89" s="33" t="n">
        <f>21420</f>
        <v>21420.0</v>
      </c>
      <c r="P89" s="34" t="s">
        <v>49</v>
      </c>
      <c r="Q89" s="33" t="n">
        <f>22655</f>
        <v>22655.0</v>
      </c>
      <c r="R89" s="34" t="s">
        <v>50</v>
      </c>
      <c r="S89" s="35" t="n">
        <f>22097</f>
        <v>22097.0</v>
      </c>
      <c r="T89" s="32" t="n">
        <f>1326258</f>
        <v>1326258.0</v>
      </c>
      <c r="U89" s="32" t="n">
        <f>27858</f>
        <v>27858.0</v>
      </c>
      <c r="V89" s="32" t="n">
        <f>29308616272</f>
        <v>2.9308616272E10</v>
      </c>
      <c r="W89" s="32" t="n">
        <f>616440437</f>
        <v>6.16440437E8</v>
      </c>
      <c r="X89" s="36" t="n">
        <f>20</f>
        <v>20.0</v>
      </c>
    </row>
    <row r="90">
      <c r="A90" s="27" t="s">
        <v>42</v>
      </c>
      <c r="B90" s="27" t="s">
        <v>317</v>
      </c>
      <c r="C90" s="27" t="s">
        <v>318</v>
      </c>
      <c r="D90" s="27" t="s">
        <v>319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48840</f>
        <v>48840.0</v>
      </c>
      <c r="L90" s="34" t="s">
        <v>48</v>
      </c>
      <c r="M90" s="33" t="n">
        <f>49460</f>
        <v>49460.0</v>
      </c>
      <c r="N90" s="34" t="s">
        <v>50</v>
      </c>
      <c r="O90" s="33" t="n">
        <f>46340</f>
        <v>46340.0</v>
      </c>
      <c r="P90" s="34" t="s">
        <v>91</v>
      </c>
      <c r="Q90" s="33" t="n">
        <f>49410</f>
        <v>49410.0</v>
      </c>
      <c r="R90" s="34" t="s">
        <v>50</v>
      </c>
      <c r="S90" s="35" t="n">
        <f>48206.5</f>
        <v>48206.5</v>
      </c>
      <c r="T90" s="32" t="n">
        <f>120616</f>
        <v>120616.0</v>
      </c>
      <c r="U90" s="32" t="n">
        <f>7082</f>
        <v>7082.0</v>
      </c>
      <c r="V90" s="32" t="n">
        <f>5797449188</f>
        <v>5.797449188E9</v>
      </c>
      <c r="W90" s="32" t="n">
        <f>335211138</f>
        <v>3.35211138E8</v>
      </c>
      <c r="X90" s="36" t="n">
        <f>20</f>
        <v>20.0</v>
      </c>
    </row>
    <row r="91">
      <c r="A91" s="27" t="s">
        <v>42</v>
      </c>
      <c r="B91" s="27" t="s">
        <v>320</v>
      </c>
      <c r="C91" s="27" t="s">
        <v>321</v>
      </c>
      <c r="D91" s="27" t="s">
        <v>322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10.0</v>
      </c>
      <c r="K91" s="33" t="n">
        <f>7005</f>
        <v>7005.0</v>
      </c>
      <c r="L91" s="34" t="s">
        <v>48</v>
      </c>
      <c r="M91" s="33" t="n">
        <f>7085</f>
        <v>7085.0</v>
      </c>
      <c r="N91" s="34" t="s">
        <v>50</v>
      </c>
      <c r="O91" s="33" t="n">
        <f>6745</f>
        <v>6745.0</v>
      </c>
      <c r="P91" s="34" t="s">
        <v>49</v>
      </c>
      <c r="Q91" s="33" t="n">
        <f>7081</f>
        <v>7081.0</v>
      </c>
      <c r="R91" s="34" t="s">
        <v>50</v>
      </c>
      <c r="S91" s="35" t="n">
        <f>6926.75</f>
        <v>6926.75</v>
      </c>
      <c r="T91" s="32" t="n">
        <f>1009230</f>
        <v>1009230.0</v>
      </c>
      <c r="U91" s="32" t="n">
        <f>36320</f>
        <v>36320.0</v>
      </c>
      <c r="V91" s="32" t="n">
        <f>7006465470</f>
        <v>7.00646547E9</v>
      </c>
      <c r="W91" s="32" t="n">
        <f>250908700</f>
        <v>2.509087E8</v>
      </c>
      <c r="X91" s="36" t="n">
        <f>20</f>
        <v>20.0</v>
      </c>
    </row>
    <row r="92">
      <c r="A92" s="27" t="s">
        <v>42</v>
      </c>
      <c r="B92" s="27" t="s">
        <v>323</v>
      </c>
      <c r="C92" s="27" t="s">
        <v>324</v>
      </c>
      <c r="D92" s="27" t="s">
        <v>325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10.0</v>
      </c>
      <c r="K92" s="33" t="n">
        <f>4417</f>
        <v>4417.0</v>
      </c>
      <c r="L92" s="34" t="s">
        <v>48</v>
      </c>
      <c r="M92" s="33" t="n">
        <f>4475</f>
        <v>4475.0</v>
      </c>
      <c r="N92" s="34" t="s">
        <v>50</v>
      </c>
      <c r="O92" s="33" t="n">
        <f>4260</f>
        <v>4260.0</v>
      </c>
      <c r="P92" s="34" t="s">
        <v>64</v>
      </c>
      <c r="Q92" s="33" t="n">
        <f>4470</f>
        <v>4470.0</v>
      </c>
      <c r="R92" s="34" t="s">
        <v>50</v>
      </c>
      <c r="S92" s="35" t="n">
        <f>4374.95</f>
        <v>4374.95</v>
      </c>
      <c r="T92" s="32" t="n">
        <f>110070</f>
        <v>110070.0</v>
      </c>
      <c r="U92" s="32" t="str">
        <f>"－"</f>
        <v>－</v>
      </c>
      <c r="V92" s="32" t="n">
        <f>482231220</f>
        <v>4.8223122E8</v>
      </c>
      <c r="W92" s="32" t="str">
        <f>"－"</f>
        <v>－</v>
      </c>
      <c r="X92" s="36" t="n">
        <f>20</f>
        <v>20.0</v>
      </c>
    </row>
    <row r="93">
      <c r="A93" s="27" t="s">
        <v>42</v>
      </c>
      <c r="B93" s="27" t="s">
        <v>326</v>
      </c>
      <c r="C93" s="27" t="s">
        <v>327</v>
      </c>
      <c r="D93" s="27" t="s">
        <v>328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4480</f>
        <v>4480.0</v>
      </c>
      <c r="L93" s="34" t="s">
        <v>48</v>
      </c>
      <c r="M93" s="33" t="n">
        <f>4595</f>
        <v>4595.0</v>
      </c>
      <c r="N93" s="34" t="s">
        <v>184</v>
      </c>
      <c r="O93" s="33" t="n">
        <f>4345</f>
        <v>4345.0</v>
      </c>
      <c r="P93" s="34" t="s">
        <v>267</v>
      </c>
      <c r="Q93" s="33" t="n">
        <f>4488</f>
        <v>4488.0</v>
      </c>
      <c r="R93" s="34" t="s">
        <v>50</v>
      </c>
      <c r="S93" s="35" t="n">
        <f>4486.82</f>
        <v>4486.82</v>
      </c>
      <c r="T93" s="32" t="n">
        <f>2450</f>
        <v>2450.0</v>
      </c>
      <c r="U93" s="32" t="str">
        <f>"－"</f>
        <v>－</v>
      </c>
      <c r="V93" s="32" t="n">
        <f>11050920</f>
        <v>1.105092E7</v>
      </c>
      <c r="W93" s="32" t="str">
        <f>"－"</f>
        <v>－</v>
      </c>
      <c r="X93" s="36" t="n">
        <f>17</f>
        <v>17.0</v>
      </c>
    </row>
    <row r="94">
      <c r="A94" s="27" t="s">
        <v>42</v>
      </c>
      <c r="B94" s="27" t="s">
        <v>329</v>
      </c>
      <c r="C94" s="27" t="s">
        <v>330</v>
      </c>
      <c r="D94" s="27" t="s">
        <v>331</v>
      </c>
      <c r="E94" s="28" t="s">
        <v>46</v>
      </c>
      <c r="F94" s="29" t="s">
        <v>46</v>
      </c>
      <c r="G94" s="30" t="s">
        <v>46</v>
      </c>
      <c r="H94" s="31" t="s">
        <v>332</v>
      </c>
      <c r="I94" s="31" t="s">
        <v>47</v>
      </c>
      <c r="J94" s="32" t="n">
        <v>1.0</v>
      </c>
      <c r="K94" s="33" t="n">
        <f>710</f>
        <v>710.0</v>
      </c>
      <c r="L94" s="34" t="s">
        <v>48</v>
      </c>
      <c r="M94" s="33" t="n">
        <f>759</f>
        <v>759.0</v>
      </c>
      <c r="N94" s="34" t="s">
        <v>267</v>
      </c>
      <c r="O94" s="33" t="n">
        <f>626</f>
        <v>626.0</v>
      </c>
      <c r="P94" s="34" t="s">
        <v>104</v>
      </c>
      <c r="Q94" s="33" t="n">
        <f>639</f>
        <v>639.0</v>
      </c>
      <c r="R94" s="34" t="s">
        <v>50</v>
      </c>
      <c r="S94" s="35" t="n">
        <f>680.6</f>
        <v>680.6</v>
      </c>
      <c r="T94" s="32" t="n">
        <f>26998457</f>
        <v>2.6998457E7</v>
      </c>
      <c r="U94" s="32" t="n">
        <f>552</f>
        <v>552.0</v>
      </c>
      <c r="V94" s="32" t="n">
        <f>18551759666</f>
        <v>1.8551759666E10</v>
      </c>
      <c r="W94" s="32" t="n">
        <f>368662</f>
        <v>368662.0</v>
      </c>
      <c r="X94" s="36" t="n">
        <f>20</f>
        <v>20.0</v>
      </c>
    </row>
    <row r="95">
      <c r="A95" s="27" t="s">
        <v>42</v>
      </c>
      <c r="B95" s="27" t="s">
        <v>333</v>
      </c>
      <c r="C95" s="27" t="s">
        <v>334</v>
      </c>
      <c r="D95" s="27" t="s">
        <v>335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3692</f>
        <v>3692.0</v>
      </c>
      <c r="L95" s="34" t="s">
        <v>48</v>
      </c>
      <c r="M95" s="33" t="n">
        <f>3767</f>
        <v>3767.0</v>
      </c>
      <c r="N95" s="34" t="s">
        <v>50</v>
      </c>
      <c r="O95" s="33" t="n">
        <f>3580</f>
        <v>3580.0</v>
      </c>
      <c r="P95" s="34" t="s">
        <v>159</v>
      </c>
      <c r="Q95" s="33" t="n">
        <f>3767</f>
        <v>3767.0</v>
      </c>
      <c r="R95" s="34" t="s">
        <v>50</v>
      </c>
      <c r="S95" s="35" t="n">
        <f>3671.7</f>
        <v>3671.7</v>
      </c>
      <c r="T95" s="32" t="n">
        <f>106790</f>
        <v>106790.0</v>
      </c>
      <c r="U95" s="32" t="str">
        <f>"－"</f>
        <v>－</v>
      </c>
      <c r="V95" s="32" t="n">
        <f>391114340</f>
        <v>3.9111434E8</v>
      </c>
      <c r="W95" s="32" t="str">
        <f>"－"</f>
        <v>－</v>
      </c>
      <c r="X95" s="36" t="n">
        <f>20</f>
        <v>20.0</v>
      </c>
    </row>
    <row r="96">
      <c r="A96" s="27" t="s">
        <v>42</v>
      </c>
      <c r="B96" s="27" t="s">
        <v>336</v>
      </c>
      <c r="C96" s="27" t="s">
        <v>337</v>
      </c>
      <c r="D96" s="27" t="s">
        <v>338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1736</f>
        <v>1736.0</v>
      </c>
      <c r="L96" s="34" t="s">
        <v>48</v>
      </c>
      <c r="M96" s="33" t="n">
        <f>1787.5</f>
        <v>1787.5</v>
      </c>
      <c r="N96" s="34" t="s">
        <v>104</v>
      </c>
      <c r="O96" s="33" t="n">
        <f>1675</f>
        <v>1675.0</v>
      </c>
      <c r="P96" s="34" t="s">
        <v>69</v>
      </c>
      <c r="Q96" s="33" t="n">
        <f>1758</f>
        <v>1758.0</v>
      </c>
      <c r="R96" s="34" t="s">
        <v>50</v>
      </c>
      <c r="S96" s="35" t="n">
        <f>1735.68</f>
        <v>1735.68</v>
      </c>
      <c r="T96" s="32" t="n">
        <f>123330</f>
        <v>123330.0</v>
      </c>
      <c r="U96" s="32" t="n">
        <f>30</f>
        <v>30.0</v>
      </c>
      <c r="V96" s="32" t="n">
        <f>213648970</f>
        <v>2.1364897E8</v>
      </c>
      <c r="W96" s="32" t="n">
        <f>52270</f>
        <v>52270.0</v>
      </c>
      <c r="X96" s="36" t="n">
        <f>20</f>
        <v>20.0</v>
      </c>
    </row>
    <row r="97">
      <c r="A97" s="27" t="s">
        <v>42</v>
      </c>
      <c r="B97" s="27" t="s">
        <v>339</v>
      </c>
      <c r="C97" s="27" t="s">
        <v>340</v>
      </c>
      <c r="D97" s="27" t="s">
        <v>341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63990</f>
        <v>63990.0</v>
      </c>
      <c r="L97" s="34" t="s">
        <v>48</v>
      </c>
      <c r="M97" s="33" t="n">
        <f>64770</f>
        <v>64770.0</v>
      </c>
      <c r="N97" s="34" t="s">
        <v>50</v>
      </c>
      <c r="O97" s="33" t="n">
        <f>61640</f>
        <v>61640.0</v>
      </c>
      <c r="P97" s="34" t="s">
        <v>91</v>
      </c>
      <c r="Q97" s="33" t="n">
        <f>64730</f>
        <v>64730.0</v>
      </c>
      <c r="R97" s="34" t="s">
        <v>50</v>
      </c>
      <c r="S97" s="35" t="n">
        <f>63340.5</f>
        <v>63340.5</v>
      </c>
      <c r="T97" s="32" t="n">
        <f>100957</f>
        <v>100957.0</v>
      </c>
      <c r="U97" s="32" t="str">
        <f>"－"</f>
        <v>－</v>
      </c>
      <c r="V97" s="32" t="n">
        <f>6381765170</f>
        <v>6.38176517E9</v>
      </c>
      <c r="W97" s="32" t="str">
        <f>"－"</f>
        <v>－</v>
      </c>
      <c r="X97" s="36" t="n">
        <f>20</f>
        <v>20.0</v>
      </c>
    </row>
    <row r="98">
      <c r="A98" s="27" t="s">
        <v>42</v>
      </c>
      <c r="B98" s="27" t="s">
        <v>342</v>
      </c>
      <c r="C98" s="27" t="s">
        <v>343</v>
      </c>
      <c r="D98" s="27" t="s">
        <v>344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3400</f>
        <v>3400.0</v>
      </c>
      <c r="L98" s="34" t="s">
        <v>48</v>
      </c>
      <c r="M98" s="33" t="n">
        <f>3485</f>
        <v>3485.0</v>
      </c>
      <c r="N98" s="34" t="s">
        <v>50</v>
      </c>
      <c r="O98" s="33" t="n">
        <f>3330</f>
        <v>3330.0</v>
      </c>
      <c r="P98" s="34" t="s">
        <v>267</v>
      </c>
      <c r="Q98" s="33" t="n">
        <f>3435</f>
        <v>3435.0</v>
      </c>
      <c r="R98" s="34" t="s">
        <v>50</v>
      </c>
      <c r="S98" s="35" t="n">
        <f>3408.25</f>
        <v>3408.25</v>
      </c>
      <c r="T98" s="32" t="n">
        <f>9696</f>
        <v>9696.0</v>
      </c>
      <c r="U98" s="32" t="str">
        <f>"－"</f>
        <v>－</v>
      </c>
      <c r="V98" s="32" t="n">
        <f>33119575</f>
        <v>3.3119575E7</v>
      </c>
      <c r="W98" s="32" t="str">
        <f>"－"</f>
        <v>－</v>
      </c>
      <c r="X98" s="36" t="n">
        <f>20</f>
        <v>20.0</v>
      </c>
    </row>
    <row r="99">
      <c r="A99" s="27" t="s">
        <v>42</v>
      </c>
      <c r="B99" s="27" t="s">
        <v>345</v>
      </c>
      <c r="C99" s="27" t="s">
        <v>346</v>
      </c>
      <c r="D99" s="27" t="s">
        <v>347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4350</f>
        <v>4350.0</v>
      </c>
      <c r="L99" s="34" t="s">
        <v>48</v>
      </c>
      <c r="M99" s="33" t="n">
        <f>4560</f>
        <v>4560.0</v>
      </c>
      <c r="N99" s="34" t="s">
        <v>50</v>
      </c>
      <c r="O99" s="33" t="n">
        <f>4280</f>
        <v>4280.0</v>
      </c>
      <c r="P99" s="34" t="s">
        <v>60</v>
      </c>
      <c r="Q99" s="33" t="n">
        <f>4550</f>
        <v>4550.0</v>
      </c>
      <c r="R99" s="34" t="s">
        <v>50</v>
      </c>
      <c r="S99" s="35" t="n">
        <f>4388</f>
        <v>4388.0</v>
      </c>
      <c r="T99" s="32" t="n">
        <f>6489</f>
        <v>6489.0</v>
      </c>
      <c r="U99" s="32" t="str">
        <f>"－"</f>
        <v>－</v>
      </c>
      <c r="V99" s="32" t="n">
        <f>28529460</f>
        <v>2.852946E7</v>
      </c>
      <c r="W99" s="32" t="str">
        <f>"－"</f>
        <v>－</v>
      </c>
      <c r="X99" s="36" t="n">
        <f>20</f>
        <v>20.0</v>
      </c>
    </row>
    <row r="100">
      <c r="A100" s="27" t="s">
        <v>42</v>
      </c>
      <c r="B100" s="27" t="s">
        <v>348</v>
      </c>
      <c r="C100" s="27" t="s">
        <v>349</v>
      </c>
      <c r="D100" s="27" t="s">
        <v>350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2741</f>
        <v>2741.0</v>
      </c>
      <c r="L100" s="34" t="s">
        <v>48</v>
      </c>
      <c r="M100" s="33" t="n">
        <f>2765</f>
        <v>2765.0</v>
      </c>
      <c r="N100" s="34" t="s">
        <v>90</v>
      </c>
      <c r="O100" s="33" t="n">
        <f>2510</f>
        <v>2510.0</v>
      </c>
      <c r="P100" s="34" t="s">
        <v>70</v>
      </c>
      <c r="Q100" s="33" t="n">
        <f>2623</f>
        <v>2623.0</v>
      </c>
      <c r="R100" s="34" t="s">
        <v>50</v>
      </c>
      <c r="S100" s="35" t="n">
        <f>2606.8</f>
        <v>2606.8</v>
      </c>
      <c r="T100" s="32" t="n">
        <f>1050478</f>
        <v>1050478.0</v>
      </c>
      <c r="U100" s="32" t="n">
        <f>17001</f>
        <v>17001.0</v>
      </c>
      <c r="V100" s="32" t="n">
        <f>2742483700</f>
        <v>2.7424837E9</v>
      </c>
      <c r="W100" s="32" t="n">
        <f>43459632</f>
        <v>4.3459632E7</v>
      </c>
      <c r="X100" s="36" t="n">
        <f>20</f>
        <v>20.0</v>
      </c>
    </row>
    <row r="101">
      <c r="A101" s="27" t="s">
        <v>42</v>
      </c>
      <c r="B101" s="27" t="s">
        <v>351</v>
      </c>
      <c r="C101" s="27" t="s">
        <v>352</v>
      </c>
      <c r="D101" s="27" t="s">
        <v>353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47580</f>
        <v>47580.0</v>
      </c>
      <c r="L101" s="34" t="s">
        <v>48</v>
      </c>
      <c r="M101" s="33" t="n">
        <f>47920</f>
        <v>47920.0</v>
      </c>
      <c r="N101" s="34" t="s">
        <v>90</v>
      </c>
      <c r="O101" s="33" t="n">
        <f>45690</f>
        <v>45690.0</v>
      </c>
      <c r="P101" s="34" t="s">
        <v>49</v>
      </c>
      <c r="Q101" s="33" t="n">
        <f>47640</f>
        <v>47640.0</v>
      </c>
      <c r="R101" s="34" t="s">
        <v>50</v>
      </c>
      <c r="S101" s="35" t="n">
        <f>46868.5</f>
        <v>46868.5</v>
      </c>
      <c r="T101" s="32" t="n">
        <f>12253</f>
        <v>12253.0</v>
      </c>
      <c r="U101" s="32" t="n">
        <f>1619</f>
        <v>1619.0</v>
      </c>
      <c r="V101" s="32" t="n">
        <f>578271700</f>
        <v>5.782717E8</v>
      </c>
      <c r="W101" s="32" t="n">
        <f>77524190</f>
        <v>7.752419E7</v>
      </c>
      <c r="X101" s="36" t="n">
        <f>20</f>
        <v>20.0</v>
      </c>
    </row>
    <row r="102">
      <c r="A102" s="27" t="s">
        <v>42</v>
      </c>
      <c r="B102" s="27" t="s">
        <v>354</v>
      </c>
      <c r="C102" s="27" t="s">
        <v>355</v>
      </c>
      <c r="D102" s="27" t="s">
        <v>356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34410</f>
        <v>34410.0</v>
      </c>
      <c r="L102" s="34" t="s">
        <v>48</v>
      </c>
      <c r="M102" s="33" t="n">
        <f>35120</f>
        <v>35120.0</v>
      </c>
      <c r="N102" s="34" t="s">
        <v>50</v>
      </c>
      <c r="O102" s="33" t="n">
        <f>31750</f>
        <v>31750.0</v>
      </c>
      <c r="P102" s="34" t="s">
        <v>49</v>
      </c>
      <c r="Q102" s="33" t="n">
        <f>34820</f>
        <v>34820.0</v>
      </c>
      <c r="R102" s="34" t="s">
        <v>50</v>
      </c>
      <c r="S102" s="35" t="n">
        <f>33430</f>
        <v>33430.0</v>
      </c>
      <c r="T102" s="32" t="n">
        <f>1692680</f>
        <v>1692680.0</v>
      </c>
      <c r="U102" s="32" t="n">
        <f>3000</f>
        <v>3000.0</v>
      </c>
      <c r="V102" s="32" t="n">
        <f>56524563300</f>
        <v>5.65245633E10</v>
      </c>
      <c r="W102" s="32" t="n">
        <f>100497000</f>
        <v>1.00497E8</v>
      </c>
      <c r="X102" s="36" t="n">
        <f>20</f>
        <v>20.0</v>
      </c>
    </row>
    <row r="103">
      <c r="A103" s="27" t="s">
        <v>42</v>
      </c>
      <c r="B103" s="27" t="s">
        <v>357</v>
      </c>
      <c r="C103" s="27" t="s">
        <v>358</v>
      </c>
      <c r="D103" s="27" t="s">
        <v>359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1654.5</f>
        <v>1654.5</v>
      </c>
      <c r="L103" s="34" t="s">
        <v>48</v>
      </c>
      <c r="M103" s="33" t="n">
        <f>1718.5</f>
        <v>1718.5</v>
      </c>
      <c r="N103" s="34" t="s">
        <v>49</v>
      </c>
      <c r="O103" s="33" t="n">
        <f>1632.5</f>
        <v>1632.5</v>
      </c>
      <c r="P103" s="34" t="s">
        <v>50</v>
      </c>
      <c r="Q103" s="33" t="n">
        <f>1639</f>
        <v>1639.0</v>
      </c>
      <c r="R103" s="34" t="s">
        <v>50</v>
      </c>
      <c r="S103" s="35" t="n">
        <f>1675.55</f>
        <v>1675.55</v>
      </c>
      <c r="T103" s="32" t="n">
        <f>374570</f>
        <v>374570.0</v>
      </c>
      <c r="U103" s="32" t="n">
        <f>13200</f>
        <v>13200.0</v>
      </c>
      <c r="V103" s="32" t="n">
        <f>628922560</f>
        <v>6.2892256E8</v>
      </c>
      <c r="W103" s="32" t="n">
        <f>22158180</f>
        <v>2.215818E7</v>
      </c>
      <c r="X103" s="36" t="n">
        <f>20</f>
        <v>20.0</v>
      </c>
    </row>
    <row r="104">
      <c r="A104" s="27" t="s">
        <v>42</v>
      </c>
      <c r="B104" s="27" t="s">
        <v>360</v>
      </c>
      <c r="C104" s="27" t="s">
        <v>361</v>
      </c>
      <c r="D104" s="27" t="s">
        <v>362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21220</f>
        <v>21220.0</v>
      </c>
      <c r="L104" s="34" t="s">
        <v>48</v>
      </c>
      <c r="M104" s="33" t="n">
        <f>21520</f>
        <v>21520.0</v>
      </c>
      <c r="N104" s="34" t="s">
        <v>48</v>
      </c>
      <c r="O104" s="33" t="n">
        <f>19060</f>
        <v>19060.0</v>
      </c>
      <c r="P104" s="34" t="s">
        <v>49</v>
      </c>
      <c r="Q104" s="33" t="n">
        <f>20725</f>
        <v>20725.0</v>
      </c>
      <c r="R104" s="34" t="s">
        <v>50</v>
      </c>
      <c r="S104" s="35" t="n">
        <f>20157.75</f>
        <v>20157.75</v>
      </c>
      <c r="T104" s="32" t="n">
        <f>128112136</f>
        <v>1.28112136E8</v>
      </c>
      <c r="U104" s="32" t="n">
        <f>73579</f>
        <v>73579.0</v>
      </c>
      <c r="V104" s="32" t="n">
        <f>2578820316446</f>
        <v>2.578820316446E12</v>
      </c>
      <c r="W104" s="32" t="n">
        <f>1474213776</f>
        <v>1.474213776E9</v>
      </c>
      <c r="X104" s="36" t="n">
        <f>20</f>
        <v>20.0</v>
      </c>
    </row>
    <row r="105">
      <c r="A105" s="27" t="s">
        <v>42</v>
      </c>
      <c r="B105" s="27" t="s">
        <v>363</v>
      </c>
      <c r="C105" s="27" t="s">
        <v>364</v>
      </c>
      <c r="D105" s="27" t="s">
        <v>365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763</f>
        <v>763.0</v>
      </c>
      <c r="L105" s="34" t="s">
        <v>48</v>
      </c>
      <c r="M105" s="33" t="n">
        <f>804</f>
        <v>804.0</v>
      </c>
      <c r="N105" s="34" t="s">
        <v>49</v>
      </c>
      <c r="O105" s="33" t="n">
        <f>757</f>
        <v>757.0</v>
      </c>
      <c r="P105" s="34" t="s">
        <v>48</v>
      </c>
      <c r="Q105" s="33" t="n">
        <f>768</f>
        <v>768.0</v>
      </c>
      <c r="R105" s="34" t="s">
        <v>50</v>
      </c>
      <c r="S105" s="35" t="n">
        <f>781.05</f>
        <v>781.05</v>
      </c>
      <c r="T105" s="32" t="n">
        <f>54186492</f>
        <v>5.4186492E7</v>
      </c>
      <c r="U105" s="32" t="n">
        <f>2546500</f>
        <v>2546500.0</v>
      </c>
      <c r="V105" s="32" t="n">
        <f>42310572727</f>
        <v>4.2310572727E10</v>
      </c>
      <c r="W105" s="32" t="n">
        <f>2008481550</f>
        <v>2.00848155E9</v>
      </c>
      <c r="X105" s="36" t="n">
        <f>20</f>
        <v>20.0</v>
      </c>
    </row>
    <row r="106">
      <c r="A106" s="27" t="s">
        <v>42</v>
      </c>
      <c r="B106" s="27" t="s">
        <v>366</v>
      </c>
      <c r="C106" s="27" t="s">
        <v>367</v>
      </c>
      <c r="D106" s="27" t="s">
        <v>368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4487</f>
        <v>4487.0</v>
      </c>
      <c r="L106" s="34" t="s">
        <v>48</v>
      </c>
      <c r="M106" s="33" t="n">
        <f>5281</f>
        <v>5281.0</v>
      </c>
      <c r="N106" s="34" t="s">
        <v>50</v>
      </c>
      <c r="O106" s="33" t="n">
        <f>4217</f>
        <v>4217.0</v>
      </c>
      <c r="P106" s="34" t="s">
        <v>267</v>
      </c>
      <c r="Q106" s="33" t="n">
        <f>5117</f>
        <v>5117.0</v>
      </c>
      <c r="R106" s="34" t="s">
        <v>50</v>
      </c>
      <c r="S106" s="35" t="n">
        <f>4511.1</f>
        <v>4511.1</v>
      </c>
      <c r="T106" s="32" t="n">
        <f>245600</f>
        <v>245600.0</v>
      </c>
      <c r="U106" s="32" t="n">
        <f>40</f>
        <v>40.0</v>
      </c>
      <c r="V106" s="32" t="n">
        <f>1137634670</f>
        <v>1.13763467E9</v>
      </c>
      <c r="W106" s="32" t="n">
        <f>186210</f>
        <v>186210.0</v>
      </c>
      <c r="X106" s="36" t="n">
        <f>20</f>
        <v>20.0</v>
      </c>
    </row>
    <row r="107">
      <c r="A107" s="27" t="s">
        <v>42</v>
      </c>
      <c r="B107" s="27" t="s">
        <v>369</v>
      </c>
      <c r="C107" s="27" t="s">
        <v>370</v>
      </c>
      <c r="D107" s="27" t="s">
        <v>371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11395</f>
        <v>11395.0</v>
      </c>
      <c r="L107" s="34" t="s">
        <v>48</v>
      </c>
      <c r="M107" s="33" t="n">
        <f>11720</f>
        <v>11720.0</v>
      </c>
      <c r="N107" s="34" t="s">
        <v>267</v>
      </c>
      <c r="O107" s="33" t="n">
        <f>10105</f>
        <v>10105.0</v>
      </c>
      <c r="P107" s="34" t="s">
        <v>50</v>
      </c>
      <c r="Q107" s="33" t="n">
        <f>10340</f>
        <v>10340.0</v>
      </c>
      <c r="R107" s="34" t="s">
        <v>50</v>
      </c>
      <c r="S107" s="35" t="n">
        <f>10989.75</f>
        <v>10989.75</v>
      </c>
      <c r="T107" s="32" t="n">
        <f>22550</f>
        <v>22550.0</v>
      </c>
      <c r="U107" s="32" t="n">
        <f>40</f>
        <v>40.0</v>
      </c>
      <c r="V107" s="32" t="n">
        <f>247009150</f>
        <v>2.4700915E8</v>
      </c>
      <c r="W107" s="32" t="n">
        <f>425600</f>
        <v>425600.0</v>
      </c>
      <c r="X107" s="36" t="n">
        <f>20</f>
        <v>20.0</v>
      </c>
    </row>
    <row r="108">
      <c r="A108" s="27" t="s">
        <v>42</v>
      </c>
      <c r="B108" s="27" t="s">
        <v>372</v>
      </c>
      <c r="C108" s="27" t="s">
        <v>373</v>
      </c>
      <c r="D108" s="27" t="s">
        <v>374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29425</f>
        <v>29425.0</v>
      </c>
      <c r="L108" s="34" t="s">
        <v>48</v>
      </c>
      <c r="M108" s="33" t="n">
        <f>30590</f>
        <v>30590.0</v>
      </c>
      <c r="N108" s="34" t="s">
        <v>50</v>
      </c>
      <c r="O108" s="33" t="n">
        <f>28745</f>
        <v>28745.0</v>
      </c>
      <c r="P108" s="34" t="s">
        <v>64</v>
      </c>
      <c r="Q108" s="33" t="n">
        <f>30510</f>
        <v>30510.0</v>
      </c>
      <c r="R108" s="34" t="s">
        <v>50</v>
      </c>
      <c r="S108" s="35" t="n">
        <f>29506.75</f>
        <v>29506.75</v>
      </c>
      <c r="T108" s="32" t="n">
        <f>86127</f>
        <v>86127.0</v>
      </c>
      <c r="U108" s="32" t="n">
        <f>24673</f>
        <v>24673.0</v>
      </c>
      <c r="V108" s="32" t="n">
        <f>2549939191</f>
        <v>2.549939191E9</v>
      </c>
      <c r="W108" s="32" t="n">
        <f>733313736</f>
        <v>7.33313736E8</v>
      </c>
      <c r="X108" s="36" t="n">
        <f>20</f>
        <v>20.0</v>
      </c>
    </row>
    <row r="109">
      <c r="A109" s="27" t="s">
        <v>42</v>
      </c>
      <c r="B109" s="27" t="s">
        <v>375</v>
      </c>
      <c r="C109" s="27" t="s">
        <v>376</v>
      </c>
      <c r="D109" s="27" t="s">
        <v>377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2697</f>
        <v>2697.0</v>
      </c>
      <c r="L109" s="34" t="s">
        <v>48</v>
      </c>
      <c r="M109" s="33" t="n">
        <f>2714</f>
        <v>2714.0</v>
      </c>
      <c r="N109" s="34" t="s">
        <v>48</v>
      </c>
      <c r="O109" s="33" t="n">
        <f>2533</f>
        <v>2533.0</v>
      </c>
      <c r="P109" s="34" t="s">
        <v>49</v>
      </c>
      <c r="Q109" s="33" t="n">
        <f>2643</f>
        <v>2643.0</v>
      </c>
      <c r="R109" s="34" t="s">
        <v>50</v>
      </c>
      <c r="S109" s="35" t="n">
        <f>2609.85</f>
        <v>2609.85</v>
      </c>
      <c r="T109" s="32" t="n">
        <f>451878</f>
        <v>451878.0</v>
      </c>
      <c r="U109" s="32" t="n">
        <f>190001</f>
        <v>190001.0</v>
      </c>
      <c r="V109" s="32" t="n">
        <f>1189403508</f>
        <v>1.189403508E9</v>
      </c>
      <c r="W109" s="32" t="n">
        <f>497555643</f>
        <v>4.97555643E8</v>
      </c>
      <c r="X109" s="36" t="n">
        <f>20</f>
        <v>20.0</v>
      </c>
    </row>
    <row r="110">
      <c r="A110" s="27" t="s">
        <v>42</v>
      </c>
      <c r="B110" s="27" t="s">
        <v>378</v>
      </c>
      <c r="C110" s="27" t="s">
        <v>379</v>
      </c>
      <c r="D110" s="27" t="s">
        <v>380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22670</f>
        <v>22670.0</v>
      </c>
      <c r="L110" s="34" t="s">
        <v>48</v>
      </c>
      <c r="M110" s="33" t="n">
        <f>22995</f>
        <v>22995.0</v>
      </c>
      <c r="N110" s="34" t="s">
        <v>48</v>
      </c>
      <c r="O110" s="33" t="n">
        <f>20355</f>
        <v>20355.0</v>
      </c>
      <c r="P110" s="34" t="s">
        <v>49</v>
      </c>
      <c r="Q110" s="33" t="n">
        <f>22160</f>
        <v>22160.0</v>
      </c>
      <c r="R110" s="34" t="s">
        <v>50</v>
      </c>
      <c r="S110" s="35" t="n">
        <f>21534</f>
        <v>21534.0</v>
      </c>
      <c r="T110" s="32" t="n">
        <f>11832520</f>
        <v>1.183252E7</v>
      </c>
      <c r="U110" s="32" t="n">
        <f>210</f>
        <v>210.0</v>
      </c>
      <c r="V110" s="32" t="n">
        <f>254483480825</f>
        <v>2.54483480825E11</v>
      </c>
      <c r="W110" s="32" t="n">
        <f>4520725</f>
        <v>4520725.0</v>
      </c>
      <c r="X110" s="36" t="n">
        <f>20</f>
        <v>20.0</v>
      </c>
    </row>
    <row r="111">
      <c r="A111" s="27" t="s">
        <v>42</v>
      </c>
      <c r="B111" s="27" t="s">
        <v>381</v>
      </c>
      <c r="C111" s="27" t="s">
        <v>382</v>
      </c>
      <c r="D111" s="27" t="s">
        <v>383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2024</f>
        <v>2024.0</v>
      </c>
      <c r="L111" s="34" t="s">
        <v>48</v>
      </c>
      <c r="M111" s="33" t="n">
        <f>2133</f>
        <v>2133.0</v>
      </c>
      <c r="N111" s="34" t="s">
        <v>49</v>
      </c>
      <c r="O111" s="33" t="n">
        <f>2010.5</f>
        <v>2010.5</v>
      </c>
      <c r="P111" s="34" t="s">
        <v>48</v>
      </c>
      <c r="Q111" s="33" t="n">
        <f>2038</f>
        <v>2038.0</v>
      </c>
      <c r="R111" s="34" t="s">
        <v>50</v>
      </c>
      <c r="S111" s="35" t="n">
        <f>2073.85</f>
        <v>2073.85</v>
      </c>
      <c r="T111" s="32" t="n">
        <f>2252440</f>
        <v>2252440.0</v>
      </c>
      <c r="U111" s="32" t="n">
        <f>40</f>
        <v>40.0</v>
      </c>
      <c r="V111" s="32" t="n">
        <f>4679520625</f>
        <v>4.679520625E9</v>
      </c>
      <c r="W111" s="32" t="n">
        <f>83620</f>
        <v>83620.0</v>
      </c>
      <c r="X111" s="36" t="n">
        <f>20</f>
        <v>20.0</v>
      </c>
    </row>
    <row r="112">
      <c r="A112" s="27" t="s">
        <v>42</v>
      </c>
      <c r="B112" s="27" t="s">
        <v>384</v>
      </c>
      <c r="C112" s="27" t="s">
        <v>385</v>
      </c>
      <c r="D112" s="27" t="s">
        <v>386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1788</f>
        <v>1788.0</v>
      </c>
      <c r="L112" s="34" t="s">
        <v>184</v>
      </c>
      <c r="M112" s="33" t="n">
        <f>1788</f>
        <v>1788.0</v>
      </c>
      <c r="N112" s="34" t="s">
        <v>184</v>
      </c>
      <c r="O112" s="33" t="n">
        <f>1570</f>
        <v>1570.0</v>
      </c>
      <c r="P112" s="34" t="s">
        <v>49</v>
      </c>
      <c r="Q112" s="33" t="n">
        <f>1637</f>
        <v>1637.0</v>
      </c>
      <c r="R112" s="34" t="s">
        <v>50</v>
      </c>
      <c r="S112" s="35" t="n">
        <f>1613.75</f>
        <v>1613.75</v>
      </c>
      <c r="T112" s="32" t="n">
        <f>11900</f>
        <v>11900.0</v>
      </c>
      <c r="U112" s="32" t="n">
        <f>20</f>
        <v>20.0</v>
      </c>
      <c r="V112" s="32" t="n">
        <f>19097415</f>
        <v>1.9097415E7</v>
      </c>
      <c r="W112" s="32" t="n">
        <f>32370</f>
        <v>32370.0</v>
      </c>
      <c r="X112" s="36" t="n">
        <f>16</f>
        <v>16.0</v>
      </c>
    </row>
    <row r="113">
      <c r="A113" s="27" t="s">
        <v>42</v>
      </c>
      <c r="B113" s="27" t="s">
        <v>387</v>
      </c>
      <c r="C113" s="27" t="s">
        <v>388</v>
      </c>
      <c r="D113" s="27" t="s">
        <v>389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1899</f>
        <v>1899.0</v>
      </c>
      <c r="L113" s="34" t="s">
        <v>48</v>
      </c>
      <c r="M113" s="33" t="n">
        <f>1925</f>
        <v>1925.0</v>
      </c>
      <c r="N113" s="34" t="s">
        <v>48</v>
      </c>
      <c r="O113" s="33" t="n">
        <f>1825</f>
        <v>1825.0</v>
      </c>
      <c r="P113" s="34" t="s">
        <v>49</v>
      </c>
      <c r="Q113" s="33" t="n">
        <f>1847</f>
        <v>1847.0</v>
      </c>
      <c r="R113" s="34" t="s">
        <v>50</v>
      </c>
      <c r="S113" s="35" t="n">
        <f>1869.55</f>
        <v>1869.55</v>
      </c>
      <c r="T113" s="32" t="n">
        <f>6402</f>
        <v>6402.0</v>
      </c>
      <c r="U113" s="32" t="n">
        <f>2</f>
        <v>2.0</v>
      </c>
      <c r="V113" s="32" t="n">
        <f>11987388</f>
        <v>1.1987388E7</v>
      </c>
      <c r="W113" s="32" t="n">
        <f>3727</f>
        <v>3727.0</v>
      </c>
      <c r="X113" s="36" t="n">
        <f>20</f>
        <v>20.0</v>
      </c>
    </row>
    <row r="114">
      <c r="A114" s="27" t="s">
        <v>42</v>
      </c>
      <c r="B114" s="27" t="s">
        <v>390</v>
      </c>
      <c r="C114" s="27" t="s">
        <v>391</v>
      </c>
      <c r="D114" s="27" t="s">
        <v>392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21010</f>
        <v>21010.0</v>
      </c>
      <c r="L114" s="34" t="s">
        <v>48</v>
      </c>
      <c r="M114" s="33" t="n">
        <f>21200</f>
        <v>21200.0</v>
      </c>
      <c r="N114" s="34" t="s">
        <v>50</v>
      </c>
      <c r="O114" s="33" t="n">
        <f>20170</f>
        <v>20170.0</v>
      </c>
      <c r="P114" s="34" t="s">
        <v>49</v>
      </c>
      <c r="Q114" s="33" t="n">
        <f>21120</f>
        <v>21120.0</v>
      </c>
      <c r="R114" s="34" t="s">
        <v>50</v>
      </c>
      <c r="S114" s="35" t="n">
        <f>20693</f>
        <v>20693.0</v>
      </c>
      <c r="T114" s="32" t="n">
        <f>27394</f>
        <v>27394.0</v>
      </c>
      <c r="U114" s="32" t="n">
        <f>4970</f>
        <v>4970.0</v>
      </c>
      <c r="V114" s="32" t="n">
        <f>567657985</f>
        <v>5.67657985E8</v>
      </c>
      <c r="W114" s="32" t="n">
        <f>102794515</f>
        <v>1.02794515E8</v>
      </c>
      <c r="X114" s="36" t="n">
        <f>20</f>
        <v>20.0</v>
      </c>
    </row>
    <row r="115">
      <c r="A115" s="27" t="s">
        <v>42</v>
      </c>
      <c r="B115" s="27" t="s">
        <v>393</v>
      </c>
      <c r="C115" s="27" t="s">
        <v>394</v>
      </c>
      <c r="D115" s="27" t="s">
        <v>395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1942</f>
        <v>1942.0</v>
      </c>
      <c r="L115" s="34" t="s">
        <v>48</v>
      </c>
      <c r="M115" s="33" t="n">
        <f>1954</f>
        <v>1954.0</v>
      </c>
      <c r="N115" s="34" t="s">
        <v>48</v>
      </c>
      <c r="O115" s="33" t="n">
        <f>1828</f>
        <v>1828.0</v>
      </c>
      <c r="P115" s="34" t="s">
        <v>227</v>
      </c>
      <c r="Q115" s="33" t="n">
        <f>1927</f>
        <v>1927.0</v>
      </c>
      <c r="R115" s="34" t="s">
        <v>50</v>
      </c>
      <c r="S115" s="35" t="n">
        <f>1891.7</f>
        <v>1891.7</v>
      </c>
      <c r="T115" s="32" t="n">
        <f>618741</f>
        <v>618741.0</v>
      </c>
      <c r="U115" s="32" t="n">
        <f>535462</f>
        <v>535462.0</v>
      </c>
      <c r="V115" s="32" t="n">
        <f>1188284116</f>
        <v>1.188284116E9</v>
      </c>
      <c r="W115" s="32" t="n">
        <f>1031159861</f>
        <v>1.031159861E9</v>
      </c>
      <c r="X115" s="36" t="n">
        <f>20</f>
        <v>20.0</v>
      </c>
    </row>
    <row r="116">
      <c r="A116" s="27" t="s">
        <v>42</v>
      </c>
      <c r="B116" s="27" t="s">
        <v>396</v>
      </c>
      <c r="C116" s="27" t="s">
        <v>397</v>
      </c>
      <c r="D116" s="27" t="s">
        <v>398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21660</f>
        <v>21660.0</v>
      </c>
      <c r="L116" s="34" t="s">
        <v>48</v>
      </c>
      <c r="M116" s="33" t="n">
        <f>21840</f>
        <v>21840.0</v>
      </c>
      <c r="N116" s="34" t="s">
        <v>48</v>
      </c>
      <c r="O116" s="33" t="n">
        <f>20600</f>
        <v>20600.0</v>
      </c>
      <c r="P116" s="34" t="s">
        <v>64</v>
      </c>
      <c r="Q116" s="33" t="n">
        <f>21560</f>
        <v>21560.0</v>
      </c>
      <c r="R116" s="34" t="s">
        <v>50</v>
      </c>
      <c r="S116" s="35" t="n">
        <f>21208.5</f>
        <v>21208.5</v>
      </c>
      <c r="T116" s="32" t="n">
        <f>68817</f>
        <v>68817.0</v>
      </c>
      <c r="U116" s="32" t="n">
        <f>48848</f>
        <v>48848.0</v>
      </c>
      <c r="V116" s="32" t="n">
        <f>1452612987</f>
        <v>1.452612987E9</v>
      </c>
      <c r="W116" s="32" t="n">
        <f>1031847612</f>
        <v>1.031847612E9</v>
      </c>
      <c r="X116" s="36" t="n">
        <f>20</f>
        <v>20.0</v>
      </c>
    </row>
    <row r="117">
      <c r="A117" s="27" t="s">
        <v>42</v>
      </c>
      <c r="B117" s="27" t="s">
        <v>399</v>
      </c>
      <c r="C117" s="27" t="s">
        <v>400</v>
      </c>
      <c r="D117" s="27" t="s">
        <v>401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1917.5</f>
        <v>1917.5</v>
      </c>
      <c r="L117" s="34" t="s">
        <v>48</v>
      </c>
      <c r="M117" s="33" t="n">
        <f>1935</f>
        <v>1935.0</v>
      </c>
      <c r="N117" s="34" t="s">
        <v>104</v>
      </c>
      <c r="O117" s="33" t="n">
        <f>1879</f>
        <v>1879.0</v>
      </c>
      <c r="P117" s="34" t="s">
        <v>64</v>
      </c>
      <c r="Q117" s="33" t="n">
        <f>1915</f>
        <v>1915.0</v>
      </c>
      <c r="R117" s="34" t="s">
        <v>50</v>
      </c>
      <c r="S117" s="35" t="n">
        <f>1907.65</f>
        <v>1907.65</v>
      </c>
      <c r="T117" s="32" t="n">
        <f>3208660</f>
        <v>3208660.0</v>
      </c>
      <c r="U117" s="32" t="n">
        <f>754000</f>
        <v>754000.0</v>
      </c>
      <c r="V117" s="32" t="n">
        <f>6133519405</f>
        <v>6.133519405E9</v>
      </c>
      <c r="W117" s="32" t="n">
        <f>1433342200</f>
        <v>1.4333422E9</v>
      </c>
      <c r="X117" s="36" t="n">
        <f>20</f>
        <v>20.0</v>
      </c>
    </row>
    <row r="118">
      <c r="A118" s="27" t="s">
        <v>42</v>
      </c>
      <c r="B118" s="27" t="s">
        <v>402</v>
      </c>
      <c r="C118" s="27" t="s">
        <v>403</v>
      </c>
      <c r="D118" s="27" t="s">
        <v>404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1960</f>
        <v>1960.0</v>
      </c>
      <c r="L118" s="34" t="s">
        <v>267</v>
      </c>
      <c r="M118" s="33" t="n">
        <f>1960</f>
        <v>1960.0</v>
      </c>
      <c r="N118" s="34" t="s">
        <v>267</v>
      </c>
      <c r="O118" s="33" t="n">
        <f>1881</f>
        <v>1881.0</v>
      </c>
      <c r="P118" s="34" t="s">
        <v>64</v>
      </c>
      <c r="Q118" s="33" t="n">
        <f>1881</f>
        <v>1881.0</v>
      </c>
      <c r="R118" s="34" t="s">
        <v>64</v>
      </c>
      <c r="S118" s="35" t="n">
        <f>1916</f>
        <v>1916.0</v>
      </c>
      <c r="T118" s="32" t="n">
        <f>270</f>
        <v>270.0</v>
      </c>
      <c r="U118" s="32" t="str">
        <f>"－"</f>
        <v>－</v>
      </c>
      <c r="V118" s="32" t="n">
        <f>526160</f>
        <v>526160.0</v>
      </c>
      <c r="W118" s="32" t="str">
        <f>"－"</f>
        <v>－</v>
      </c>
      <c r="X118" s="36" t="n">
        <f>2</f>
        <v>2.0</v>
      </c>
    </row>
    <row r="119">
      <c r="A119" s="27" t="s">
        <v>42</v>
      </c>
      <c r="B119" s="27" t="s">
        <v>405</v>
      </c>
      <c r="C119" s="27" t="s">
        <v>406</v>
      </c>
      <c r="D119" s="27" t="s">
        <v>407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1919.5</f>
        <v>1919.5</v>
      </c>
      <c r="L119" s="34" t="s">
        <v>48</v>
      </c>
      <c r="M119" s="33" t="n">
        <f>1955.5</f>
        <v>1955.5</v>
      </c>
      <c r="N119" s="34" t="s">
        <v>104</v>
      </c>
      <c r="O119" s="33" t="n">
        <f>1888.5</f>
        <v>1888.5</v>
      </c>
      <c r="P119" s="34" t="s">
        <v>69</v>
      </c>
      <c r="Q119" s="33" t="n">
        <f>1935.5</f>
        <v>1935.5</v>
      </c>
      <c r="R119" s="34" t="s">
        <v>50</v>
      </c>
      <c r="S119" s="35" t="n">
        <f>1921.7</f>
        <v>1921.7</v>
      </c>
      <c r="T119" s="32" t="n">
        <f>1020100</f>
        <v>1020100.0</v>
      </c>
      <c r="U119" s="32" t="n">
        <f>193630</f>
        <v>193630.0</v>
      </c>
      <c r="V119" s="32" t="n">
        <f>1960784435</f>
        <v>1.960784435E9</v>
      </c>
      <c r="W119" s="32" t="n">
        <f>369782440</f>
        <v>3.6978244E8</v>
      </c>
      <c r="X119" s="36" t="n">
        <f>20</f>
        <v>20.0</v>
      </c>
    </row>
    <row r="120">
      <c r="A120" s="27" t="s">
        <v>42</v>
      </c>
      <c r="B120" s="27" t="s">
        <v>408</v>
      </c>
      <c r="C120" s="27" t="s">
        <v>409</v>
      </c>
      <c r="D120" s="27" t="s">
        <v>410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21475</f>
        <v>21475.0</v>
      </c>
      <c r="L120" s="34" t="s">
        <v>48</v>
      </c>
      <c r="M120" s="33" t="n">
        <f>21675</f>
        <v>21675.0</v>
      </c>
      <c r="N120" s="34" t="s">
        <v>48</v>
      </c>
      <c r="O120" s="33" t="n">
        <f>20400</f>
        <v>20400.0</v>
      </c>
      <c r="P120" s="34" t="s">
        <v>49</v>
      </c>
      <c r="Q120" s="33" t="n">
        <f>21290</f>
        <v>21290.0</v>
      </c>
      <c r="R120" s="34" t="s">
        <v>50</v>
      </c>
      <c r="S120" s="35" t="n">
        <f>20961.39</f>
        <v>20961.39</v>
      </c>
      <c r="T120" s="32" t="n">
        <f>21019</f>
        <v>21019.0</v>
      </c>
      <c r="U120" s="32" t="n">
        <f>10520</f>
        <v>10520.0</v>
      </c>
      <c r="V120" s="32" t="n">
        <f>440058690</f>
        <v>4.4005869E8</v>
      </c>
      <c r="W120" s="32" t="n">
        <f>217953360</f>
        <v>2.1795336E8</v>
      </c>
      <c r="X120" s="36" t="n">
        <f>18</f>
        <v>18.0</v>
      </c>
    </row>
    <row r="121">
      <c r="A121" s="27" t="s">
        <v>42</v>
      </c>
      <c r="B121" s="27" t="s">
        <v>411</v>
      </c>
      <c r="C121" s="27" t="s">
        <v>412</v>
      </c>
      <c r="D121" s="27" t="s">
        <v>413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100.0</v>
      </c>
      <c r="K121" s="33" t="n">
        <f>234.8</f>
        <v>234.8</v>
      </c>
      <c r="L121" s="34" t="s">
        <v>48</v>
      </c>
      <c r="M121" s="33" t="n">
        <f>250.7</f>
        <v>250.7</v>
      </c>
      <c r="N121" s="34" t="s">
        <v>50</v>
      </c>
      <c r="O121" s="33" t="n">
        <f>226.5</f>
        <v>226.5</v>
      </c>
      <c r="P121" s="34" t="s">
        <v>68</v>
      </c>
      <c r="Q121" s="33" t="n">
        <f>247.6</f>
        <v>247.6</v>
      </c>
      <c r="R121" s="34" t="s">
        <v>50</v>
      </c>
      <c r="S121" s="35" t="n">
        <f>235.73</f>
        <v>235.73</v>
      </c>
      <c r="T121" s="32" t="n">
        <f>90925900</f>
        <v>9.09259E7</v>
      </c>
      <c r="U121" s="32" t="n">
        <f>8670400</f>
        <v>8670400.0</v>
      </c>
      <c r="V121" s="32" t="n">
        <f>21605426622</f>
        <v>2.1605426622E10</v>
      </c>
      <c r="W121" s="32" t="n">
        <f>2042593542</f>
        <v>2.042593542E9</v>
      </c>
      <c r="X121" s="36" t="n">
        <f>20</f>
        <v>20.0</v>
      </c>
    </row>
    <row r="122">
      <c r="A122" s="27" t="s">
        <v>42</v>
      </c>
      <c r="B122" s="27" t="s">
        <v>414</v>
      </c>
      <c r="C122" s="27" t="s">
        <v>415</v>
      </c>
      <c r="D122" s="27" t="s">
        <v>416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34140</f>
        <v>34140.0</v>
      </c>
      <c r="L122" s="34" t="s">
        <v>48</v>
      </c>
      <c r="M122" s="33" t="n">
        <f>34350</f>
        <v>34350.0</v>
      </c>
      <c r="N122" s="34" t="s">
        <v>48</v>
      </c>
      <c r="O122" s="33" t="n">
        <f>32690</f>
        <v>32690.0</v>
      </c>
      <c r="P122" s="34" t="s">
        <v>64</v>
      </c>
      <c r="Q122" s="33" t="n">
        <f>33640</f>
        <v>33640.0</v>
      </c>
      <c r="R122" s="34" t="s">
        <v>50</v>
      </c>
      <c r="S122" s="35" t="n">
        <f>33487.5</f>
        <v>33487.5</v>
      </c>
      <c r="T122" s="32" t="n">
        <f>5917</f>
        <v>5917.0</v>
      </c>
      <c r="U122" s="32" t="n">
        <f>3002</f>
        <v>3002.0</v>
      </c>
      <c r="V122" s="32" t="n">
        <f>199741650</f>
        <v>1.9974165E8</v>
      </c>
      <c r="W122" s="32" t="n">
        <f>101547890</f>
        <v>1.0154789E8</v>
      </c>
      <c r="X122" s="36" t="n">
        <f>20</f>
        <v>20.0</v>
      </c>
    </row>
    <row r="123">
      <c r="A123" s="27" t="s">
        <v>42</v>
      </c>
      <c r="B123" s="27" t="s">
        <v>417</v>
      </c>
      <c r="C123" s="27" t="s">
        <v>418</v>
      </c>
      <c r="D123" s="27" t="s">
        <v>419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14305</f>
        <v>14305.0</v>
      </c>
      <c r="L123" s="34" t="s">
        <v>48</v>
      </c>
      <c r="M123" s="33" t="n">
        <f>15350</f>
        <v>15350.0</v>
      </c>
      <c r="N123" s="34" t="s">
        <v>50</v>
      </c>
      <c r="O123" s="33" t="n">
        <f>14205</f>
        <v>14205.0</v>
      </c>
      <c r="P123" s="34" t="s">
        <v>227</v>
      </c>
      <c r="Q123" s="33" t="n">
        <f>15235</f>
        <v>15235.0</v>
      </c>
      <c r="R123" s="34" t="s">
        <v>50</v>
      </c>
      <c r="S123" s="35" t="n">
        <f>14663</f>
        <v>14663.0</v>
      </c>
      <c r="T123" s="32" t="n">
        <f>18962</f>
        <v>18962.0</v>
      </c>
      <c r="U123" s="32" t="str">
        <f>"－"</f>
        <v>－</v>
      </c>
      <c r="V123" s="32" t="n">
        <f>276690865</f>
        <v>2.76690865E8</v>
      </c>
      <c r="W123" s="32" t="str">
        <f>"－"</f>
        <v>－</v>
      </c>
      <c r="X123" s="36" t="n">
        <f>20</f>
        <v>20.0</v>
      </c>
    </row>
    <row r="124">
      <c r="A124" s="27" t="s">
        <v>42</v>
      </c>
      <c r="B124" s="27" t="s">
        <v>420</v>
      </c>
      <c r="C124" s="27" t="s">
        <v>421</v>
      </c>
      <c r="D124" s="27" t="s">
        <v>422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25630</f>
        <v>25630.0</v>
      </c>
      <c r="L124" s="34" t="s">
        <v>48</v>
      </c>
      <c r="M124" s="33" t="n">
        <f>25820</f>
        <v>25820.0</v>
      </c>
      <c r="N124" s="34" t="s">
        <v>48</v>
      </c>
      <c r="O124" s="33" t="n">
        <f>24000</f>
        <v>24000.0</v>
      </c>
      <c r="P124" s="34" t="s">
        <v>91</v>
      </c>
      <c r="Q124" s="33" t="n">
        <f>25345</f>
        <v>25345.0</v>
      </c>
      <c r="R124" s="34" t="s">
        <v>50</v>
      </c>
      <c r="S124" s="35" t="n">
        <f>24971</f>
        <v>24971.0</v>
      </c>
      <c r="T124" s="32" t="n">
        <f>17583</f>
        <v>17583.0</v>
      </c>
      <c r="U124" s="32" t="str">
        <f>"－"</f>
        <v>－</v>
      </c>
      <c r="V124" s="32" t="n">
        <f>442859605</f>
        <v>4.42859605E8</v>
      </c>
      <c r="W124" s="32" t="str">
        <f>"－"</f>
        <v>－</v>
      </c>
      <c r="X124" s="36" t="n">
        <f>20</f>
        <v>20.0</v>
      </c>
    </row>
    <row r="125">
      <c r="A125" s="27" t="s">
        <v>42</v>
      </c>
      <c r="B125" s="27" t="s">
        <v>423</v>
      </c>
      <c r="C125" s="27" t="s">
        <v>424</v>
      </c>
      <c r="D125" s="27" t="s">
        <v>425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28560</f>
        <v>28560.0</v>
      </c>
      <c r="L125" s="34" t="s">
        <v>48</v>
      </c>
      <c r="M125" s="33" t="n">
        <f>28940</f>
        <v>28940.0</v>
      </c>
      <c r="N125" s="34" t="s">
        <v>48</v>
      </c>
      <c r="O125" s="33" t="n">
        <f>27010</f>
        <v>27010.0</v>
      </c>
      <c r="P125" s="34" t="s">
        <v>117</v>
      </c>
      <c r="Q125" s="33" t="n">
        <f>27890</f>
        <v>27890.0</v>
      </c>
      <c r="R125" s="34" t="s">
        <v>50</v>
      </c>
      <c r="S125" s="35" t="n">
        <f>27716.75</f>
        <v>27716.75</v>
      </c>
      <c r="T125" s="32" t="n">
        <f>4253</f>
        <v>4253.0</v>
      </c>
      <c r="U125" s="32" t="str">
        <f>"－"</f>
        <v>－</v>
      </c>
      <c r="V125" s="32" t="n">
        <f>117829880</f>
        <v>1.1782988E8</v>
      </c>
      <c r="W125" s="32" t="str">
        <f>"－"</f>
        <v>－</v>
      </c>
      <c r="X125" s="36" t="n">
        <f>20</f>
        <v>20.0</v>
      </c>
    </row>
    <row r="126">
      <c r="A126" s="27" t="s">
        <v>42</v>
      </c>
      <c r="B126" s="27" t="s">
        <v>426</v>
      </c>
      <c r="C126" s="27" t="s">
        <v>427</v>
      </c>
      <c r="D126" s="27" t="s">
        <v>428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27875</f>
        <v>27875.0</v>
      </c>
      <c r="L126" s="34" t="s">
        <v>48</v>
      </c>
      <c r="M126" s="33" t="n">
        <f>27935</f>
        <v>27935.0</v>
      </c>
      <c r="N126" s="34" t="s">
        <v>48</v>
      </c>
      <c r="O126" s="33" t="n">
        <f>25005</f>
        <v>25005.0</v>
      </c>
      <c r="P126" s="34" t="s">
        <v>64</v>
      </c>
      <c r="Q126" s="33" t="n">
        <f>26510</f>
        <v>26510.0</v>
      </c>
      <c r="R126" s="34" t="s">
        <v>50</v>
      </c>
      <c r="S126" s="35" t="n">
        <f>26133.75</f>
        <v>26133.75</v>
      </c>
      <c r="T126" s="32" t="n">
        <f>23135</f>
        <v>23135.0</v>
      </c>
      <c r="U126" s="32" t="n">
        <f>8203</f>
        <v>8203.0</v>
      </c>
      <c r="V126" s="32" t="n">
        <f>609672612</f>
        <v>6.09672612E8</v>
      </c>
      <c r="W126" s="32" t="n">
        <f>216962802</f>
        <v>2.16962802E8</v>
      </c>
      <c r="X126" s="36" t="n">
        <f>20</f>
        <v>20.0</v>
      </c>
    </row>
    <row r="127">
      <c r="A127" s="27" t="s">
        <v>42</v>
      </c>
      <c r="B127" s="27" t="s">
        <v>429</v>
      </c>
      <c r="C127" s="27" t="s">
        <v>430</v>
      </c>
      <c r="D127" s="27" t="s">
        <v>431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28600</f>
        <v>28600.0</v>
      </c>
      <c r="L127" s="34" t="s">
        <v>48</v>
      </c>
      <c r="M127" s="33" t="n">
        <f>28915</f>
        <v>28915.0</v>
      </c>
      <c r="N127" s="34" t="s">
        <v>184</v>
      </c>
      <c r="O127" s="33" t="n">
        <f>25660</f>
        <v>25660.0</v>
      </c>
      <c r="P127" s="34" t="s">
        <v>64</v>
      </c>
      <c r="Q127" s="33" t="n">
        <f>27635</f>
        <v>27635.0</v>
      </c>
      <c r="R127" s="34" t="s">
        <v>50</v>
      </c>
      <c r="S127" s="35" t="n">
        <f>27376.5</f>
        <v>27376.5</v>
      </c>
      <c r="T127" s="32" t="n">
        <f>19153</f>
        <v>19153.0</v>
      </c>
      <c r="U127" s="32" t="n">
        <f>2</f>
        <v>2.0</v>
      </c>
      <c r="V127" s="32" t="n">
        <f>526796220</f>
        <v>5.2679622E8</v>
      </c>
      <c r="W127" s="32" t="n">
        <f>52340</f>
        <v>52340.0</v>
      </c>
      <c r="X127" s="36" t="n">
        <f>20</f>
        <v>20.0</v>
      </c>
    </row>
    <row r="128">
      <c r="A128" s="27" t="s">
        <v>42</v>
      </c>
      <c r="B128" s="27" t="s">
        <v>432</v>
      </c>
      <c r="C128" s="27" t="s">
        <v>433</v>
      </c>
      <c r="D128" s="27" t="s">
        <v>434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21860</f>
        <v>21860.0</v>
      </c>
      <c r="L128" s="34" t="s">
        <v>48</v>
      </c>
      <c r="M128" s="33" t="n">
        <f>22660</f>
        <v>22660.0</v>
      </c>
      <c r="N128" s="34" t="s">
        <v>50</v>
      </c>
      <c r="O128" s="33" t="n">
        <f>20790</f>
        <v>20790.0</v>
      </c>
      <c r="P128" s="34" t="s">
        <v>64</v>
      </c>
      <c r="Q128" s="33" t="n">
        <f>22660</f>
        <v>22660.0</v>
      </c>
      <c r="R128" s="34" t="s">
        <v>50</v>
      </c>
      <c r="S128" s="35" t="n">
        <f>21729.5</f>
        <v>21729.5</v>
      </c>
      <c r="T128" s="32" t="n">
        <f>7300</f>
        <v>7300.0</v>
      </c>
      <c r="U128" s="32" t="str">
        <f>"－"</f>
        <v>－</v>
      </c>
      <c r="V128" s="32" t="n">
        <f>159807915</f>
        <v>1.59807915E8</v>
      </c>
      <c r="W128" s="32" t="str">
        <f>"－"</f>
        <v>－</v>
      </c>
      <c r="X128" s="36" t="n">
        <f>20</f>
        <v>20.0</v>
      </c>
    </row>
    <row r="129">
      <c r="A129" s="27" t="s">
        <v>42</v>
      </c>
      <c r="B129" s="27" t="s">
        <v>435</v>
      </c>
      <c r="C129" s="27" t="s">
        <v>436</v>
      </c>
      <c r="D129" s="27" t="s">
        <v>437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49600</f>
        <v>49600.0</v>
      </c>
      <c r="L129" s="34" t="s">
        <v>48</v>
      </c>
      <c r="M129" s="33" t="n">
        <f>50690</f>
        <v>50690.0</v>
      </c>
      <c r="N129" s="34" t="s">
        <v>48</v>
      </c>
      <c r="O129" s="33" t="n">
        <f>46260</f>
        <v>46260.0</v>
      </c>
      <c r="P129" s="34" t="s">
        <v>64</v>
      </c>
      <c r="Q129" s="33" t="n">
        <f>48300</f>
        <v>48300.0</v>
      </c>
      <c r="R129" s="34" t="s">
        <v>50</v>
      </c>
      <c r="S129" s="35" t="n">
        <f>48084</f>
        <v>48084.0</v>
      </c>
      <c r="T129" s="32" t="n">
        <f>10700</f>
        <v>10700.0</v>
      </c>
      <c r="U129" s="32" t="str">
        <f>"－"</f>
        <v>－</v>
      </c>
      <c r="V129" s="32" t="n">
        <f>518898520</f>
        <v>5.1889852E8</v>
      </c>
      <c r="W129" s="32" t="str">
        <f>"－"</f>
        <v>－</v>
      </c>
      <c r="X129" s="36" t="n">
        <f>20</f>
        <v>20.0</v>
      </c>
    </row>
    <row r="130">
      <c r="A130" s="27" t="s">
        <v>42</v>
      </c>
      <c r="B130" s="27" t="s">
        <v>438</v>
      </c>
      <c r="C130" s="27" t="s">
        <v>439</v>
      </c>
      <c r="D130" s="27" t="s">
        <v>440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33410</f>
        <v>33410.0</v>
      </c>
      <c r="L130" s="34" t="s">
        <v>48</v>
      </c>
      <c r="M130" s="33" t="n">
        <f>33680</f>
        <v>33680.0</v>
      </c>
      <c r="N130" s="34" t="s">
        <v>48</v>
      </c>
      <c r="O130" s="33" t="n">
        <f>31470</f>
        <v>31470.0</v>
      </c>
      <c r="P130" s="34" t="s">
        <v>49</v>
      </c>
      <c r="Q130" s="33" t="n">
        <f>32590</f>
        <v>32590.0</v>
      </c>
      <c r="R130" s="34" t="s">
        <v>50</v>
      </c>
      <c r="S130" s="35" t="n">
        <f>32505.5</f>
        <v>32505.5</v>
      </c>
      <c r="T130" s="32" t="n">
        <f>9923</f>
        <v>9923.0</v>
      </c>
      <c r="U130" s="32" t="n">
        <f>2001</f>
        <v>2001.0</v>
      </c>
      <c r="V130" s="32" t="n">
        <f>321398560</f>
        <v>3.2139856E8</v>
      </c>
      <c r="W130" s="32" t="n">
        <f>64987190</f>
        <v>6.498719E7</v>
      </c>
      <c r="X130" s="36" t="n">
        <f>20</f>
        <v>20.0</v>
      </c>
    </row>
    <row r="131">
      <c r="A131" s="27" t="s">
        <v>42</v>
      </c>
      <c r="B131" s="27" t="s">
        <v>441</v>
      </c>
      <c r="C131" s="27" t="s">
        <v>442</v>
      </c>
      <c r="D131" s="27" t="s">
        <v>443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31150</f>
        <v>31150.0</v>
      </c>
      <c r="L131" s="34" t="s">
        <v>48</v>
      </c>
      <c r="M131" s="33" t="n">
        <f>31150</f>
        <v>31150.0</v>
      </c>
      <c r="N131" s="34" t="s">
        <v>48</v>
      </c>
      <c r="O131" s="33" t="n">
        <f>29690</f>
        <v>29690.0</v>
      </c>
      <c r="P131" s="34" t="s">
        <v>64</v>
      </c>
      <c r="Q131" s="33" t="n">
        <f>30560</f>
        <v>30560.0</v>
      </c>
      <c r="R131" s="34" t="s">
        <v>50</v>
      </c>
      <c r="S131" s="35" t="n">
        <f>30325.5</f>
        <v>30325.5</v>
      </c>
      <c r="T131" s="32" t="n">
        <f>7565</f>
        <v>7565.0</v>
      </c>
      <c r="U131" s="32" t="n">
        <f>2</f>
        <v>2.0</v>
      </c>
      <c r="V131" s="32" t="n">
        <f>231933770</f>
        <v>2.3193377E8</v>
      </c>
      <c r="W131" s="32" t="n">
        <f>61500</f>
        <v>61500.0</v>
      </c>
      <c r="X131" s="36" t="n">
        <f>20</f>
        <v>20.0</v>
      </c>
    </row>
    <row r="132">
      <c r="A132" s="27" t="s">
        <v>42</v>
      </c>
      <c r="B132" s="27" t="s">
        <v>444</v>
      </c>
      <c r="C132" s="27" t="s">
        <v>445</v>
      </c>
      <c r="D132" s="27" t="s">
        <v>446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7363</f>
        <v>7363.0</v>
      </c>
      <c r="L132" s="34" t="s">
        <v>48</v>
      </c>
      <c r="M132" s="33" t="n">
        <f>7467</f>
        <v>7467.0</v>
      </c>
      <c r="N132" s="34" t="s">
        <v>48</v>
      </c>
      <c r="O132" s="33" t="n">
        <f>6716</f>
        <v>6716.0</v>
      </c>
      <c r="P132" s="34" t="s">
        <v>227</v>
      </c>
      <c r="Q132" s="33" t="n">
        <f>7371</f>
        <v>7371.0</v>
      </c>
      <c r="R132" s="34" t="s">
        <v>50</v>
      </c>
      <c r="S132" s="35" t="n">
        <f>7140.9</f>
        <v>7140.9</v>
      </c>
      <c r="T132" s="32" t="n">
        <f>57314</f>
        <v>57314.0</v>
      </c>
      <c r="U132" s="32" t="n">
        <f>14000</f>
        <v>14000.0</v>
      </c>
      <c r="V132" s="32" t="n">
        <f>409518755</f>
        <v>4.09518755E8</v>
      </c>
      <c r="W132" s="32" t="n">
        <f>97777400</f>
        <v>9.77774E7</v>
      </c>
      <c r="X132" s="36" t="n">
        <f>20</f>
        <v>20.0</v>
      </c>
    </row>
    <row r="133">
      <c r="A133" s="27" t="s">
        <v>42</v>
      </c>
      <c r="B133" s="27" t="s">
        <v>447</v>
      </c>
      <c r="C133" s="27" t="s">
        <v>448</v>
      </c>
      <c r="D133" s="27" t="s">
        <v>449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18150</f>
        <v>18150.0</v>
      </c>
      <c r="L133" s="34" t="s">
        <v>48</v>
      </c>
      <c r="M133" s="33" t="n">
        <f>18200</f>
        <v>18200.0</v>
      </c>
      <c r="N133" s="34" t="s">
        <v>48</v>
      </c>
      <c r="O133" s="33" t="n">
        <f>17130</f>
        <v>17130.0</v>
      </c>
      <c r="P133" s="34" t="s">
        <v>227</v>
      </c>
      <c r="Q133" s="33" t="n">
        <f>17925</f>
        <v>17925.0</v>
      </c>
      <c r="R133" s="34" t="s">
        <v>50</v>
      </c>
      <c r="S133" s="35" t="n">
        <f>17719</f>
        <v>17719.0</v>
      </c>
      <c r="T133" s="32" t="n">
        <f>7838</f>
        <v>7838.0</v>
      </c>
      <c r="U133" s="32" t="str">
        <f>"－"</f>
        <v>－</v>
      </c>
      <c r="V133" s="32" t="n">
        <f>139763425</f>
        <v>1.39763425E8</v>
      </c>
      <c r="W133" s="32" t="str">
        <f>"－"</f>
        <v>－</v>
      </c>
      <c r="X133" s="36" t="n">
        <f>20</f>
        <v>20.0</v>
      </c>
    </row>
    <row r="134">
      <c r="A134" s="27" t="s">
        <v>42</v>
      </c>
      <c r="B134" s="27" t="s">
        <v>450</v>
      </c>
      <c r="C134" s="27" t="s">
        <v>451</v>
      </c>
      <c r="D134" s="27" t="s">
        <v>452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70650</f>
        <v>70650.0</v>
      </c>
      <c r="L134" s="34" t="s">
        <v>48</v>
      </c>
      <c r="M134" s="33" t="n">
        <f>71610</f>
        <v>71610.0</v>
      </c>
      <c r="N134" s="34" t="s">
        <v>48</v>
      </c>
      <c r="O134" s="33" t="n">
        <f>65890</f>
        <v>65890.0</v>
      </c>
      <c r="P134" s="34" t="s">
        <v>64</v>
      </c>
      <c r="Q134" s="33" t="n">
        <f>71300</f>
        <v>71300.0</v>
      </c>
      <c r="R134" s="34" t="s">
        <v>50</v>
      </c>
      <c r="S134" s="35" t="n">
        <f>69294.5</f>
        <v>69294.5</v>
      </c>
      <c r="T134" s="32" t="n">
        <f>32527</f>
        <v>32527.0</v>
      </c>
      <c r="U134" s="32" t="n">
        <f>1537</f>
        <v>1537.0</v>
      </c>
      <c r="V134" s="32" t="n">
        <f>2253428375</f>
        <v>2.253428375E9</v>
      </c>
      <c r="W134" s="32" t="n">
        <f>108091415</f>
        <v>1.08091415E8</v>
      </c>
      <c r="X134" s="36" t="n">
        <f>20</f>
        <v>20.0</v>
      </c>
    </row>
    <row r="135">
      <c r="A135" s="27" t="s">
        <v>42</v>
      </c>
      <c r="B135" s="27" t="s">
        <v>453</v>
      </c>
      <c r="C135" s="27" t="s">
        <v>454</v>
      </c>
      <c r="D135" s="27" t="s">
        <v>455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25840</f>
        <v>25840.0</v>
      </c>
      <c r="L135" s="34" t="s">
        <v>48</v>
      </c>
      <c r="M135" s="33" t="n">
        <f>25965</f>
        <v>25965.0</v>
      </c>
      <c r="N135" s="34" t="s">
        <v>50</v>
      </c>
      <c r="O135" s="33" t="n">
        <f>24900</f>
        <v>24900.0</v>
      </c>
      <c r="P135" s="34" t="s">
        <v>91</v>
      </c>
      <c r="Q135" s="33" t="n">
        <f>25795</f>
        <v>25795.0</v>
      </c>
      <c r="R135" s="34" t="s">
        <v>50</v>
      </c>
      <c r="S135" s="35" t="n">
        <f>25440.5</f>
        <v>25440.5</v>
      </c>
      <c r="T135" s="32" t="n">
        <f>16138</f>
        <v>16138.0</v>
      </c>
      <c r="U135" s="32" t="n">
        <f>7900</f>
        <v>7900.0</v>
      </c>
      <c r="V135" s="32" t="n">
        <f>410245915</f>
        <v>4.10245915E8</v>
      </c>
      <c r="W135" s="32" t="n">
        <f>199866530</f>
        <v>1.9986653E8</v>
      </c>
      <c r="X135" s="36" t="n">
        <f>20</f>
        <v>20.0</v>
      </c>
    </row>
    <row r="136">
      <c r="A136" s="27" t="s">
        <v>42</v>
      </c>
      <c r="B136" s="27" t="s">
        <v>456</v>
      </c>
      <c r="C136" s="27" t="s">
        <v>457</v>
      </c>
      <c r="D136" s="27" t="s">
        <v>458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12185</f>
        <v>12185.0</v>
      </c>
      <c r="L136" s="34" t="s">
        <v>48</v>
      </c>
      <c r="M136" s="33" t="n">
        <f>13150</f>
        <v>13150.0</v>
      </c>
      <c r="N136" s="34" t="s">
        <v>50</v>
      </c>
      <c r="O136" s="33" t="n">
        <f>11880</f>
        <v>11880.0</v>
      </c>
      <c r="P136" s="34" t="s">
        <v>68</v>
      </c>
      <c r="Q136" s="33" t="n">
        <f>12990</f>
        <v>12990.0</v>
      </c>
      <c r="R136" s="34" t="s">
        <v>50</v>
      </c>
      <c r="S136" s="35" t="n">
        <f>12314</f>
        <v>12314.0</v>
      </c>
      <c r="T136" s="32" t="n">
        <f>74002</f>
        <v>74002.0</v>
      </c>
      <c r="U136" s="32" t="n">
        <f>803</f>
        <v>803.0</v>
      </c>
      <c r="V136" s="32" t="n">
        <f>920011659</f>
        <v>9.20011659E8</v>
      </c>
      <c r="W136" s="32" t="n">
        <f>10009444</f>
        <v>1.0009444E7</v>
      </c>
      <c r="X136" s="36" t="n">
        <f>20</f>
        <v>20.0</v>
      </c>
    </row>
    <row r="137">
      <c r="A137" s="27" t="s">
        <v>42</v>
      </c>
      <c r="B137" s="27" t="s">
        <v>459</v>
      </c>
      <c r="C137" s="27" t="s">
        <v>460</v>
      </c>
      <c r="D137" s="27" t="s">
        <v>461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17925</f>
        <v>17925.0</v>
      </c>
      <c r="L137" s="34" t="s">
        <v>48</v>
      </c>
      <c r="M137" s="33" t="n">
        <f>18355</f>
        <v>18355.0</v>
      </c>
      <c r="N137" s="34" t="s">
        <v>90</v>
      </c>
      <c r="O137" s="33" t="n">
        <f>17250</f>
        <v>17250.0</v>
      </c>
      <c r="P137" s="34" t="s">
        <v>91</v>
      </c>
      <c r="Q137" s="33" t="n">
        <f>18270</f>
        <v>18270.0</v>
      </c>
      <c r="R137" s="34" t="s">
        <v>50</v>
      </c>
      <c r="S137" s="35" t="n">
        <f>17792.5</f>
        <v>17792.5</v>
      </c>
      <c r="T137" s="32" t="n">
        <f>8855</f>
        <v>8855.0</v>
      </c>
      <c r="U137" s="32" t="str">
        <f>"－"</f>
        <v>－</v>
      </c>
      <c r="V137" s="32" t="n">
        <f>158919800</f>
        <v>1.589198E8</v>
      </c>
      <c r="W137" s="32" t="str">
        <f>"－"</f>
        <v>－</v>
      </c>
      <c r="X137" s="36" t="n">
        <f>20</f>
        <v>20.0</v>
      </c>
    </row>
    <row r="138">
      <c r="A138" s="27" t="s">
        <v>42</v>
      </c>
      <c r="B138" s="27" t="s">
        <v>462</v>
      </c>
      <c r="C138" s="27" t="s">
        <v>463</v>
      </c>
      <c r="D138" s="27" t="s">
        <v>464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31510</f>
        <v>31510.0</v>
      </c>
      <c r="L138" s="34" t="s">
        <v>48</v>
      </c>
      <c r="M138" s="33" t="n">
        <f>31590</f>
        <v>31590.0</v>
      </c>
      <c r="N138" s="34" t="s">
        <v>48</v>
      </c>
      <c r="O138" s="33" t="n">
        <f>29640</f>
        <v>29640.0</v>
      </c>
      <c r="P138" s="34" t="s">
        <v>227</v>
      </c>
      <c r="Q138" s="33" t="n">
        <f>31190</f>
        <v>31190.0</v>
      </c>
      <c r="R138" s="34" t="s">
        <v>50</v>
      </c>
      <c r="S138" s="35" t="n">
        <f>30753</f>
        <v>30753.0</v>
      </c>
      <c r="T138" s="32" t="n">
        <f>3693</f>
        <v>3693.0</v>
      </c>
      <c r="U138" s="32" t="str">
        <f>"－"</f>
        <v>－</v>
      </c>
      <c r="V138" s="32" t="n">
        <f>115000795</f>
        <v>1.15000795E8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465</v>
      </c>
      <c r="C139" s="27" t="s">
        <v>466</v>
      </c>
      <c r="D139" s="27" t="s">
        <v>467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10.0</v>
      </c>
      <c r="K139" s="33" t="n">
        <f>1564</f>
        <v>1564.0</v>
      </c>
      <c r="L139" s="34" t="s">
        <v>48</v>
      </c>
      <c r="M139" s="33" t="n">
        <f>1591</f>
        <v>1591.0</v>
      </c>
      <c r="N139" s="34" t="s">
        <v>50</v>
      </c>
      <c r="O139" s="33" t="n">
        <f>1477</f>
        <v>1477.0</v>
      </c>
      <c r="P139" s="34" t="s">
        <v>91</v>
      </c>
      <c r="Q139" s="33" t="n">
        <f>1587.5</f>
        <v>1587.5</v>
      </c>
      <c r="R139" s="34" t="s">
        <v>50</v>
      </c>
      <c r="S139" s="35" t="n">
        <f>1548.03</f>
        <v>1548.03</v>
      </c>
      <c r="T139" s="32" t="n">
        <f>853830</f>
        <v>853830.0</v>
      </c>
      <c r="U139" s="32" t="n">
        <f>215000</f>
        <v>215000.0</v>
      </c>
      <c r="V139" s="32" t="n">
        <f>1318327880</f>
        <v>1.31832788E9</v>
      </c>
      <c r="W139" s="32" t="n">
        <f>328224000</f>
        <v>3.28224E8</v>
      </c>
      <c r="X139" s="36" t="n">
        <f>20</f>
        <v>20.0</v>
      </c>
    </row>
    <row r="140">
      <c r="A140" s="27" t="s">
        <v>42</v>
      </c>
      <c r="B140" s="27" t="s">
        <v>468</v>
      </c>
      <c r="C140" s="27" t="s">
        <v>469</v>
      </c>
      <c r="D140" s="27" t="s">
        <v>470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10.0</v>
      </c>
      <c r="K140" s="33" t="n">
        <f>2742</f>
        <v>2742.0</v>
      </c>
      <c r="L140" s="34" t="s">
        <v>48</v>
      </c>
      <c r="M140" s="33" t="n">
        <f>2749.5</f>
        <v>2749.5</v>
      </c>
      <c r="N140" s="34" t="s">
        <v>48</v>
      </c>
      <c r="O140" s="33" t="n">
        <f>2537</f>
        <v>2537.0</v>
      </c>
      <c r="P140" s="34" t="s">
        <v>49</v>
      </c>
      <c r="Q140" s="33" t="n">
        <f>2659</f>
        <v>2659.0</v>
      </c>
      <c r="R140" s="34" t="s">
        <v>50</v>
      </c>
      <c r="S140" s="35" t="n">
        <f>2624.13</f>
        <v>2624.13</v>
      </c>
      <c r="T140" s="32" t="n">
        <f>16690</f>
        <v>16690.0</v>
      </c>
      <c r="U140" s="32" t="str">
        <f>"－"</f>
        <v>－</v>
      </c>
      <c r="V140" s="32" t="n">
        <f>43627800</f>
        <v>4.36278E7</v>
      </c>
      <c r="W140" s="32" t="str">
        <f>"－"</f>
        <v>－</v>
      </c>
      <c r="X140" s="36" t="n">
        <f>16</f>
        <v>16.0</v>
      </c>
    </row>
    <row r="141">
      <c r="A141" s="27" t="s">
        <v>42</v>
      </c>
      <c r="B141" s="27" t="s">
        <v>471</v>
      </c>
      <c r="C141" s="27" t="s">
        <v>472</v>
      </c>
      <c r="D141" s="27" t="s">
        <v>473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2968</f>
        <v>2968.0</v>
      </c>
      <c r="L141" s="34" t="s">
        <v>48</v>
      </c>
      <c r="M141" s="33" t="n">
        <f>2976.5</f>
        <v>2976.5</v>
      </c>
      <c r="N141" s="34" t="s">
        <v>48</v>
      </c>
      <c r="O141" s="33" t="n">
        <f>2765</f>
        <v>2765.0</v>
      </c>
      <c r="P141" s="34" t="s">
        <v>49</v>
      </c>
      <c r="Q141" s="33" t="n">
        <f>2912.5</f>
        <v>2912.5</v>
      </c>
      <c r="R141" s="34" t="s">
        <v>50</v>
      </c>
      <c r="S141" s="35" t="n">
        <f>2859.78</f>
        <v>2859.78</v>
      </c>
      <c r="T141" s="32" t="n">
        <f>40560</f>
        <v>40560.0</v>
      </c>
      <c r="U141" s="32" t="str">
        <f>"－"</f>
        <v>－</v>
      </c>
      <c r="V141" s="32" t="n">
        <f>117615405</f>
        <v>1.17615405E8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474</v>
      </c>
      <c r="C142" s="27" t="s">
        <v>475</v>
      </c>
      <c r="D142" s="27" t="s">
        <v>476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10.0</v>
      </c>
      <c r="K142" s="33" t="n">
        <f>1879</f>
        <v>1879.0</v>
      </c>
      <c r="L142" s="34" t="s">
        <v>48</v>
      </c>
      <c r="M142" s="33" t="n">
        <f>1882</f>
        <v>1882.0</v>
      </c>
      <c r="N142" s="34" t="s">
        <v>48</v>
      </c>
      <c r="O142" s="33" t="n">
        <f>1735</f>
        <v>1735.0</v>
      </c>
      <c r="P142" s="34" t="s">
        <v>49</v>
      </c>
      <c r="Q142" s="33" t="n">
        <f>1825</f>
        <v>1825.0</v>
      </c>
      <c r="R142" s="34" t="s">
        <v>50</v>
      </c>
      <c r="S142" s="35" t="n">
        <f>1790.48</f>
        <v>1790.48</v>
      </c>
      <c r="T142" s="32" t="n">
        <f>52710</f>
        <v>52710.0</v>
      </c>
      <c r="U142" s="32" t="str">
        <f>"－"</f>
        <v>－</v>
      </c>
      <c r="V142" s="32" t="n">
        <f>94888290</f>
        <v>9.488829E7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477</v>
      </c>
      <c r="C143" s="27" t="s">
        <v>478</v>
      </c>
      <c r="D143" s="27" t="s">
        <v>479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10.0</v>
      </c>
      <c r="K143" s="33" t="n">
        <f>463.9</f>
        <v>463.9</v>
      </c>
      <c r="L143" s="34" t="s">
        <v>48</v>
      </c>
      <c r="M143" s="33" t="n">
        <f>469</f>
        <v>469.0</v>
      </c>
      <c r="N143" s="34" t="s">
        <v>50</v>
      </c>
      <c r="O143" s="33" t="n">
        <f>446.3</f>
        <v>446.3</v>
      </c>
      <c r="P143" s="34" t="s">
        <v>49</v>
      </c>
      <c r="Q143" s="33" t="n">
        <f>468.7</f>
        <v>468.7</v>
      </c>
      <c r="R143" s="34" t="s">
        <v>50</v>
      </c>
      <c r="S143" s="35" t="n">
        <f>458.38</f>
        <v>458.38</v>
      </c>
      <c r="T143" s="32" t="n">
        <f>40211990</f>
        <v>4.021199E7</v>
      </c>
      <c r="U143" s="32" t="n">
        <f>727770</f>
        <v>727770.0</v>
      </c>
      <c r="V143" s="32" t="n">
        <f>18447719513</f>
        <v>1.8447719513E10</v>
      </c>
      <c r="W143" s="32" t="n">
        <f>334974674</f>
        <v>3.34974674E8</v>
      </c>
      <c r="X143" s="36" t="n">
        <f>20</f>
        <v>20.0</v>
      </c>
    </row>
    <row r="144">
      <c r="A144" s="27" t="s">
        <v>42</v>
      </c>
      <c r="B144" s="27" t="s">
        <v>480</v>
      </c>
      <c r="C144" s="27" t="s">
        <v>481</v>
      </c>
      <c r="D144" s="27" t="s">
        <v>482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10.0</v>
      </c>
      <c r="K144" s="33" t="n">
        <f>289.8</f>
        <v>289.8</v>
      </c>
      <c r="L144" s="34" t="s">
        <v>48</v>
      </c>
      <c r="M144" s="33" t="n">
        <f>290.5</f>
        <v>290.5</v>
      </c>
      <c r="N144" s="34" t="s">
        <v>86</v>
      </c>
      <c r="O144" s="33" t="n">
        <f>271.8</f>
        <v>271.8</v>
      </c>
      <c r="P144" s="34" t="s">
        <v>117</v>
      </c>
      <c r="Q144" s="33" t="n">
        <f>280.3</f>
        <v>280.3</v>
      </c>
      <c r="R144" s="34" t="s">
        <v>50</v>
      </c>
      <c r="S144" s="35" t="n">
        <f>281.18</f>
        <v>281.18</v>
      </c>
      <c r="T144" s="32" t="n">
        <f>108164810</f>
        <v>1.0816481E8</v>
      </c>
      <c r="U144" s="32" t="n">
        <f>103898890</f>
        <v>1.0389889E8</v>
      </c>
      <c r="V144" s="32" t="n">
        <f>30801300625</f>
        <v>3.0801300625E10</v>
      </c>
      <c r="W144" s="32" t="n">
        <f>29605404800</f>
        <v>2.96054048E10</v>
      </c>
      <c r="X144" s="36" t="n">
        <f>20</f>
        <v>20.0</v>
      </c>
    </row>
    <row r="145">
      <c r="A145" s="27" t="s">
        <v>42</v>
      </c>
      <c r="B145" s="27" t="s">
        <v>483</v>
      </c>
      <c r="C145" s="27" t="s">
        <v>484</v>
      </c>
      <c r="D145" s="27" t="s">
        <v>485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3995</f>
        <v>3995.0</v>
      </c>
      <c r="L145" s="34" t="s">
        <v>48</v>
      </c>
      <c r="M145" s="33" t="n">
        <f>4040</f>
        <v>4040.0</v>
      </c>
      <c r="N145" s="34" t="s">
        <v>50</v>
      </c>
      <c r="O145" s="33" t="n">
        <f>3840</f>
        <v>3840.0</v>
      </c>
      <c r="P145" s="34" t="s">
        <v>49</v>
      </c>
      <c r="Q145" s="33" t="n">
        <f>4040</f>
        <v>4040.0</v>
      </c>
      <c r="R145" s="34" t="s">
        <v>50</v>
      </c>
      <c r="S145" s="35" t="n">
        <f>3955.5</f>
        <v>3955.5</v>
      </c>
      <c r="T145" s="32" t="n">
        <f>66778</f>
        <v>66778.0</v>
      </c>
      <c r="U145" s="32" t="n">
        <f>16110</f>
        <v>16110.0</v>
      </c>
      <c r="V145" s="32" t="n">
        <f>265038816</f>
        <v>2.65038816E8</v>
      </c>
      <c r="W145" s="32" t="n">
        <f>63662151</f>
        <v>6.3662151E7</v>
      </c>
      <c r="X145" s="36" t="n">
        <f>20</f>
        <v>20.0</v>
      </c>
    </row>
    <row r="146">
      <c r="A146" s="27" t="s">
        <v>42</v>
      </c>
      <c r="B146" s="27" t="s">
        <v>486</v>
      </c>
      <c r="C146" s="27" t="s">
        <v>487</v>
      </c>
      <c r="D146" s="27" t="s">
        <v>488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2403</f>
        <v>2403.0</v>
      </c>
      <c r="L146" s="34" t="s">
        <v>48</v>
      </c>
      <c r="M146" s="33" t="n">
        <f>2506</f>
        <v>2506.0</v>
      </c>
      <c r="N146" s="34" t="s">
        <v>50</v>
      </c>
      <c r="O146" s="33" t="n">
        <f>2330</f>
        <v>2330.0</v>
      </c>
      <c r="P146" s="34" t="s">
        <v>159</v>
      </c>
      <c r="Q146" s="33" t="n">
        <f>2499</f>
        <v>2499.0</v>
      </c>
      <c r="R146" s="34" t="s">
        <v>50</v>
      </c>
      <c r="S146" s="35" t="n">
        <f>2406.35</f>
        <v>2406.35</v>
      </c>
      <c r="T146" s="32" t="n">
        <f>107110</f>
        <v>107110.0</v>
      </c>
      <c r="U146" s="32" t="n">
        <f>31221</f>
        <v>31221.0</v>
      </c>
      <c r="V146" s="32" t="n">
        <f>258571629</f>
        <v>2.58571629E8</v>
      </c>
      <c r="W146" s="32" t="n">
        <f>74982006</f>
        <v>7.4982006E7</v>
      </c>
      <c r="X146" s="36" t="n">
        <f>20</f>
        <v>20.0</v>
      </c>
    </row>
    <row r="147">
      <c r="A147" s="27" t="s">
        <v>42</v>
      </c>
      <c r="B147" s="27" t="s">
        <v>489</v>
      </c>
      <c r="C147" s="27" t="s">
        <v>490</v>
      </c>
      <c r="D147" s="27" t="s">
        <v>491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2755</f>
        <v>2755.0</v>
      </c>
      <c r="L147" s="34" t="s">
        <v>48</v>
      </c>
      <c r="M147" s="33" t="n">
        <f>2840</f>
        <v>2840.0</v>
      </c>
      <c r="N147" s="34" t="s">
        <v>70</v>
      </c>
      <c r="O147" s="33" t="n">
        <f>2702</f>
        <v>2702.0</v>
      </c>
      <c r="P147" s="34" t="s">
        <v>117</v>
      </c>
      <c r="Q147" s="33" t="n">
        <f>2782</f>
        <v>2782.0</v>
      </c>
      <c r="R147" s="34" t="s">
        <v>50</v>
      </c>
      <c r="S147" s="35" t="n">
        <f>2765.1</f>
        <v>2765.1</v>
      </c>
      <c r="T147" s="32" t="n">
        <f>151322</f>
        <v>151322.0</v>
      </c>
      <c r="U147" s="32" t="n">
        <f>24907</f>
        <v>24907.0</v>
      </c>
      <c r="V147" s="32" t="n">
        <f>420394960</f>
        <v>4.2039496E8</v>
      </c>
      <c r="W147" s="32" t="n">
        <f>70467107</f>
        <v>7.0467107E7</v>
      </c>
      <c r="X147" s="36" t="n">
        <f>20</f>
        <v>20.0</v>
      </c>
    </row>
    <row r="148">
      <c r="A148" s="27" t="s">
        <v>42</v>
      </c>
      <c r="B148" s="27" t="s">
        <v>492</v>
      </c>
      <c r="C148" s="27" t="s">
        <v>493</v>
      </c>
      <c r="D148" s="27" t="s">
        <v>494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10720</f>
        <v>10720.0</v>
      </c>
      <c r="L148" s="34" t="s">
        <v>48</v>
      </c>
      <c r="M148" s="33" t="n">
        <f>10800</f>
        <v>10800.0</v>
      </c>
      <c r="N148" s="34" t="s">
        <v>104</v>
      </c>
      <c r="O148" s="33" t="n">
        <f>10455</f>
        <v>10455.0</v>
      </c>
      <c r="P148" s="34" t="s">
        <v>69</v>
      </c>
      <c r="Q148" s="33" t="n">
        <f>10705</f>
        <v>10705.0</v>
      </c>
      <c r="R148" s="34" t="s">
        <v>50</v>
      </c>
      <c r="S148" s="35" t="n">
        <f>10654</f>
        <v>10654.0</v>
      </c>
      <c r="T148" s="32" t="n">
        <f>67897</f>
        <v>67897.0</v>
      </c>
      <c r="U148" s="32" t="n">
        <f>15067</f>
        <v>15067.0</v>
      </c>
      <c r="V148" s="32" t="n">
        <f>722594658</f>
        <v>7.22594658E8</v>
      </c>
      <c r="W148" s="32" t="n">
        <f>159627143</f>
        <v>1.59627143E8</v>
      </c>
      <c r="X148" s="36" t="n">
        <f>20</f>
        <v>20.0</v>
      </c>
    </row>
    <row r="149">
      <c r="A149" s="27" t="s">
        <v>42</v>
      </c>
      <c r="B149" s="27" t="s">
        <v>495</v>
      </c>
      <c r="C149" s="27" t="s">
        <v>496</v>
      </c>
      <c r="D149" s="27" t="s">
        <v>497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2485</f>
        <v>2485.0</v>
      </c>
      <c r="L149" s="34" t="s">
        <v>48</v>
      </c>
      <c r="M149" s="33" t="n">
        <f>2785</f>
        <v>2785.0</v>
      </c>
      <c r="N149" s="34" t="s">
        <v>50</v>
      </c>
      <c r="O149" s="33" t="n">
        <f>2470</f>
        <v>2470.0</v>
      </c>
      <c r="P149" s="34" t="s">
        <v>86</v>
      </c>
      <c r="Q149" s="33" t="n">
        <f>2778</f>
        <v>2778.0</v>
      </c>
      <c r="R149" s="34" t="s">
        <v>50</v>
      </c>
      <c r="S149" s="35" t="n">
        <f>2594.3</f>
        <v>2594.3</v>
      </c>
      <c r="T149" s="32" t="n">
        <f>6412161</f>
        <v>6412161.0</v>
      </c>
      <c r="U149" s="32" t="n">
        <f>129</f>
        <v>129.0</v>
      </c>
      <c r="V149" s="32" t="n">
        <f>16693472452</f>
        <v>1.6693472452E10</v>
      </c>
      <c r="W149" s="32" t="n">
        <f>335784</f>
        <v>335784.0</v>
      </c>
      <c r="X149" s="36" t="n">
        <f>20</f>
        <v>20.0</v>
      </c>
    </row>
    <row r="150">
      <c r="A150" s="27" t="s">
        <v>42</v>
      </c>
      <c r="B150" s="27" t="s">
        <v>498</v>
      </c>
      <c r="C150" s="27" t="s">
        <v>499</v>
      </c>
      <c r="D150" s="27" t="s">
        <v>500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26025</f>
        <v>26025.0</v>
      </c>
      <c r="L150" s="34" t="s">
        <v>48</v>
      </c>
      <c r="M150" s="33" t="n">
        <f>26140</f>
        <v>26140.0</v>
      </c>
      <c r="N150" s="34" t="s">
        <v>90</v>
      </c>
      <c r="O150" s="33" t="n">
        <f>25340</f>
        <v>25340.0</v>
      </c>
      <c r="P150" s="34" t="s">
        <v>91</v>
      </c>
      <c r="Q150" s="33" t="n">
        <f>26005</f>
        <v>26005.0</v>
      </c>
      <c r="R150" s="34" t="s">
        <v>50</v>
      </c>
      <c r="S150" s="35" t="n">
        <f>25814.25</f>
        <v>25814.25</v>
      </c>
      <c r="T150" s="32" t="n">
        <f>4907</f>
        <v>4907.0</v>
      </c>
      <c r="U150" s="32" t="str">
        <f>"－"</f>
        <v>－</v>
      </c>
      <c r="V150" s="32" t="n">
        <f>126698555</f>
        <v>1.26698555E8</v>
      </c>
      <c r="W150" s="32" t="str">
        <f>"－"</f>
        <v>－</v>
      </c>
      <c r="X150" s="36" t="n">
        <f>20</f>
        <v>20.0</v>
      </c>
    </row>
    <row r="151">
      <c r="A151" s="27" t="s">
        <v>42</v>
      </c>
      <c r="B151" s="27" t="s">
        <v>501</v>
      </c>
      <c r="C151" s="27" t="s">
        <v>502</v>
      </c>
      <c r="D151" s="27" t="s">
        <v>503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3025</f>
        <v>3025.0</v>
      </c>
      <c r="L151" s="34" t="s">
        <v>48</v>
      </c>
      <c r="M151" s="33" t="n">
        <f>3256</f>
        <v>3256.0</v>
      </c>
      <c r="N151" s="34" t="s">
        <v>155</v>
      </c>
      <c r="O151" s="33" t="n">
        <f>2971.5</f>
        <v>2971.5</v>
      </c>
      <c r="P151" s="34" t="s">
        <v>49</v>
      </c>
      <c r="Q151" s="33" t="n">
        <f>3160</f>
        <v>3160.0</v>
      </c>
      <c r="R151" s="34" t="s">
        <v>50</v>
      </c>
      <c r="S151" s="35" t="n">
        <f>3127.15</f>
        <v>3127.15</v>
      </c>
      <c r="T151" s="32" t="n">
        <f>16940</f>
        <v>16940.0</v>
      </c>
      <c r="U151" s="32" t="str">
        <f>"－"</f>
        <v>－</v>
      </c>
      <c r="V151" s="32" t="n">
        <f>52983785</f>
        <v>5.2983785E7</v>
      </c>
      <c r="W151" s="32" t="str">
        <f>"－"</f>
        <v>－</v>
      </c>
      <c r="X151" s="36" t="n">
        <f>20</f>
        <v>20.0</v>
      </c>
    </row>
    <row r="152">
      <c r="A152" s="27" t="s">
        <v>42</v>
      </c>
      <c r="B152" s="27" t="s">
        <v>504</v>
      </c>
      <c r="C152" s="27" t="s">
        <v>505</v>
      </c>
      <c r="D152" s="27" t="s">
        <v>506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13175</f>
        <v>13175.0</v>
      </c>
      <c r="L152" s="34" t="s">
        <v>48</v>
      </c>
      <c r="M152" s="33" t="n">
        <f>13300</f>
        <v>13300.0</v>
      </c>
      <c r="N152" s="34" t="s">
        <v>184</v>
      </c>
      <c r="O152" s="33" t="n">
        <f>12050</f>
        <v>12050.0</v>
      </c>
      <c r="P152" s="34" t="s">
        <v>117</v>
      </c>
      <c r="Q152" s="33" t="n">
        <f>12175</f>
        <v>12175.0</v>
      </c>
      <c r="R152" s="34" t="s">
        <v>50</v>
      </c>
      <c r="S152" s="35" t="n">
        <f>12590.25</f>
        <v>12590.25</v>
      </c>
      <c r="T152" s="32" t="n">
        <f>2334</f>
        <v>2334.0</v>
      </c>
      <c r="U152" s="32" t="str">
        <f>"－"</f>
        <v>－</v>
      </c>
      <c r="V152" s="32" t="n">
        <f>29156630</f>
        <v>2.915663E7</v>
      </c>
      <c r="W152" s="32" t="str">
        <f>"－"</f>
        <v>－</v>
      </c>
      <c r="X152" s="36" t="n">
        <f>20</f>
        <v>20.0</v>
      </c>
    </row>
    <row r="153">
      <c r="A153" s="27" t="s">
        <v>42</v>
      </c>
      <c r="B153" s="27" t="s">
        <v>507</v>
      </c>
      <c r="C153" s="27" t="s">
        <v>508</v>
      </c>
      <c r="D153" s="27" t="s">
        <v>509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17575</f>
        <v>17575.0</v>
      </c>
      <c r="L153" s="34" t="s">
        <v>48</v>
      </c>
      <c r="M153" s="33" t="n">
        <f>17650</f>
        <v>17650.0</v>
      </c>
      <c r="N153" s="34" t="s">
        <v>48</v>
      </c>
      <c r="O153" s="33" t="n">
        <f>15970</f>
        <v>15970.0</v>
      </c>
      <c r="P153" s="34" t="s">
        <v>117</v>
      </c>
      <c r="Q153" s="33" t="n">
        <f>16260</f>
        <v>16260.0</v>
      </c>
      <c r="R153" s="34" t="s">
        <v>50</v>
      </c>
      <c r="S153" s="35" t="n">
        <f>16953.25</f>
        <v>16953.25</v>
      </c>
      <c r="T153" s="32" t="n">
        <f>1925</f>
        <v>1925.0</v>
      </c>
      <c r="U153" s="32" t="str">
        <f>"－"</f>
        <v>－</v>
      </c>
      <c r="V153" s="32" t="n">
        <f>32146135</f>
        <v>3.2146135E7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510</v>
      </c>
      <c r="C154" s="27" t="s">
        <v>511</v>
      </c>
      <c r="D154" s="27" t="s">
        <v>512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18350</f>
        <v>18350.0</v>
      </c>
      <c r="L154" s="34" t="s">
        <v>184</v>
      </c>
      <c r="M154" s="33" t="n">
        <f>18805</f>
        <v>18805.0</v>
      </c>
      <c r="N154" s="34" t="s">
        <v>513</v>
      </c>
      <c r="O154" s="33" t="n">
        <f>18350</f>
        <v>18350.0</v>
      </c>
      <c r="P154" s="34" t="s">
        <v>184</v>
      </c>
      <c r="Q154" s="33" t="n">
        <f>18745</f>
        <v>18745.0</v>
      </c>
      <c r="R154" s="34" t="s">
        <v>104</v>
      </c>
      <c r="S154" s="35" t="n">
        <f>18695</f>
        <v>18695.0</v>
      </c>
      <c r="T154" s="32" t="n">
        <f>76</f>
        <v>76.0</v>
      </c>
      <c r="U154" s="32" t="str">
        <f>"－"</f>
        <v>－</v>
      </c>
      <c r="V154" s="32" t="n">
        <f>1409945</f>
        <v>1409945.0</v>
      </c>
      <c r="W154" s="32" t="str">
        <f>"－"</f>
        <v>－</v>
      </c>
      <c r="X154" s="36" t="n">
        <f>7</f>
        <v>7.0</v>
      </c>
    </row>
    <row r="155">
      <c r="A155" s="27" t="s">
        <v>42</v>
      </c>
      <c r="B155" s="27" t="s">
        <v>514</v>
      </c>
      <c r="C155" s="27" t="s">
        <v>515</v>
      </c>
      <c r="D155" s="27" t="s">
        <v>516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52900</f>
        <v>52900.0</v>
      </c>
      <c r="L155" s="34" t="s">
        <v>48</v>
      </c>
      <c r="M155" s="33" t="n">
        <f>53050</f>
        <v>53050.0</v>
      </c>
      <c r="N155" s="34" t="s">
        <v>48</v>
      </c>
      <c r="O155" s="33" t="n">
        <f>50580</f>
        <v>50580.0</v>
      </c>
      <c r="P155" s="34" t="s">
        <v>117</v>
      </c>
      <c r="Q155" s="33" t="n">
        <f>52050</f>
        <v>52050.0</v>
      </c>
      <c r="R155" s="34" t="s">
        <v>50</v>
      </c>
      <c r="S155" s="35" t="n">
        <f>51911.5</f>
        <v>51911.5</v>
      </c>
      <c r="T155" s="32" t="n">
        <f>12330</f>
        <v>12330.0</v>
      </c>
      <c r="U155" s="32" t="n">
        <f>9710</f>
        <v>9710.0</v>
      </c>
      <c r="V155" s="32" t="n">
        <f>642588205</f>
        <v>6.42588205E8</v>
      </c>
      <c r="W155" s="32" t="n">
        <f>507144405</f>
        <v>5.07144405E8</v>
      </c>
      <c r="X155" s="36" t="n">
        <f>20</f>
        <v>20.0</v>
      </c>
    </row>
    <row r="156">
      <c r="A156" s="27" t="s">
        <v>42</v>
      </c>
      <c r="B156" s="27" t="s">
        <v>517</v>
      </c>
      <c r="C156" s="27" t="s">
        <v>518</v>
      </c>
      <c r="D156" s="27" t="s">
        <v>519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100.0</v>
      </c>
      <c r="K156" s="33" t="n">
        <f>310</f>
        <v>310.0</v>
      </c>
      <c r="L156" s="34" t="s">
        <v>48</v>
      </c>
      <c r="M156" s="33" t="n">
        <f>331.7</f>
        <v>331.7</v>
      </c>
      <c r="N156" s="34" t="s">
        <v>86</v>
      </c>
      <c r="O156" s="33" t="n">
        <f>288</f>
        <v>288.0</v>
      </c>
      <c r="P156" s="34" t="s">
        <v>69</v>
      </c>
      <c r="Q156" s="33" t="n">
        <f>303.5</f>
        <v>303.5</v>
      </c>
      <c r="R156" s="34" t="s">
        <v>50</v>
      </c>
      <c r="S156" s="35" t="n">
        <f>301.64</f>
        <v>301.64</v>
      </c>
      <c r="T156" s="32" t="n">
        <f>66183800</f>
        <v>6.61838E7</v>
      </c>
      <c r="U156" s="32" t="n">
        <f>847900</f>
        <v>847900.0</v>
      </c>
      <c r="V156" s="32" t="n">
        <f>20189802185</f>
        <v>2.0189802185E10</v>
      </c>
      <c r="W156" s="32" t="n">
        <f>254376945</f>
        <v>2.54376945E8</v>
      </c>
      <c r="X156" s="36" t="n">
        <f>20</f>
        <v>20.0</v>
      </c>
    </row>
    <row r="157">
      <c r="A157" s="27" t="s">
        <v>42</v>
      </c>
      <c r="B157" s="27" t="s">
        <v>520</v>
      </c>
      <c r="C157" s="27" t="s">
        <v>521</v>
      </c>
      <c r="D157" s="27" t="s">
        <v>522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42310</f>
        <v>42310.0</v>
      </c>
      <c r="L157" s="34" t="s">
        <v>48</v>
      </c>
      <c r="M157" s="33" t="n">
        <f>42730</f>
        <v>42730.0</v>
      </c>
      <c r="N157" s="34" t="s">
        <v>50</v>
      </c>
      <c r="O157" s="33" t="n">
        <f>40140</f>
        <v>40140.0</v>
      </c>
      <c r="P157" s="34" t="s">
        <v>91</v>
      </c>
      <c r="Q157" s="33" t="n">
        <f>42730</f>
        <v>42730.0</v>
      </c>
      <c r="R157" s="34" t="s">
        <v>50</v>
      </c>
      <c r="S157" s="35" t="n">
        <f>41712.22</f>
        <v>41712.22</v>
      </c>
      <c r="T157" s="32" t="n">
        <f>3290</f>
        <v>3290.0</v>
      </c>
      <c r="U157" s="32" t="str">
        <f>"－"</f>
        <v>－</v>
      </c>
      <c r="V157" s="32" t="n">
        <f>137572100</f>
        <v>1.375721E8</v>
      </c>
      <c r="W157" s="32" t="str">
        <f>"－"</f>
        <v>－</v>
      </c>
      <c r="X157" s="36" t="n">
        <f>18</f>
        <v>18.0</v>
      </c>
    </row>
    <row r="158">
      <c r="A158" s="27" t="s">
        <v>42</v>
      </c>
      <c r="B158" s="27" t="s">
        <v>523</v>
      </c>
      <c r="C158" s="27" t="s">
        <v>524</v>
      </c>
      <c r="D158" s="27" t="s">
        <v>525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4539</f>
        <v>4539.0</v>
      </c>
      <c r="L158" s="34" t="s">
        <v>48</v>
      </c>
      <c r="M158" s="33" t="n">
        <f>4600</f>
        <v>4600.0</v>
      </c>
      <c r="N158" s="34" t="s">
        <v>50</v>
      </c>
      <c r="O158" s="33" t="n">
        <f>4378</f>
        <v>4378.0</v>
      </c>
      <c r="P158" s="34" t="s">
        <v>49</v>
      </c>
      <c r="Q158" s="33" t="n">
        <f>4600</f>
        <v>4600.0</v>
      </c>
      <c r="R158" s="34" t="s">
        <v>50</v>
      </c>
      <c r="S158" s="35" t="n">
        <f>4494.35</f>
        <v>4494.35</v>
      </c>
      <c r="T158" s="32" t="n">
        <f>56560</f>
        <v>56560.0</v>
      </c>
      <c r="U158" s="32" t="str">
        <f>"－"</f>
        <v>－</v>
      </c>
      <c r="V158" s="32" t="n">
        <f>254592290</f>
        <v>2.5459229E8</v>
      </c>
      <c r="W158" s="32" t="str">
        <f>"－"</f>
        <v>－</v>
      </c>
      <c r="X158" s="36" t="n">
        <f>20</f>
        <v>20.0</v>
      </c>
    </row>
    <row r="159">
      <c r="A159" s="27" t="s">
        <v>42</v>
      </c>
      <c r="B159" s="27" t="s">
        <v>526</v>
      </c>
      <c r="C159" s="27" t="s">
        <v>527</v>
      </c>
      <c r="D159" s="27" t="s">
        <v>528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1816</f>
        <v>1816.0</v>
      </c>
      <c r="L159" s="34" t="s">
        <v>48</v>
      </c>
      <c r="M159" s="33" t="n">
        <f>1889</f>
        <v>1889.0</v>
      </c>
      <c r="N159" s="34" t="s">
        <v>50</v>
      </c>
      <c r="O159" s="33" t="n">
        <f>1760</f>
        <v>1760.0</v>
      </c>
      <c r="P159" s="34" t="s">
        <v>49</v>
      </c>
      <c r="Q159" s="33" t="n">
        <f>1881</f>
        <v>1881.0</v>
      </c>
      <c r="R159" s="34" t="s">
        <v>50</v>
      </c>
      <c r="S159" s="35" t="n">
        <f>1811.55</f>
        <v>1811.55</v>
      </c>
      <c r="T159" s="32" t="n">
        <f>141920</f>
        <v>141920.0</v>
      </c>
      <c r="U159" s="32" t="str">
        <f>"－"</f>
        <v>－</v>
      </c>
      <c r="V159" s="32" t="n">
        <f>259961420</f>
        <v>2.5996142E8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529</v>
      </c>
      <c r="C160" s="27" t="s">
        <v>530</v>
      </c>
      <c r="D160" s="27" t="s">
        <v>531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100.0</v>
      </c>
      <c r="K160" s="33" t="n">
        <f>225</f>
        <v>225.0</v>
      </c>
      <c r="L160" s="34" t="s">
        <v>48</v>
      </c>
      <c r="M160" s="33" t="n">
        <f>236.3</f>
        <v>236.3</v>
      </c>
      <c r="N160" s="34" t="s">
        <v>60</v>
      </c>
      <c r="O160" s="33" t="n">
        <f>224.1</f>
        <v>224.1</v>
      </c>
      <c r="P160" s="34" t="s">
        <v>48</v>
      </c>
      <c r="Q160" s="33" t="n">
        <f>227.5</f>
        <v>227.5</v>
      </c>
      <c r="R160" s="34" t="s">
        <v>50</v>
      </c>
      <c r="S160" s="35" t="n">
        <f>229.16</f>
        <v>229.16</v>
      </c>
      <c r="T160" s="32" t="n">
        <f>99300</f>
        <v>99300.0</v>
      </c>
      <c r="U160" s="32" t="str">
        <f>"－"</f>
        <v>－</v>
      </c>
      <c r="V160" s="32" t="n">
        <f>22726800</f>
        <v>2.27268E7</v>
      </c>
      <c r="W160" s="32" t="str">
        <f>"－"</f>
        <v>－</v>
      </c>
      <c r="X160" s="36" t="n">
        <f>19</f>
        <v>19.0</v>
      </c>
    </row>
    <row r="161">
      <c r="A161" s="27" t="s">
        <v>42</v>
      </c>
      <c r="B161" s="27" t="s">
        <v>532</v>
      </c>
      <c r="C161" s="27" t="s">
        <v>533</v>
      </c>
      <c r="D161" s="27" t="s">
        <v>534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1545.5</f>
        <v>1545.5</v>
      </c>
      <c r="L161" s="34" t="s">
        <v>48</v>
      </c>
      <c r="M161" s="33" t="n">
        <f>1643</f>
        <v>1643.0</v>
      </c>
      <c r="N161" s="34" t="s">
        <v>513</v>
      </c>
      <c r="O161" s="33" t="n">
        <f>1490.5</f>
        <v>1490.5</v>
      </c>
      <c r="P161" s="34" t="s">
        <v>91</v>
      </c>
      <c r="Q161" s="33" t="n">
        <f>1597.5</f>
        <v>1597.5</v>
      </c>
      <c r="R161" s="34" t="s">
        <v>50</v>
      </c>
      <c r="S161" s="35" t="n">
        <f>1556.97</f>
        <v>1556.97</v>
      </c>
      <c r="T161" s="32" t="n">
        <f>6220</f>
        <v>6220.0</v>
      </c>
      <c r="U161" s="32" t="str">
        <f>"－"</f>
        <v>－</v>
      </c>
      <c r="V161" s="32" t="n">
        <f>9776795</f>
        <v>9776795.0</v>
      </c>
      <c r="W161" s="32" t="str">
        <f>"－"</f>
        <v>－</v>
      </c>
      <c r="X161" s="36" t="n">
        <f>17</f>
        <v>17.0</v>
      </c>
    </row>
    <row r="162">
      <c r="A162" s="27" t="s">
        <v>42</v>
      </c>
      <c r="B162" s="27" t="s">
        <v>535</v>
      </c>
      <c r="C162" s="27" t="s">
        <v>536</v>
      </c>
      <c r="D162" s="27" t="s">
        <v>537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508.1</f>
        <v>508.1</v>
      </c>
      <c r="L162" s="34" t="s">
        <v>48</v>
      </c>
      <c r="M162" s="33" t="n">
        <f>562</f>
        <v>562.0</v>
      </c>
      <c r="N162" s="34" t="s">
        <v>50</v>
      </c>
      <c r="O162" s="33" t="n">
        <f>502.8</f>
        <v>502.8</v>
      </c>
      <c r="P162" s="34" t="s">
        <v>227</v>
      </c>
      <c r="Q162" s="33" t="n">
        <f>562</f>
        <v>562.0</v>
      </c>
      <c r="R162" s="34" t="s">
        <v>50</v>
      </c>
      <c r="S162" s="35" t="n">
        <f>525.15</f>
        <v>525.15</v>
      </c>
      <c r="T162" s="32" t="n">
        <f>88580</f>
        <v>88580.0</v>
      </c>
      <c r="U162" s="32" t="str">
        <f>"－"</f>
        <v>－</v>
      </c>
      <c r="V162" s="32" t="n">
        <f>47216625</f>
        <v>4.7216625E7</v>
      </c>
      <c r="W162" s="32" t="str">
        <f>"－"</f>
        <v>－</v>
      </c>
      <c r="X162" s="36" t="n">
        <f>20</f>
        <v>20.0</v>
      </c>
    </row>
    <row r="163">
      <c r="A163" s="27" t="s">
        <v>42</v>
      </c>
      <c r="B163" s="27" t="s">
        <v>538</v>
      </c>
      <c r="C163" s="27" t="s">
        <v>539</v>
      </c>
      <c r="D163" s="27" t="s">
        <v>540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2063</f>
        <v>2063.0</v>
      </c>
      <c r="L163" s="34" t="s">
        <v>48</v>
      </c>
      <c r="M163" s="33" t="n">
        <f>2089</f>
        <v>2089.0</v>
      </c>
      <c r="N163" s="34" t="s">
        <v>50</v>
      </c>
      <c r="O163" s="33" t="n">
        <f>1966</f>
        <v>1966.0</v>
      </c>
      <c r="P163" s="34" t="s">
        <v>49</v>
      </c>
      <c r="Q163" s="33" t="n">
        <f>2081.5</f>
        <v>2081.5</v>
      </c>
      <c r="R163" s="34" t="s">
        <v>50</v>
      </c>
      <c r="S163" s="35" t="n">
        <f>2019.58</f>
        <v>2019.58</v>
      </c>
      <c r="T163" s="32" t="n">
        <f>5900</f>
        <v>5900.0</v>
      </c>
      <c r="U163" s="32" t="str">
        <f>"－"</f>
        <v>－</v>
      </c>
      <c r="V163" s="32" t="n">
        <f>11977300</f>
        <v>1.19773E7</v>
      </c>
      <c r="W163" s="32" t="str">
        <f>"－"</f>
        <v>－</v>
      </c>
      <c r="X163" s="36" t="n">
        <f>18</f>
        <v>18.0</v>
      </c>
    </row>
    <row r="164">
      <c r="A164" s="27" t="s">
        <v>42</v>
      </c>
      <c r="B164" s="27" t="s">
        <v>541</v>
      </c>
      <c r="C164" s="27" t="s">
        <v>542</v>
      </c>
      <c r="D164" s="27" t="s">
        <v>543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953.9</f>
        <v>953.9</v>
      </c>
      <c r="L164" s="34" t="s">
        <v>48</v>
      </c>
      <c r="M164" s="33" t="n">
        <f>1027</f>
        <v>1027.0</v>
      </c>
      <c r="N164" s="34" t="s">
        <v>70</v>
      </c>
      <c r="O164" s="33" t="n">
        <f>908.9</f>
        <v>908.9</v>
      </c>
      <c r="P164" s="34" t="s">
        <v>64</v>
      </c>
      <c r="Q164" s="33" t="n">
        <f>979.6</f>
        <v>979.6</v>
      </c>
      <c r="R164" s="34" t="s">
        <v>50</v>
      </c>
      <c r="S164" s="35" t="n">
        <f>965.81</f>
        <v>965.81</v>
      </c>
      <c r="T164" s="32" t="n">
        <f>81050</f>
        <v>81050.0</v>
      </c>
      <c r="U164" s="32" t="str">
        <f>"－"</f>
        <v>－</v>
      </c>
      <c r="V164" s="32" t="n">
        <f>78733277</f>
        <v>7.8733277E7</v>
      </c>
      <c r="W164" s="32" t="str">
        <f>"－"</f>
        <v>－</v>
      </c>
      <c r="X164" s="36" t="n">
        <f>20</f>
        <v>20.0</v>
      </c>
    </row>
    <row r="165">
      <c r="A165" s="27" t="s">
        <v>42</v>
      </c>
      <c r="B165" s="27" t="s">
        <v>544</v>
      </c>
      <c r="C165" s="27" t="s">
        <v>545</v>
      </c>
      <c r="D165" s="27" t="s">
        <v>546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664.6</f>
        <v>664.6</v>
      </c>
      <c r="L165" s="34" t="s">
        <v>48</v>
      </c>
      <c r="M165" s="33" t="n">
        <f>728.9</f>
        <v>728.9</v>
      </c>
      <c r="N165" s="34" t="s">
        <v>70</v>
      </c>
      <c r="O165" s="33" t="n">
        <f>621.8</f>
        <v>621.8</v>
      </c>
      <c r="P165" s="34" t="s">
        <v>64</v>
      </c>
      <c r="Q165" s="33" t="n">
        <f>675.1</f>
        <v>675.1</v>
      </c>
      <c r="R165" s="34" t="s">
        <v>50</v>
      </c>
      <c r="S165" s="35" t="n">
        <f>672.96</f>
        <v>672.96</v>
      </c>
      <c r="T165" s="32" t="n">
        <f>355110</f>
        <v>355110.0</v>
      </c>
      <c r="U165" s="32" t="str">
        <f>"－"</f>
        <v>－</v>
      </c>
      <c r="V165" s="32" t="n">
        <f>242777109</f>
        <v>2.42777109E8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547</v>
      </c>
      <c r="C166" s="27" t="s">
        <v>548</v>
      </c>
      <c r="D166" s="27" t="s">
        <v>549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1.3</f>
        <v>1.3</v>
      </c>
      <c r="L166" s="34" t="s">
        <v>48</v>
      </c>
      <c r="M166" s="33" t="n">
        <f>1.3</f>
        <v>1.3</v>
      </c>
      <c r="N166" s="34" t="s">
        <v>48</v>
      </c>
      <c r="O166" s="33" t="n">
        <f>1.1</f>
        <v>1.1</v>
      </c>
      <c r="P166" s="34" t="s">
        <v>69</v>
      </c>
      <c r="Q166" s="33" t="n">
        <f>1.2</f>
        <v>1.2</v>
      </c>
      <c r="R166" s="34" t="s">
        <v>50</v>
      </c>
      <c r="S166" s="35" t="n">
        <f>1.22</f>
        <v>1.22</v>
      </c>
      <c r="T166" s="32" t="n">
        <f>1300979900</f>
        <v>1.3009799E9</v>
      </c>
      <c r="U166" s="32" t="str">
        <f>"－"</f>
        <v>－</v>
      </c>
      <c r="V166" s="32" t="n">
        <f>1571718670</f>
        <v>1.57171867E9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550</v>
      </c>
      <c r="C167" s="27" t="s">
        <v>551</v>
      </c>
      <c r="D167" s="27" t="s">
        <v>552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1201</f>
        <v>1201.0</v>
      </c>
      <c r="L167" s="34" t="s">
        <v>48</v>
      </c>
      <c r="M167" s="33" t="n">
        <f>1343</f>
        <v>1343.0</v>
      </c>
      <c r="N167" s="34" t="s">
        <v>50</v>
      </c>
      <c r="O167" s="33" t="n">
        <f>1195.5</f>
        <v>1195.5</v>
      </c>
      <c r="P167" s="34" t="s">
        <v>86</v>
      </c>
      <c r="Q167" s="33" t="n">
        <f>1341</f>
        <v>1341.0</v>
      </c>
      <c r="R167" s="34" t="s">
        <v>50</v>
      </c>
      <c r="S167" s="35" t="n">
        <f>1253.7</f>
        <v>1253.7</v>
      </c>
      <c r="T167" s="32" t="n">
        <f>66990</f>
        <v>66990.0</v>
      </c>
      <c r="U167" s="32" t="str">
        <f>"－"</f>
        <v>－</v>
      </c>
      <c r="V167" s="32" t="n">
        <f>85303870</f>
        <v>8.530387E7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553</v>
      </c>
      <c r="C168" s="27" t="s">
        <v>554</v>
      </c>
      <c r="D168" s="27" t="s">
        <v>555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6891</f>
        <v>6891.0</v>
      </c>
      <c r="L168" s="34" t="s">
        <v>48</v>
      </c>
      <c r="M168" s="33" t="n">
        <f>8078</f>
        <v>8078.0</v>
      </c>
      <c r="N168" s="34" t="s">
        <v>50</v>
      </c>
      <c r="O168" s="33" t="n">
        <f>6891</f>
        <v>6891.0</v>
      </c>
      <c r="P168" s="34" t="s">
        <v>48</v>
      </c>
      <c r="Q168" s="33" t="n">
        <f>8077</f>
        <v>8077.0</v>
      </c>
      <c r="R168" s="34" t="s">
        <v>50</v>
      </c>
      <c r="S168" s="35" t="n">
        <f>7499.79</f>
        <v>7499.79</v>
      </c>
      <c r="T168" s="32" t="n">
        <f>943</f>
        <v>943.0</v>
      </c>
      <c r="U168" s="32" t="str">
        <f>"－"</f>
        <v>－</v>
      </c>
      <c r="V168" s="32" t="n">
        <f>7235310</f>
        <v>7235310.0</v>
      </c>
      <c r="W168" s="32" t="str">
        <f>"－"</f>
        <v>－</v>
      </c>
      <c r="X168" s="36" t="n">
        <f>14</f>
        <v>14.0</v>
      </c>
    </row>
    <row r="169">
      <c r="A169" s="27" t="s">
        <v>42</v>
      </c>
      <c r="B169" s="27" t="s">
        <v>556</v>
      </c>
      <c r="C169" s="27" t="s">
        <v>557</v>
      </c>
      <c r="D169" s="27" t="s">
        <v>558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100.0</v>
      </c>
      <c r="K169" s="33" t="n">
        <f>419.7</f>
        <v>419.7</v>
      </c>
      <c r="L169" s="34" t="s">
        <v>48</v>
      </c>
      <c r="M169" s="33" t="n">
        <f>426</f>
        <v>426.0</v>
      </c>
      <c r="N169" s="34" t="s">
        <v>159</v>
      </c>
      <c r="O169" s="33" t="n">
        <f>407.5</f>
        <v>407.5</v>
      </c>
      <c r="P169" s="34" t="s">
        <v>49</v>
      </c>
      <c r="Q169" s="33" t="n">
        <f>424</f>
        <v>424.0</v>
      </c>
      <c r="R169" s="34" t="s">
        <v>50</v>
      </c>
      <c r="S169" s="35" t="n">
        <f>417.88</f>
        <v>417.88</v>
      </c>
      <c r="T169" s="32" t="n">
        <f>77400</f>
        <v>77400.0</v>
      </c>
      <c r="U169" s="32" t="str">
        <f>"－"</f>
        <v>－</v>
      </c>
      <c r="V169" s="32" t="n">
        <f>32209930</f>
        <v>3.220993E7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559</v>
      </c>
      <c r="C170" s="27" t="s">
        <v>560</v>
      </c>
      <c r="D170" s="27" t="s">
        <v>561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4818</f>
        <v>4818.0</v>
      </c>
      <c r="L170" s="34" t="s">
        <v>48</v>
      </c>
      <c r="M170" s="33" t="n">
        <f>4990</f>
        <v>4990.0</v>
      </c>
      <c r="N170" s="34" t="s">
        <v>50</v>
      </c>
      <c r="O170" s="33" t="n">
        <f>4689</f>
        <v>4689.0</v>
      </c>
      <c r="P170" s="34" t="s">
        <v>49</v>
      </c>
      <c r="Q170" s="33" t="n">
        <f>4956</f>
        <v>4956.0</v>
      </c>
      <c r="R170" s="34" t="s">
        <v>50</v>
      </c>
      <c r="S170" s="35" t="n">
        <f>4817.05</f>
        <v>4817.05</v>
      </c>
      <c r="T170" s="32" t="n">
        <f>36400</f>
        <v>36400.0</v>
      </c>
      <c r="U170" s="32" t="str">
        <f>"－"</f>
        <v>－</v>
      </c>
      <c r="V170" s="32" t="n">
        <f>175821710</f>
        <v>1.7582171E8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562</v>
      </c>
      <c r="C171" s="27" t="s">
        <v>563</v>
      </c>
      <c r="D171" s="27" t="s">
        <v>564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2763</f>
        <v>2763.0</v>
      </c>
      <c r="L171" s="34" t="s">
        <v>48</v>
      </c>
      <c r="M171" s="33" t="n">
        <f>2930</f>
        <v>2930.0</v>
      </c>
      <c r="N171" s="34" t="s">
        <v>513</v>
      </c>
      <c r="O171" s="33" t="n">
        <f>2702</f>
        <v>2702.0</v>
      </c>
      <c r="P171" s="34" t="s">
        <v>49</v>
      </c>
      <c r="Q171" s="33" t="n">
        <f>2882</f>
        <v>2882.0</v>
      </c>
      <c r="R171" s="34" t="s">
        <v>50</v>
      </c>
      <c r="S171" s="35" t="n">
        <f>2778.25</f>
        <v>2778.25</v>
      </c>
      <c r="T171" s="32" t="n">
        <f>25340</f>
        <v>25340.0</v>
      </c>
      <c r="U171" s="32" t="str">
        <f>"－"</f>
        <v>－</v>
      </c>
      <c r="V171" s="32" t="n">
        <f>71196460</f>
        <v>7.119646E7</v>
      </c>
      <c r="W171" s="32" t="str">
        <f>"－"</f>
        <v>－</v>
      </c>
      <c r="X171" s="36" t="n">
        <f>20</f>
        <v>20.0</v>
      </c>
    </row>
    <row r="172">
      <c r="A172" s="27" t="s">
        <v>42</v>
      </c>
      <c r="B172" s="27" t="s">
        <v>565</v>
      </c>
      <c r="C172" s="27" t="s">
        <v>566</v>
      </c>
      <c r="D172" s="27" t="s">
        <v>567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100.0</v>
      </c>
      <c r="K172" s="33" t="n">
        <f>90</f>
        <v>90.0</v>
      </c>
      <c r="L172" s="34" t="s">
        <v>48</v>
      </c>
      <c r="M172" s="33" t="n">
        <f>104.5</f>
        <v>104.5</v>
      </c>
      <c r="N172" s="34" t="s">
        <v>70</v>
      </c>
      <c r="O172" s="33" t="n">
        <f>82.2</f>
        <v>82.2</v>
      </c>
      <c r="P172" s="34" t="s">
        <v>64</v>
      </c>
      <c r="Q172" s="33" t="n">
        <f>93.6</f>
        <v>93.6</v>
      </c>
      <c r="R172" s="34" t="s">
        <v>50</v>
      </c>
      <c r="S172" s="35" t="n">
        <f>91.94</f>
        <v>91.94</v>
      </c>
      <c r="T172" s="32" t="n">
        <f>22307600</f>
        <v>2.23076E7</v>
      </c>
      <c r="U172" s="32" t="str">
        <f>"－"</f>
        <v>－</v>
      </c>
      <c r="V172" s="32" t="n">
        <f>2089746260</f>
        <v>2.08974626E9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568</v>
      </c>
      <c r="C173" s="27" t="s">
        <v>569</v>
      </c>
      <c r="D173" s="27" t="s">
        <v>570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175.4</f>
        <v>175.4</v>
      </c>
      <c r="L173" s="34" t="s">
        <v>48</v>
      </c>
      <c r="M173" s="33" t="n">
        <f>192.5</f>
        <v>192.5</v>
      </c>
      <c r="N173" s="34" t="s">
        <v>155</v>
      </c>
      <c r="O173" s="33" t="n">
        <f>157.1</f>
        <v>157.1</v>
      </c>
      <c r="P173" s="34" t="s">
        <v>64</v>
      </c>
      <c r="Q173" s="33" t="n">
        <f>174.5</f>
        <v>174.5</v>
      </c>
      <c r="R173" s="34" t="s">
        <v>50</v>
      </c>
      <c r="S173" s="35" t="n">
        <f>174.17</f>
        <v>174.17</v>
      </c>
      <c r="T173" s="32" t="n">
        <f>3191700</f>
        <v>3191700.0</v>
      </c>
      <c r="U173" s="32" t="str">
        <f>"－"</f>
        <v>－</v>
      </c>
      <c r="V173" s="32" t="n">
        <f>562442690</f>
        <v>5.6244269E8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571</v>
      </c>
      <c r="C174" s="27" t="s">
        <v>572</v>
      </c>
      <c r="D174" s="27" t="s">
        <v>573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4653</f>
        <v>4653.0</v>
      </c>
      <c r="L174" s="34" t="s">
        <v>48</v>
      </c>
      <c r="M174" s="33" t="n">
        <f>4856</f>
        <v>4856.0</v>
      </c>
      <c r="N174" s="34" t="s">
        <v>70</v>
      </c>
      <c r="O174" s="33" t="n">
        <f>4450</f>
        <v>4450.0</v>
      </c>
      <c r="P174" s="34" t="s">
        <v>64</v>
      </c>
      <c r="Q174" s="33" t="n">
        <f>4650</f>
        <v>4650.0</v>
      </c>
      <c r="R174" s="34" t="s">
        <v>50</v>
      </c>
      <c r="S174" s="35" t="n">
        <f>4678.3</f>
        <v>4678.3</v>
      </c>
      <c r="T174" s="32" t="n">
        <f>11120</f>
        <v>11120.0</v>
      </c>
      <c r="U174" s="32" t="str">
        <f>"－"</f>
        <v>－</v>
      </c>
      <c r="V174" s="32" t="n">
        <f>52107610</f>
        <v>5.210761E7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574</v>
      </c>
      <c r="C175" s="27" t="s">
        <v>575</v>
      </c>
      <c r="D175" s="27" t="s">
        <v>576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2525</f>
        <v>2525.0</v>
      </c>
      <c r="L175" s="34" t="s">
        <v>48</v>
      </c>
      <c r="M175" s="33" t="n">
        <f>2529</f>
        <v>2529.0</v>
      </c>
      <c r="N175" s="34" t="s">
        <v>48</v>
      </c>
      <c r="O175" s="33" t="n">
        <f>2406</f>
        <v>2406.0</v>
      </c>
      <c r="P175" s="34" t="s">
        <v>64</v>
      </c>
      <c r="Q175" s="33" t="n">
        <f>2500</f>
        <v>2500.0</v>
      </c>
      <c r="R175" s="34" t="s">
        <v>50</v>
      </c>
      <c r="S175" s="35" t="n">
        <f>2471.5</f>
        <v>2471.5</v>
      </c>
      <c r="T175" s="32" t="n">
        <f>457660</f>
        <v>457660.0</v>
      </c>
      <c r="U175" s="32" t="n">
        <f>309810</f>
        <v>309810.0</v>
      </c>
      <c r="V175" s="32" t="n">
        <f>1124152864</f>
        <v>1.124152864E9</v>
      </c>
      <c r="W175" s="32" t="n">
        <f>757119174</f>
        <v>7.57119174E8</v>
      </c>
      <c r="X175" s="36" t="n">
        <f>20</f>
        <v>20.0</v>
      </c>
    </row>
    <row r="176">
      <c r="A176" s="27" t="s">
        <v>42</v>
      </c>
      <c r="B176" s="27" t="s">
        <v>577</v>
      </c>
      <c r="C176" s="27" t="s">
        <v>578</v>
      </c>
      <c r="D176" s="27" t="s">
        <v>579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330.4</f>
        <v>330.4</v>
      </c>
      <c r="L176" s="34" t="s">
        <v>48</v>
      </c>
      <c r="M176" s="33" t="n">
        <f>368.5</f>
        <v>368.5</v>
      </c>
      <c r="N176" s="34" t="s">
        <v>50</v>
      </c>
      <c r="O176" s="33" t="n">
        <f>328.1</f>
        <v>328.1</v>
      </c>
      <c r="P176" s="34" t="s">
        <v>86</v>
      </c>
      <c r="Q176" s="33" t="n">
        <f>367.7</f>
        <v>367.7</v>
      </c>
      <c r="R176" s="34" t="s">
        <v>50</v>
      </c>
      <c r="S176" s="35" t="n">
        <f>343.72</f>
        <v>343.72</v>
      </c>
      <c r="T176" s="32" t="n">
        <f>32027680</f>
        <v>3.202768E7</v>
      </c>
      <c r="U176" s="32" t="n">
        <f>8950</f>
        <v>8950.0</v>
      </c>
      <c r="V176" s="32" t="n">
        <f>10996859688</f>
        <v>1.0996859688E10</v>
      </c>
      <c r="W176" s="32" t="n">
        <f>3227189</f>
        <v>3227189.0</v>
      </c>
      <c r="X176" s="36" t="n">
        <f>20</f>
        <v>20.0</v>
      </c>
    </row>
    <row r="177">
      <c r="A177" s="27" t="s">
        <v>42</v>
      </c>
      <c r="B177" s="27" t="s">
        <v>580</v>
      </c>
      <c r="C177" s="27" t="s">
        <v>581</v>
      </c>
      <c r="D177" s="27" t="s">
        <v>582</v>
      </c>
      <c r="E177" s="28" t="s">
        <v>46</v>
      </c>
      <c r="F177" s="29" t="s">
        <v>46</v>
      </c>
      <c r="G177" s="30" t="s">
        <v>46</v>
      </c>
      <c r="H177" s="31"/>
      <c r="I177" s="31" t="s">
        <v>583</v>
      </c>
      <c r="J177" s="32" t="n">
        <v>1.0</v>
      </c>
      <c r="K177" s="33" t="n">
        <f>5520</f>
        <v>5520.0</v>
      </c>
      <c r="L177" s="34" t="s">
        <v>48</v>
      </c>
      <c r="M177" s="33" t="n">
        <f>6190</f>
        <v>6190.0</v>
      </c>
      <c r="N177" s="34" t="s">
        <v>50</v>
      </c>
      <c r="O177" s="33" t="n">
        <f>5100</f>
        <v>5100.0</v>
      </c>
      <c r="P177" s="34" t="s">
        <v>267</v>
      </c>
      <c r="Q177" s="33" t="n">
        <f>6110</f>
        <v>6110.0</v>
      </c>
      <c r="R177" s="34" t="s">
        <v>50</v>
      </c>
      <c r="S177" s="35" t="n">
        <f>5491.5</f>
        <v>5491.5</v>
      </c>
      <c r="T177" s="32" t="n">
        <f>58348</f>
        <v>58348.0</v>
      </c>
      <c r="U177" s="32" t="n">
        <f>2</f>
        <v>2.0</v>
      </c>
      <c r="V177" s="32" t="n">
        <f>324138830</f>
        <v>3.2413883E8</v>
      </c>
      <c r="W177" s="32" t="n">
        <f>10510</f>
        <v>10510.0</v>
      </c>
      <c r="X177" s="36" t="n">
        <f>20</f>
        <v>20.0</v>
      </c>
    </row>
    <row r="178">
      <c r="A178" s="27" t="s">
        <v>42</v>
      </c>
      <c r="B178" s="27" t="s">
        <v>584</v>
      </c>
      <c r="C178" s="27" t="s">
        <v>585</v>
      </c>
      <c r="D178" s="27" t="s">
        <v>586</v>
      </c>
      <c r="E178" s="28" t="s">
        <v>46</v>
      </c>
      <c r="F178" s="29" t="s">
        <v>46</v>
      </c>
      <c r="G178" s="30" t="s">
        <v>46</v>
      </c>
      <c r="H178" s="31"/>
      <c r="I178" s="31" t="s">
        <v>583</v>
      </c>
      <c r="J178" s="32" t="n">
        <v>1.0</v>
      </c>
      <c r="K178" s="33" t="n">
        <f>8272</f>
        <v>8272.0</v>
      </c>
      <c r="L178" s="34" t="s">
        <v>48</v>
      </c>
      <c r="M178" s="33" t="n">
        <f>8660</f>
        <v>8660.0</v>
      </c>
      <c r="N178" s="34" t="s">
        <v>267</v>
      </c>
      <c r="O178" s="33" t="n">
        <f>7620</f>
        <v>7620.0</v>
      </c>
      <c r="P178" s="34" t="s">
        <v>50</v>
      </c>
      <c r="Q178" s="33" t="n">
        <f>7710</f>
        <v>7710.0</v>
      </c>
      <c r="R178" s="34" t="s">
        <v>50</v>
      </c>
      <c r="S178" s="35" t="n">
        <f>8106.15</f>
        <v>8106.15</v>
      </c>
      <c r="T178" s="32" t="n">
        <f>6910</f>
        <v>6910.0</v>
      </c>
      <c r="U178" s="32" t="str">
        <f>"－"</f>
        <v>－</v>
      </c>
      <c r="V178" s="32" t="n">
        <f>56041486</f>
        <v>5.6041486E7</v>
      </c>
      <c r="W178" s="32" t="str">
        <f>"－"</f>
        <v>－</v>
      </c>
      <c r="X178" s="36" t="n">
        <f>20</f>
        <v>20.0</v>
      </c>
    </row>
    <row r="179">
      <c r="A179" s="27" t="s">
        <v>42</v>
      </c>
      <c r="B179" s="27" t="s">
        <v>587</v>
      </c>
      <c r="C179" s="27" t="s">
        <v>588</v>
      </c>
      <c r="D179" s="27" t="s">
        <v>589</v>
      </c>
      <c r="E179" s="28" t="s">
        <v>46</v>
      </c>
      <c r="F179" s="29" t="s">
        <v>46</v>
      </c>
      <c r="G179" s="30" t="s">
        <v>46</v>
      </c>
      <c r="H179" s="31"/>
      <c r="I179" s="31" t="s">
        <v>583</v>
      </c>
      <c r="J179" s="32" t="n">
        <v>1.0</v>
      </c>
      <c r="K179" s="33" t="n">
        <f>12485</f>
        <v>12485.0</v>
      </c>
      <c r="L179" s="34" t="s">
        <v>48</v>
      </c>
      <c r="M179" s="33" t="n">
        <f>13150</f>
        <v>13150.0</v>
      </c>
      <c r="N179" s="34" t="s">
        <v>50</v>
      </c>
      <c r="O179" s="33" t="n">
        <f>11765</f>
        <v>11765.0</v>
      </c>
      <c r="P179" s="34" t="s">
        <v>267</v>
      </c>
      <c r="Q179" s="33" t="n">
        <f>12875</f>
        <v>12875.0</v>
      </c>
      <c r="R179" s="34" t="s">
        <v>50</v>
      </c>
      <c r="S179" s="35" t="n">
        <f>12532.5</f>
        <v>12532.5</v>
      </c>
      <c r="T179" s="32" t="n">
        <f>371</f>
        <v>371.0</v>
      </c>
      <c r="U179" s="32" t="str">
        <f>"－"</f>
        <v>－</v>
      </c>
      <c r="V179" s="32" t="n">
        <f>4666305</f>
        <v>4666305.0</v>
      </c>
      <c r="W179" s="32" t="str">
        <f>"－"</f>
        <v>－</v>
      </c>
      <c r="X179" s="36" t="n">
        <f>16</f>
        <v>16.0</v>
      </c>
    </row>
    <row r="180">
      <c r="A180" s="27" t="s">
        <v>42</v>
      </c>
      <c r="B180" s="27" t="s">
        <v>590</v>
      </c>
      <c r="C180" s="27" t="s">
        <v>591</v>
      </c>
      <c r="D180" s="27" t="s">
        <v>592</v>
      </c>
      <c r="E180" s="28" t="s">
        <v>46</v>
      </c>
      <c r="F180" s="29" t="s">
        <v>46</v>
      </c>
      <c r="G180" s="30" t="s">
        <v>46</v>
      </c>
      <c r="H180" s="31"/>
      <c r="I180" s="31" t="s">
        <v>583</v>
      </c>
      <c r="J180" s="32" t="n">
        <v>1.0</v>
      </c>
      <c r="K180" s="33" t="n">
        <f>7800</f>
        <v>7800.0</v>
      </c>
      <c r="L180" s="34" t="s">
        <v>48</v>
      </c>
      <c r="M180" s="33" t="n">
        <f>8099</f>
        <v>8099.0</v>
      </c>
      <c r="N180" s="34" t="s">
        <v>267</v>
      </c>
      <c r="O180" s="33" t="n">
        <f>7650</f>
        <v>7650.0</v>
      </c>
      <c r="P180" s="34" t="s">
        <v>91</v>
      </c>
      <c r="Q180" s="33" t="n">
        <f>7870</f>
        <v>7870.0</v>
      </c>
      <c r="R180" s="34" t="s">
        <v>50</v>
      </c>
      <c r="S180" s="35" t="n">
        <f>7894.35</f>
        <v>7894.35</v>
      </c>
      <c r="T180" s="32" t="n">
        <f>13324</f>
        <v>13324.0</v>
      </c>
      <c r="U180" s="32" t="n">
        <f>2000</f>
        <v>2000.0</v>
      </c>
      <c r="V180" s="32" t="n">
        <f>105266826</f>
        <v>1.05266826E8</v>
      </c>
      <c r="W180" s="32" t="n">
        <f>15888000</f>
        <v>1.5888E7</v>
      </c>
      <c r="X180" s="36" t="n">
        <f>20</f>
        <v>20.0</v>
      </c>
    </row>
    <row r="181">
      <c r="A181" s="27" t="s">
        <v>42</v>
      </c>
      <c r="B181" s="27" t="s">
        <v>593</v>
      </c>
      <c r="C181" s="27" t="s">
        <v>594</v>
      </c>
      <c r="D181" s="27" t="s">
        <v>595</v>
      </c>
      <c r="E181" s="28" t="s">
        <v>46</v>
      </c>
      <c r="F181" s="29" t="s">
        <v>46</v>
      </c>
      <c r="G181" s="30" t="s">
        <v>46</v>
      </c>
      <c r="H181" s="31"/>
      <c r="I181" s="31" t="s">
        <v>583</v>
      </c>
      <c r="J181" s="32" t="n">
        <v>1.0</v>
      </c>
      <c r="K181" s="33" t="n">
        <f>33200</f>
        <v>33200.0</v>
      </c>
      <c r="L181" s="34" t="s">
        <v>48</v>
      </c>
      <c r="M181" s="33" t="n">
        <f>33690</f>
        <v>33690.0</v>
      </c>
      <c r="N181" s="34" t="s">
        <v>90</v>
      </c>
      <c r="O181" s="33" t="n">
        <f>31750</f>
        <v>31750.0</v>
      </c>
      <c r="P181" s="34" t="s">
        <v>49</v>
      </c>
      <c r="Q181" s="33" t="n">
        <f>33350</f>
        <v>33350.0</v>
      </c>
      <c r="R181" s="34" t="s">
        <v>50</v>
      </c>
      <c r="S181" s="35" t="n">
        <f>32912.5</f>
        <v>32912.5</v>
      </c>
      <c r="T181" s="32" t="n">
        <f>43443</f>
        <v>43443.0</v>
      </c>
      <c r="U181" s="32" t="n">
        <f>17</f>
        <v>17.0</v>
      </c>
      <c r="V181" s="32" t="n">
        <f>1424598340</f>
        <v>1.42459834E9</v>
      </c>
      <c r="W181" s="32" t="n">
        <f>560870</f>
        <v>560870.0</v>
      </c>
      <c r="X181" s="36" t="n">
        <f>20</f>
        <v>20.0</v>
      </c>
    </row>
    <row r="182">
      <c r="A182" s="27" t="s">
        <v>42</v>
      </c>
      <c r="B182" s="27" t="s">
        <v>596</v>
      </c>
      <c r="C182" s="27" t="s">
        <v>597</v>
      </c>
      <c r="D182" s="27" t="s">
        <v>598</v>
      </c>
      <c r="E182" s="28" t="s">
        <v>46</v>
      </c>
      <c r="F182" s="29" t="s">
        <v>46</v>
      </c>
      <c r="G182" s="30" t="s">
        <v>46</v>
      </c>
      <c r="H182" s="31"/>
      <c r="I182" s="31" t="s">
        <v>583</v>
      </c>
      <c r="J182" s="32" t="n">
        <v>1.0</v>
      </c>
      <c r="K182" s="33" t="n">
        <f>3785</f>
        <v>3785.0</v>
      </c>
      <c r="L182" s="34" t="s">
        <v>48</v>
      </c>
      <c r="M182" s="33" t="n">
        <f>3885</f>
        <v>3885.0</v>
      </c>
      <c r="N182" s="34" t="s">
        <v>49</v>
      </c>
      <c r="O182" s="33" t="n">
        <f>3770</f>
        <v>3770.0</v>
      </c>
      <c r="P182" s="34" t="s">
        <v>184</v>
      </c>
      <c r="Q182" s="33" t="n">
        <f>3805</f>
        <v>3805.0</v>
      </c>
      <c r="R182" s="34" t="s">
        <v>50</v>
      </c>
      <c r="S182" s="35" t="n">
        <f>3819.75</f>
        <v>3819.75</v>
      </c>
      <c r="T182" s="32" t="n">
        <f>4346</f>
        <v>4346.0</v>
      </c>
      <c r="U182" s="32" t="str">
        <f>"－"</f>
        <v>－</v>
      </c>
      <c r="V182" s="32" t="n">
        <f>16605440</f>
        <v>1.660544E7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599</v>
      </c>
      <c r="C183" s="27" t="s">
        <v>600</v>
      </c>
      <c r="D183" s="27" t="s">
        <v>601</v>
      </c>
      <c r="E183" s="28" t="s">
        <v>46</v>
      </c>
      <c r="F183" s="29" t="s">
        <v>46</v>
      </c>
      <c r="G183" s="30" t="s">
        <v>46</v>
      </c>
      <c r="H183" s="31"/>
      <c r="I183" s="31" t="s">
        <v>583</v>
      </c>
      <c r="J183" s="32" t="n">
        <v>1.0</v>
      </c>
      <c r="K183" s="33" t="n">
        <f>1368</f>
        <v>1368.0</v>
      </c>
      <c r="L183" s="34" t="s">
        <v>48</v>
      </c>
      <c r="M183" s="33" t="n">
        <f>1663</f>
        <v>1663.0</v>
      </c>
      <c r="N183" s="34" t="s">
        <v>50</v>
      </c>
      <c r="O183" s="33" t="n">
        <f>1356</f>
        <v>1356.0</v>
      </c>
      <c r="P183" s="34" t="s">
        <v>86</v>
      </c>
      <c r="Q183" s="33" t="n">
        <f>1659</f>
        <v>1659.0</v>
      </c>
      <c r="R183" s="34" t="s">
        <v>50</v>
      </c>
      <c r="S183" s="35" t="n">
        <f>1469.35</f>
        <v>1469.35</v>
      </c>
      <c r="T183" s="32" t="n">
        <f>17037982</f>
        <v>1.7037982E7</v>
      </c>
      <c r="U183" s="32" t="n">
        <f>2531</f>
        <v>2531.0</v>
      </c>
      <c r="V183" s="32" t="n">
        <f>25328744802</f>
        <v>2.5328744802E10</v>
      </c>
      <c r="W183" s="32" t="n">
        <f>3632418</f>
        <v>3632418.0</v>
      </c>
      <c r="X183" s="36" t="n">
        <f>20</f>
        <v>20.0</v>
      </c>
    </row>
    <row r="184">
      <c r="A184" s="27" t="s">
        <v>42</v>
      </c>
      <c r="B184" s="27" t="s">
        <v>602</v>
      </c>
      <c r="C184" s="27" t="s">
        <v>603</v>
      </c>
      <c r="D184" s="27" t="s">
        <v>604</v>
      </c>
      <c r="E184" s="28" t="s">
        <v>46</v>
      </c>
      <c r="F184" s="29" t="s">
        <v>46</v>
      </c>
      <c r="G184" s="30" t="s">
        <v>46</v>
      </c>
      <c r="H184" s="31"/>
      <c r="I184" s="31" t="s">
        <v>583</v>
      </c>
      <c r="J184" s="32" t="n">
        <v>1.0</v>
      </c>
      <c r="K184" s="33" t="n">
        <f>1328</f>
        <v>1328.0</v>
      </c>
      <c r="L184" s="34" t="s">
        <v>48</v>
      </c>
      <c r="M184" s="33" t="n">
        <f>1333</f>
        <v>1333.0</v>
      </c>
      <c r="N184" s="34" t="s">
        <v>86</v>
      </c>
      <c r="O184" s="33" t="n">
        <f>1199</f>
        <v>1199.0</v>
      </c>
      <c r="P184" s="34" t="s">
        <v>50</v>
      </c>
      <c r="Q184" s="33" t="n">
        <f>1203</f>
        <v>1203.0</v>
      </c>
      <c r="R184" s="34" t="s">
        <v>50</v>
      </c>
      <c r="S184" s="35" t="n">
        <f>1279.25</f>
        <v>1279.25</v>
      </c>
      <c r="T184" s="32" t="n">
        <f>2174709</f>
        <v>2174709.0</v>
      </c>
      <c r="U184" s="32" t="n">
        <f>1194</f>
        <v>1194.0</v>
      </c>
      <c r="V184" s="32" t="n">
        <f>2763933525</f>
        <v>2.763933525E9</v>
      </c>
      <c r="W184" s="32" t="n">
        <f>1518033</f>
        <v>1518033.0</v>
      </c>
      <c r="X184" s="36" t="n">
        <f>20</f>
        <v>20.0</v>
      </c>
    </row>
    <row r="185">
      <c r="A185" s="27" t="s">
        <v>42</v>
      </c>
      <c r="B185" s="27" t="s">
        <v>605</v>
      </c>
      <c r="C185" s="27" t="s">
        <v>606</v>
      </c>
      <c r="D185" s="27" t="s">
        <v>607</v>
      </c>
      <c r="E185" s="28" t="s">
        <v>46</v>
      </c>
      <c r="F185" s="29" t="s">
        <v>46</v>
      </c>
      <c r="G185" s="30" t="s">
        <v>46</v>
      </c>
      <c r="H185" s="31"/>
      <c r="I185" s="31" t="s">
        <v>583</v>
      </c>
      <c r="J185" s="32" t="n">
        <v>1.0</v>
      </c>
      <c r="K185" s="33" t="n">
        <f>25050</f>
        <v>25050.0</v>
      </c>
      <c r="L185" s="34" t="s">
        <v>48</v>
      </c>
      <c r="M185" s="33" t="n">
        <f>26430</f>
        <v>26430.0</v>
      </c>
      <c r="N185" s="34" t="s">
        <v>104</v>
      </c>
      <c r="O185" s="33" t="n">
        <f>24015</f>
        <v>24015.0</v>
      </c>
      <c r="P185" s="34" t="s">
        <v>69</v>
      </c>
      <c r="Q185" s="33" t="n">
        <f>26225</f>
        <v>26225.0</v>
      </c>
      <c r="R185" s="34" t="s">
        <v>50</v>
      </c>
      <c r="S185" s="35" t="n">
        <f>25373.75</f>
        <v>25373.75</v>
      </c>
      <c r="T185" s="32" t="n">
        <f>69892</f>
        <v>69892.0</v>
      </c>
      <c r="U185" s="32" t="n">
        <f>118</f>
        <v>118.0</v>
      </c>
      <c r="V185" s="32" t="n">
        <f>1792665560</f>
        <v>1.79266556E9</v>
      </c>
      <c r="W185" s="32" t="n">
        <f>2919375</f>
        <v>2919375.0</v>
      </c>
      <c r="X185" s="36" t="n">
        <f>20</f>
        <v>20.0</v>
      </c>
    </row>
    <row r="186">
      <c r="A186" s="27" t="s">
        <v>42</v>
      </c>
      <c r="B186" s="27" t="s">
        <v>608</v>
      </c>
      <c r="C186" s="27" t="s">
        <v>609</v>
      </c>
      <c r="D186" s="27" t="s">
        <v>610</v>
      </c>
      <c r="E186" s="28" t="s">
        <v>46</v>
      </c>
      <c r="F186" s="29" t="s">
        <v>46</v>
      </c>
      <c r="G186" s="30" t="s">
        <v>46</v>
      </c>
      <c r="H186" s="31"/>
      <c r="I186" s="31" t="s">
        <v>583</v>
      </c>
      <c r="J186" s="32" t="n">
        <v>1.0</v>
      </c>
      <c r="K186" s="33" t="n">
        <f>2831</f>
        <v>2831.0</v>
      </c>
      <c r="L186" s="34" t="s">
        <v>48</v>
      </c>
      <c r="M186" s="33" t="n">
        <f>2895</f>
        <v>2895.0</v>
      </c>
      <c r="N186" s="34" t="s">
        <v>69</v>
      </c>
      <c r="O186" s="33" t="n">
        <f>2751</f>
        <v>2751.0</v>
      </c>
      <c r="P186" s="34" t="s">
        <v>50</v>
      </c>
      <c r="Q186" s="33" t="n">
        <f>2766</f>
        <v>2766.0</v>
      </c>
      <c r="R186" s="34" t="s">
        <v>50</v>
      </c>
      <c r="S186" s="35" t="n">
        <f>2815.1</f>
        <v>2815.1</v>
      </c>
      <c r="T186" s="32" t="n">
        <f>308307</f>
        <v>308307.0</v>
      </c>
      <c r="U186" s="32" t="n">
        <f>100</f>
        <v>100.0</v>
      </c>
      <c r="V186" s="32" t="n">
        <f>866166797</f>
        <v>8.66166797E8</v>
      </c>
      <c r="W186" s="32" t="n">
        <f>284700</f>
        <v>284700.0</v>
      </c>
      <c r="X186" s="36" t="n">
        <f>20</f>
        <v>20.0</v>
      </c>
    </row>
    <row r="187">
      <c r="A187" s="27" t="s">
        <v>42</v>
      </c>
      <c r="B187" s="27" t="s">
        <v>611</v>
      </c>
      <c r="C187" s="27" t="s">
        <v>612</v>
      </c>
      <c r="D187" s="27" t="s">
        <v>613</v>
      </c>
      <c r="E187" s="28" t="s">
        <v>46</v>
      </c>
      <c r="F187" s="29" t="s">
        <v>46</v>
      </c>
      <c r="G187" s="30" t="s">
        <v>46</v>
      </c>
      <c r="H187" s="31"/>
      <c r="I187" s="31" t="s">
        <v>583</v>
      </c>
      <c r="J187" s="32" t="n">
        <v>1.0</v>
      </c>
      <c r="K187" s="33" t="n">
        <f>8855</f>
        <v>8855.0</v>
      </c>
      <c r="L187" s="34" t="s">
        <v>48</v>
      </c>
      <c r="M187" s="33" t="n">
        <f>8870</f>
        <v>8870.0</v>
      </c>
      <c r="N187" s="34" t="s">
        <v>48</v>
      </c>
      <c r="O187" s="33" t="n">
        <f>8035</f>
        <v>8035.0</v>
      </c>
      <c r="P187" s="34" t="s">
        <v>117</v>
      </c>
      <c r="Q187" s="33" t="n">
        <f>8318</f>
        <v>8318.0</v>
      </c>
      <c r="R187" s="34" t="s">
        <v>50</v>
      </c>
      <c r="S187" s="35" t="n">
        <f>8399.05</f>
        <v>8399.05</v>
      </c>
      <c r="T187" s="32" t="n">
        <f>33740</f>
        <v>33740.0</v>
      </c>
      <c r="U187" s="32" t="n">
        <f>8</f>
        <v>8.0</v>
      </c>
      <c r="V187" s="32" t="n">
        <f>283321521</f>
        <v>2.83321521E8</v>
      </c>
      <c r="W187" s="32" t="n">
        <f>68367</f>
        <v>68367.0</v>
      </c>
      <c r="X187" s="36" t="n">
        <f>20</f>
        <v>20.0</v>
      </c>
    </row>
    <row r="188">
      <c r="A188" s="27" t="s">
        <v>42</v>
      </c>
      <c r="B188" s="27" t="s">
        <v>614</v>
      </c>
      <c r="C188" s="27" t="s">
        <v>615</v>
      </c>
      <c r="D188" s="27" t="s">
        <v>616</v>
      </c>
      <c r="E188" s="28" t="s">
        <v>46</v>
      </c>
      <c r="F188" s="29" t="s">
        <v>46</v>
      </c>
      <c r="G188" s="30" t="s">
        <v>46</v>
      </c>
      <c r="H188" s="31"/>
      <c r="I188" s="31" t="s">
        <v>583</v>
      </c>
      <c r="J188" s="32" t="n">
        <v>1.0</v>
      </c>
      <c r="K188" s="33" t="n">
        <f>17295</f>
        <v>17295.0</v>
      </c>
      <c r="L188" s="34" t="s">
        <v>48</v>
      </c>
      <c r="M188" s="33" t="n">
        <f>17600</f>
        <v>17600.0</v>
      </c>
      <c r="N188" s="34" t="s">
        <v>50</v>
      </c>
      <c r="O188" s="33" t="n">
        <f>16500</f>
        <v>16500.0</v>
      </c>
      <c r="P188" s="34" t="s">
        <v>91</v>
      </c>
      <c r="Q188" s="33" t="n">
        <f>17600</f>
        <v>17600.0</v>
      </c>
      <c r="R188" s="34" t="s">
        <v>50</v>
      </c>
      <c r="S188" s="35" t="n">
        <f>17085</f>
        <v>17085.0</v>
      </c>
      <c r="T188" s="32" t="n">
        <f>312</f>
        <v>312.0</v>
      </c>
      <c r="U188" s="32" t="str">
        <f>"－"</f>
        <v>－</v>
      </c>
      <c r="V188" s="32" t="n">
        <f>5332870</f>
        <v>5332870.0</v>
      </c>
      <c r="W188" s="32" t="str">
        <f>"－"</f>
        <v>－</v>
      </c>
      <c r="X188" s="36" t="n">
        <f>16</f>
        <v>16.0</v>
      </c>
    </row>
    <row r="189">
      <c r="A189" s="27" t="s">
        <v>42</v>
      </c>
      <c r="B189" s="27" t="s">
        <v>617</v>
      </c>
      <c r="C189" s="27" t="s">
        <v>618</v>
      </c>
      <c r="D189" s="27" t="s">
        <v>619</v>
      </c>
      <c r="E189" s="28" t="s">
        <v>46</v>
      </c>
      <c r="F189" s="29" t="s">
        <v>46</v>
      </c>
      <c r="G189" s="30" t="s">
        <v>46</v>
      </c>
      <c r="H189" s="31"/>
      <c r="I189" s="31" t="s">
        <v>583</v>
      </c>
      <c r="J189" s="32" t="n">
        <v>1.0</v>
      </c>
      <c r="K189" s="33" t="n">
        <f>25610</f>
        <v>25610.0</v>
      </c>
      <c r="L189" s="34" t="s">
        <v>48</v>
      </c>
      <c r="M189" s="33" t="n">
        <f>25985</f>
        <v>25985.0</v>
      </c>
      <c r="N189" s="34" t="s">
        <v>513</v>
      </c>
      <c r="O189" s="33" t="n">
        <f>24555</f>
        <v>24555.0</v>
      </c>
      <c r="P189" s="34" t="s">
        <v>91</v>
      </c>
      <c r="Q189" s="33" t="n">
        <f>25885</f>
        <v>25885.0</v>
      </c>
      <c r="R189" s="34" t="s">
        <v>50</v>
      </c>
      <c r="S189" s="35" t="n">
        <f>25325.75</f>
        <v>25325.75</v>
      </c>
      <c r="T189" s="32" t="n">
        <f>15892</f>
        <v>15892.0</v>
      </c>
      <c r="U189" s="32" t="n">
        <f>2</f>
        <v>2.0</v>
      </c>
      <c r="V189" s="32" t="n">
        <f>403540610</f>
        <v>4.0354061E8</v>
      </c>
      <c r="W189" s="32" t="n">
        <f>50600</f>
        <v>50600.0</v>
      </c>
      <c r="X189" s="36" t="n">
        <f>20</f>
        <v>20.0</v>
      </c>
    </row>
    <row r="190">
      <c r="A190" s="27" t="s">
        <v>42</v>
      </c>
      <c r="B190" s="27" t="s">
        <v>620</v>
      </c>
      <c r="C190" s="27" t="s">
        <v>621</v>
      </c>
      <c r="D190" s="27" t="s">
        <v>622</v>
      </c>
      <c r="E190" s="28" t="s">
        <v>46</v>
      </c>
      <c r="F190" s="29" t="s">
        <v>46</v>
      </c>
      <c r="G190" s="30" t="s">
        <v>46</v>
      </c>
      <c r="H190" s="31"/>
      <c r="I190" s="31" t="s">
        <v>583</v>
      </c>
      <c r="J190" s="32" t="n">
        <v>1.0</v>
      </c>
      <c r="K190" s="33" t="n">
        <f>15890</f>
        <v>15890.0</v>
      </c>
      <c r="L190" s="34" t="s">
        <v>48</v>
      </c>
      <c r="M190" s="33" t="n">
        <f>16300</f>
        <v>16300.0</v>
      </c>
      <c r="N190" s="34" t="s">
        <v>117</v>
      </c>
      <c r="O190" s="33" t="n">
        <f>15645</f>
        <v>15645.0</v>
      </c>
      <c r="P190" s="34" t="s">
        <v>159</v>
      </c>
      <c r="Q190" s="33" t="n">
        <f>16295</f>
        <v>16295.0</v>
      </c>
      <c r="R190" s="34" t="s">
        <v>50</v>
      </c>
      <c r="S190" s="35" t="n">
        <f>16088.24</f>
        <v>16088.24</v>
      </c>
      <c r="T190" s="32" t="n">
        <f>285</f>
        <v>285.0</v>
      </c>
      <c r="U190" s="32" t="str">
        <f>"－"</f>
        <v>－</v>
      </c>
      <c r="V190" s="32" t="n">
        <f>4610340</f>
        <v>4610340.0</v>
      </c>
      <c r="W190" s="32" t="str">
        <f>"－"</f>
        <v>－</v>
      </c>
      <c r="X190" s="36" t="n">
        <f>17</f>
        <v>17.0</v>
      </c>
    </row>
    <row r="191">
      <c r="A191" s="27" t="s">
        <v>42</v>
      </c>
      <c r="B191" s="27" t="s">
        <v>623</v>
      </c>
      <c r="C191" s="27" t="s">
        <v>624</v>
      </c>
      <c r="D191" s="27" t="s">
        <v>625</v>
      </c>
      <c r="E191" s="28" t="s">
        <v>46</v>
      </c>
      <c r="F191" s="29" t="s">
        <v>46</v>
      </c>
      <c r="G191" s="30" t="s">
        <v>46</v>
      </c>
      <c r="H191" s="31"/>
      <c r="I191" s="31" t="s">
        <v>583</v>
      </c>
      <c r="J191" s="32" t="n">
        <v>1.0</v>
      </c>
      <c r="K191" s="33" t="n">
        <f>22880</f>
        <v>22880.0</v>
      </c>
      <c r="L191" s="34" t="s">
        <v>48</v>
      </c>
      <c r="M191" s="33" t="n">
        <f>23190</f>
        <v>23190.0</v>
      </c>
      <c r="N191" s="34" t="s">
        <v>86</v>
      </c>
      <c r="O191" s="33" t="n">
        <f>21385</f>
        <v>21385.0</v>
      </c>
      <c r="P191" s="34" t="s">
        <v>91</v>
      </c>
      <c r="Q191" s="33" t="n">
        <f>23025</f>
        <v>23025.0</v>
      </c>
      <c r="R191" s="34" t="s">
        <v>50</v>
      </c>
      <c r="S191" s="35" t="n">
        <f>22488.5</f>
        <v>22488.5</v>
      </c>
      <c r="T191" s="32" t="n">
        <f>80536</f>
        <v>80536.0</v>
      </c>
      <c r="U191" s="32" t="str">
        <f>"－"</f>
        <v>－</v>
      </c>
      <c r="V191" s="32" t="n">
        <f>1819107490</f>
        <v>1.81910749E9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626</v>
      </c>
      <c r="C192" s="27" t="s">
        <v>627</v>
      </c>
      <c r="D192" s="27" t="s">
        <v>628</v>
      </c>
      <c r="E192" s="28" t="s">
        <v>46</v>
      </c>
      <c r="F192" s="29" t="s">
        <v>46</v>
      </c>
      <c r="G192" s="30" t="s">
        <v>46</v>
      </c>
      <c r="H192" s="31"/>
      <c r="I192" s="31" t="s">
        <v>583</v>
      </c>
      <c r="J192" s="32" t="n">
        <v>1.0</v>
      </c>
      <c r="K192" s="33" t="n">
        <f>4315</f>
        <v>4315.0</v>
      </c>
      <c r="L192" s="34" t="s">
        <v>48</v>
      </c>
      <c r="M192" s="33" t="n">
        <f>4315</f>
        <v>4315.0</v>
      </c>
      <c r="N192" s="34" t="s">
        <v>48</v>
      </c>
      <c r="O192" s="33" t="n">
        <f>3970</f>
        <v>3970.0</v>
      </c>
      <c r="P192" s="34" t="s">
        <v>227</v>
      </c>
      <c r="Q192" s="33" t="n">
        <f>4045</f>
        <v>4045.0</v>
      </c>
      <c r="R192" s="34" t="s">
        <v>50</v>
      </c>
      <c r="S192" s="35" t="n">
        <f>4078.75</f>
        <v>4078.75</v>
      </c>
      <c r="T192" s="32" t="n">
        <f>5434</f>
        <v>5434.0</v>
      </c>
      <c r="U192" s="32" t="str">
        <f>"－"</f>
        <v>－</v>
      </c>
      <c r="V192" s="32" t="n">
        <f>22339560</f>
        <v>2.233956E7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629</v>
      </c>
      <c r="C193" s="27" t="s">
        <v>630</v>
      </c>
      <c r="D193" s="27" t="s">
        <v>631</v>
      </c>
      <c r="E193" s="28" t="s">
        <v>46</v>
      </c>
      <c r="F193" s="29" t="s">
        <v>46</v>
      </c>
      <c r="G193" s="30" t="s">
        <v>46</v>
      </c>
      <c r="H193" s="31"/>
      <c r="I193" s="31" t="s">
        <v>583</v>
      </c>
      <c r="J193" s="32" t="n">
        <v>1.0</v>
      </c>
      <c r="K193" s="33" t="n">
        <f>20530</f>
        <v>20530.0</v>
      </c>
      <c r="L193" s="34" t="s">
        <v>48</v>
      </c>
      <c r="M193" s="33" t="n">
        <f>21015</f>
        <v>21015.0</v>
      </c>
      <c r="N193" s="34" t="s">
        <v>50</v>
      </c>
      <c r="O193" s="33" t="n">
        <f>19355</f>
        <v>19355.0</v>
      </c>
      <c r="P193" s="34" t="s">
        <v>49</v>
      </c>
      <c r="Q193" s="33" t="n">
        <f>21015</f>
        <v>21015.0</v>
      </c>
      <c r="R193" s="34" t="s">
        <v>50</v>
      </c>
      <c r="S193" s="35" t="n">
        <f>20311.25</f>
        <v>20311.25</v>
      </c>
      <c r="T193" s="32" t="n">
        <f>2800</f>
        <v>2800.0</v>
      </c>
      <c r="U193" s="32" t="str">
        <f>"－"</f>
        <v>－</v>
      </c>
      <c r="V193" s="32" t="n">
        <f>56335135</f>
        <v>5.6335135E7</v>
      </c>
      <c r="W193" s="32" t="str">
        <f>"－"</f>
        <v>－</v>
      </c>
      <c r="X193" s="36" t="n">
        <f>16</f>
        <v>16.0</v>
      </c>
    </row>
    <row r="194">
      <c r="A194" s="27" t="s">
        <v>42</v>
      </c>
      <c r="B194" s="27" t="s">
        <v>632</v>
      </c>
      <c r="C194" s="27" t="s">
        <v>633</v>
      </c>
      <c r="D194" s="27" t="s">
        <v>634</v>
      </c>
      <c r="E194" s="28" t="s">
        <v>46</v>
      </c>
      <c r="F194" s="29" t="s">
        <v>46</v>
      </c>
      <c r="G194" s="30" t="s">
        <v>46</v>
      </c>
      <c r="H194" s="31"/>
      <c r="I194" s="31" t="s">
        <v>583</v>
      </c>
      <c r="J194" s="32" t="n">
        <v>1.0</v>
      </c>
      <c r="K194" s="33" t="n">
        <f>15865</f>
        <v>15865.0</v>
      </c>
      <c r="L194" s="34" t="s">
        <v>90</v>
      </c>
      <c r="M194" s="33" t="n">
        <f>15865</f>
        <v>15865.0</v>
      </c>
      <c r="N194" s="34" t="s">
        <v>90</v>
      </c>
      <c r="O194" s="33" t="n">
        <f>15200</f>
        <v>15200.0</v>
      </c>
      <c r="P194" s="34" t="s">
        <v>49</v>
      </c>
      <c r="Q194" s="33" t="n">
        <f>15805</f>
        <v>15805.0</v>
      </c>
      <c r="R194" s="34" t="s">
        <v>50</v>
      </c>
      <c r="S194" s="35" t="n">
        <f>15601</f>
        <v>15601.0</v>
      </c>
      <c r="T194" s="32" t="n">
        <f>108</f>
        <v>108.0</v>
      </c>
      <c r="U194" s="32" t="str">
        <f>"－"</f>
        <v>－</v>
      </c>
      <c r="V194" s="32" t="n">
        <f>1675935</f>
        <v>1675935.0</v>
      </c>
      <c r="W194" s="32" t="str">
        <f>"－"</f>
        <v>－</v>
      </c>
      <c r="X194" s="36" t="n">
        <f>10</f>
        <v>10.0</v>
      </c>
    </row>
    <row r="195">
      <c r="A195" s="27" t="s">
        <v>42</v>
      </c>
      <c r="B195" s="27" t="s">
        <v>635</v>
      </c>
      <c r="C195" s="27" t="s">
        <v>636</v>
      </c>
      <c r="D195" s="27" t="s">
        <v>637</v>
      </c>
      <c r="E195" s="28" t="s">
        <v>46</v>
      </c>
      <c r="F195" s="29" t="s">
        <v>46</v>
      </c>
      <c r="G195" s="30" t="s">
        <v>46</v>
      </c>
      <c r="H195" s="31"/>
      <c r="I195" s="31" t="s">
        <v>583</v>
      </c>
      <c r="J195" s="32" t="n">
        <v>1.0</v>
      </c>
      <c r="K195" s="33" t="n">
        <f>24345</f>
        <v>24345.0</v>
      </c>
      <c r="L195" s="34" t="s">
        <v>48</v>
      </c>
      <c r="M195" s="33" t="n">
        <f>24565</f>
        <v>24565.0</v>
      </c>
      <c r="N195" s="34" t="s">
        <v>50</v>
      </c>
      <c r="O195" s="33" t="n">
        <f>22510</f>
        <v>22510.0</v>
      </c>
      <c r="P195" s="34" t="s">
        <v>91</v>
      </c>
      <c r="Q195" s="33" t="n">
        <f>24565</f>
        <v>24565.0</v>
      </c>
      <c r="R195" s="34" t="s">
        <v>50</v>
      </c>
      <c r="S195" s="35" t="n">
        <f>23803.44</f>
        <v>23803.44</v>
      </c>
      <c r="T195" s="32" t="n">
        <f>195</f>
        <v>195.0</v>
      </c>
      <c r="U195" s="32" t="str">
        <f>"－"</f>
        <v>－</v>
      </c>
      <c r="V195" s="32" t="n">
        <f>4672815</f>
        <v>4672815.0</v>
      </c>
      <c r="W195" s="32" t="str">
        <f>"－"</f>
        <v>－</v>
      </c>
      <c r="X195" s="36" t="n">
        <f>16</f>
        <v>16.0</v>
      </c>
    </row>
    <row r="196">
      <c r="A196" s="27" t="s">
        <v>42</v>
      </c>
      <c r="B196" s="27" t="s">
        <v>638</v>
      </c>
      <c r="C196" s="27" t="s">
        <v>639</v>
      </c>
      <c r="D196" s="27" t="s">
        <v>640</v>
      </c>
      <c r="E196" s="28" t="s">
        <v>46</v>
      </c>
      <c r="F196" s="29" t="s">
        <v>46</v>
      </c>
      <c r="G196" s="30" t="s">
        <v>46</v>
      </c>
      <c r="H196" s="31"/>
      <c r="I196" s="31" t="s">
        <v>583</v>
      </c>
      <c r="J196" s="32" t="n">
        <v>1.0</v>
      </c>
      <c r="K196" s="33" t="n">
        <f>17425</f>
        <v>17425.0</v>
      </c>
      <c r="L196" s="34" t="s">
        <v>227</v>
      </c>
      <c r="M196" s="33" t="n">
        <f>17425</f>
        <v>17425.0</v>
      </c>
      <c r="N196" s="34" t="s">
        <v>227</v>
      </c>
      <c r="O196" s="33" t="n">
        <f>17030</f>
        <v>17030.0</v>
      </c>
      <c r="P196" s="34" t="s">
        <v>227</v>
      </c>
      <c r="Q196" s="33" t="n">
        <f>17030</f>
        <v>17030.0</v>
      </c>
      <c r="R196" s="34" t="s">
        <v>227</v>
      </c>
      <c r="S196" s="35" t="n">
        <f>17030</f>
        <v>17030.0</v>
      </c>
      <c r="T196" s="32" t="n">
        <f>594</f>
        <v>594.0</v>
      </c>
      <c r="U196" s="32" t="str">
        <f>"－"</f>
        <v>－</v>
      </c>
      <c r="V196" s="32" t="n">
        <f>10133990</f>
        <v>1.013399E7</v>
      </c>
      <c r="W196" s="32" t="str">
        <f>"－"</f>
        <v>－</v>
      </c>
      <c r="X196" s="36" t="n">
        <f>1</f>
        <v>1.0</v>
      </c>
    </row>
    <row r="197">
      <c r="A197" s="27" t="s">
        <v>42</v>
      </c>
      <c r="B197" s="27" t="s">
        <v>641</v>
      </c>
      <c r="C197" s="27" t="s">
        <v>642</v>
      </c>
      <c r="D197" s="27" t="s">
        <v>643</v>
      </c>
      <c r="E197" s="28" t="s">
        <v>46</v>
      </c>
      <c r="F197" s="29" t="s">
        <v>46</v>
      </c>
      <c r="G197" s="30" t="s">
        <v>46</v>
      </c>
      <c r="H197" s="31"/>
      <c r="I197" s="31" t="s">
        <v>583</v>
      </c>
      <c r="J197" s="32" t="n">
        <v>1.0</v>
      </c>
      <c r="K197" s="33" t="n">
        <f>16200</f>
        <v>16200.0</v>
      </c>
      <c r="L197" s="34" t="s">
        <v>48</v>
      </c>
      <c r="M197" s="33" t="n">
        <f>16360</f>
        <v>16360.0</v>
      </c>
      <c r="N197" s="34" t="s">
        <v>50</v>
      </c>
      <c r="O197" s="33" t="n">
        <f>15605</f>
        <v>15605.0</v>
      </c>
      <c r="P197" s="34" t="s">
        <v>64</v>
      </c>
      <c r="Q197" s="33" t="n">
        <f>16360</f>
        <v>16360.0</v>
      </c>
      <c r="R197" s="34" t="s">
        <v>50</v>
      </c>
      <c r="S197" s="35" t="n">
        <f>15988.75</f>
        <v>15988.75</v>
      </c>
      <c r="T197" s="32" t="n">
        <f>1267</f>
        <v>1267.0</v>
      </c>
      <c r="U197" s="32" t="str">
        <f>"－"</f>
        <v>－</v>
      </c>
      <c r="V197" s="32" t="n">
        <f>20181295</f>
        <v>2.0181295E7</v>
      </c>
      <c r="W197" s="32" t="str">
        <f>"－"</f>
        <v>－</v>
      </c>
      <c r="X197" s="36" t="n">
        <f>20</f>
        <v>20.0</v>
      </c>
    </row>
    <row r="198">
      <c r="A198" s="27" t="s">
        <v>42</v>
      </c>
      <c r="B198" s="27" t="s">
        <v>644</v>
      </c>
      <c r="C198" s="27" t="s">
        <v>645</v>
      </c>
      <c r="D198" s="27" t="s">
        <v>646</v>
      </c>
      <c r="E198" s="28" t="s">
        <v>46</v>
      </c>
      <c r="F198" s="29" t="s">
        <v>46</v>
      </c>
      <c r="G198" s="30" t="s">
        <v>46</v>
      </c>
      <c r="H198" s="31"/>
      <c r="I198" s="31" t="s">
        <v>583</v>
      </c>
      <c r="J198" s="32" t="n">
        <v>1.0</v>
      </c>
      <c r="K198" s="33" t="n">
        <f>18000</f>
        <v>18000.0</v>
      </c>
      <c r="L198" s="34" t="s">
        <v>86</v>
      </c>
      <c r="M198" s="33" t="n">
        <f>18445</f>
        <v>18445.0</v>
      </c>
      <c r="N198" s="34" t="s">
        <v>50</v>
      </c>
      <c r="O198" s="33" t="n">
        <f>17655</f>
        <v>17655.0</v>
      </c>
      <c r="P198" s="34" t="s">
        <v>69</v>
      </c>
      <c r="Q198" s="33" t="n">
        <f>18445</f>
        <v>18445.0</v>
      </c>
      <c r="R198" s="34" t="s">
        <v>50</v>
      </c>
      <c r="S198" s="35" t="n">
        <f>17947.86</f>
        <v>17947.86</v>
      </c>
      <c r="T198" s="32" t="n">
        <f>524</f>
        <v>524.0</v>
      </c>
      <c r="U198" s="32" t="str">
        <f>"－"</f>
        <v>－</v>
      </c>
      <c r="V198" s="32" t="n">
        <f>9623405</f>
        <v>9623405.0</v>
      </c>
      <c r="W198" s="32" t="str">
        <f>"－"</f>
        <v>－</v>
      </c>
      <c r="X198" s="36" t="n">
        <f>7</f>
        <v>7.0</v>
      </c>
    </row>
    <row r="199">
      <c r="A199" s="27" t="s">
        <v>42</v>
      </c>
      <c r="B199" s="27" t="s">
        <v>647</v>
      </c>
      <c r="C199" s="27" t="s">
        <v>648</v>
      </c>
      <c r="D199" s="27" t="s">
        <v>649</v>
      </c>
      <c r="E199" s="28" t="s">
        <v>46</v>
      </c>
      <c r="F199" s="29" t="s">
        <v>46</v>
      </c>
      <c r="G199" s="30" t="s">
        <v>46</v>
      </c>
      <c r="H199" s="31"/>
      <c r="I199" s="31" t="s">
        <v>583</v>
      </c>
      <c r="J199" s="32" t="n">
        <v>1.0</v>
      </c>
      <c r="K199" s="33" t="n">
        <f>15790</f>
        <v>15790.0</v>
      </c>
      <c r="L199" s="34" t="s">
        <v>90</v>
      </c>
      <c r="M199" s="33" t="n">
        <f>15790</f>
        <v>15790.0</v>
      </c>
      <c r="N199" s="34" t="s">
        <v>90</v>
      </c>
      <c r="O199" s="33" t="n">
        <f>15665</f>
        <v>15665.0</v>
      </c>
      <c r="P199" s="34" t="s">
        <v>159</v>
      </c>
      <c r="Q199" s="33" t="n">
        <f>15665</f>
        <v>15665.0</v>
      </c>
      <c r="R199" s="34" t="s">
        <v>159</v>
      </c>
      <c r="S199" s="35" t="n">
        <f>15727.5</f>
        <v>15727.5</v>
      </c>
      <c r="T199" s="32" t="n">
        <f>21</f>
        <v>21.0</v>
      </c>
      <c r="U199" s="32" t="str">
        <f>"－"</f>
        <v>－</v>
      </c>
      <c r="V199" s="32" t="n">
        <f>331465</f>
        <v>331465.0</v>
      </c>
      <c r="W199" s="32" t="str">
        <f>"－"</f>
        <v>－</v>
      </c>
      <c r="X199" s="36" t="n">
        <f>2</f>
        <v>2.0</v>
      </c>
    </row>
    <row r="200">
      <c r="A200" s="27" t="s">
        <v>42</v>
      </c>
      <c r="B200" s="27" t="s">
        <v>650</v>
      </c>
      <c r="C200" s="27" t="s">
        <v>651</v>
      </c>
      <c r="D200" s="27" t="s">
        <v>652</v>
      </c>
      <c r="E200" s="28" t="s">
        <v>46</v>
      </c>
      <c r="F200" s="29" t="s">
        <v>46</v>
      </c>
      <c r="G200" s="30" t="s">
        <v>46</v>
      </c>
      <c r="H200" s="31"/>
      <c r="I200" s="31" t="s">
        <v>583</v>
      </c>
      <c r="J200" s="32" t="n">
        <v>1.0</v>
      </c>
      <c r="K200" s="33" t="n">
        <f>10835</f>
        <v>10835.0</v>
      </c>
      <c r="L200" s="34" t="s">
        <v>48</v>
      </c>
      <c r="M200" s="33" t="n">
        <f>10835</f>
        <v>10835.0</v>
      </c>
      <c r="N200" s="34" t="s">
        <v>48</v>
      </c>
      <c r="O200" s="33" t="n">
        <f>10390</f>
        <v>10390.0</v>
      </c>
      <c r="P200" s="34" t="s">
        <v>227</v>
      </c>
      <c r="Q200" s="33" t="n">
        <f>10650</f>
        <v>10650.0</v>
      </c>
      <c r="R200" s="34" t="s">
        <v>50</v>
      </c>
      <c r="S200" s="35" t="n">
        <f>10559.67</f>
        <v>10559.67</v>
      </c>
      <c r="T200" s="32" t="n">
        <f>13479</f>
        <v>13479.0</v>
      </c>
      <c r="U200" s="32" t="str">
        <f>"－"</f>
        <v>－</v>
      </c>
      <c r="V200" s="32" t="n">
        <f>143254000</f>
        <v>1.43254E8</v>
      </c>
      <c r="W200" s="32" t="str">
        <f>"－"</f>
        <v>－</v>
      </c>
      <c r="X200" s="36" t="n">
        <f>15</f>
        <v>15.0</v>
      </c>
    </row>
    <row r="201">
      <c r="A201" s="27" t="s">
        <v>42</v>
      </c>
      <c r="B201" s="27" t="s">
        <v>653</v>
      </c>
      <c r="C201" s="27" t="s">
        <v>654</v>
      </c>
      <c r="D201" s="27" t="s">
        <v>655</v>
      </c>
      <c r="E201" s="28" t="s">
        <v>46</v>
      </c>
      <c r="F201" s="29" t="s">
        <v>46</v>
      </c>
      <c r="G201" s="30" t="s">
        <v>46</v>
      </c>
      <c r="H201" s="31"/>
      <c r="I201" s="31" t="s">
        <v>583</v>
      </c>
      <c r="J201" s="32" t="n">
        <v>1.0</v>
      </c>
      <c r="K201" s="33" t="n">
        <f>11860</f>
        <v>11860.0</v>
      </c>
      <c r="L201" s="34" t="s">
        <v>48</v>
      </c>
      <c r="M201" s="33" t="n">
        <f>11860</f>
        <v>11860.0</v>
      </c>
      <c r="N201" s="34" t="s">
        <v>48</v>
      </c>
      <c r="O201" s="33" t="n">
        <f>11395</f>
        <v>11395.0</v>
      </c>
      <c r="P201" s="34" t="s">
        <v>64</v>
      </c>
      <c r="Q201" s="33" t="n">
        <f>11795</f>
        <v>11795.0</v>
      </c>
      <c r="R201" s="34" t="s">
        <v>50</v>
      </c>
      <c r="S201" s="35" t="n">
        <f>11619.47</f>
        <v>11619.47</v>
      </c>
      <c r="T201" s="32" t="n">
        <f>26395</f>
        <v>26395.0</v>
      </c>
      <c r="U201" s="32" t="str">
        <f>"－"</f>
        <v>－</v>
      </c>
      <c r="V201" s="32" t="n">
        <f>306310000</f>
        <v>3.0631E8</v>
      </c>
      <c r="W201" s="32" t="str">
        <f>"－"</f>
        <v>－</v>
      </c>
      <c r="X201" s="36" t="n">
        <f>19</f>
        <v>19.0</v>
      </c>
    </row>
    <row r="202">
      <c r="A202" s="27" t="s">
        <v>42</v>
      </c>
      <c r="B202" s="27" t="s">
        <v>656</v>
      </c>
      <c r="C202" s="27" t="s">
        <v>657</v>
      </c>
      <c r="D202" s="27" t="s">
        <v>658</v>
      </c>
      <c r="E202" s="28" t="s">
        <v>46</v>
      </c>
      <c r="F202" s="29" t="s">
        <v>46</v>
      </c>
      <c r="G202" s="30" t="s">
        <v>46</v>
      </c>
      <c r="H202" s="31"/>
      <c r="I202" s="31" t="s">
        <v>583</v>
      </c>
      <c r="J202" s="32" t="n">
        <v>1.0</v>
      </c>
      <c r="K202" s="33" t="n">
        <f>11390</f>
        <v>11390.0</v>
      </c>
      <c r="L202" s="34" t="s">
        <v>86</v>
      </c>
      <c r="M202" s="33" t="n">
        <f>11410</f>
        <v>11410.0</v>
      </c>
      <c r="N202" s="34" t="s">
        <v>86</v>
      </c>
      <c r="O202" s="33" t="n">
        <f>11075</f>
        <v>11075.0</v>
      </c>
      <c r="P202" s="34" t="s">
        <v>49</v>
      </c>
      <c r="Q202" s="33" t="n">
        <f>11290</f>
        <v>11290.0</v>
      </c>
      <c r="R202" s="34" t="s">
        <v>117</v>
      </c>
      <c r="S202" s="35" t="n">
        <f>11206</f>
        <v>11206.0</v>
      </c>
      <c r="T202" s="32" t="n">
        <f>5592</f>
        <v>5592.0</v>
      </c>
      <c r="U202" s="32" t="str">
        <f>"－"</f>
        <v>－</v>
      </c>
      <c r="V202" s="32" t="n">
        <f>62496155</f>
        <v>6.2496155E7</v>
      </c>
      <c r="W202" s="32" t="str">
        <f>"－"</f>
        <v>－</v>
      </c>
      <c r="X202" s="36" t="n">
        <f>15</f>
        <v>15.0</v>
      </c>
    </row>
    <row r="203">
      <c r="A203" s="27" t="s">
        <v>42</v>
      </c>
      <c r="B203" s="27" t="s">
        <v>659</v>
      </c>
      <c r="C203" s="27" t="s">
        <v>660</v>
      </c>
      <c r="D203" s="27" t="s">
        <v>661</v>
      </c>
      <c r="E203" s="28" t="s">
        <v>46</v>
      </c>
      <c r="F203" s="29" t="s">
        <v>46</v>
      </c>
      <c r="G203" s="30" t="s">
        <v>46</v>
      </c>
      <c r="H203" s="31"/>
      <c r="I203" s="31" t="s">
        <v>583</v>
      </c>
      <c r="J203" s="32" t="n">
        <v>1.0</v>
      </c>
      <c r="K203" s="33" t="n">
        <f>10910</f>
        <v>10910.0</v>
      </c>
      <c r="L203" s="34" t="s">
        <v>69</v>
      </c>
      <c r="M203" s="33" t="n">
        <f>11010</f>
        <v>11010.0</v>
      </c>
      <c r="N203" s="34" t="s">
        <v>301</v>
      </c>
      <c r="O203" s="33" t="n">
        <f>10910</f>
        <v>10910.0</v>
      </c>
      <c r="P203" s="34" t="s">
        <v>69</v>
      </c>
      <c r="Q203" s="33" t="n">
        <f>11010</f>
        <v>11010.0</v>
      </c>
      <c r="R203" s="34" t="s">
        <v>301</v>
      </c>
      <c r="S203" s="35" t="n">
        <f>10960</f>
        <v>10960.0</v>
      </c>
      <c r="T203" s="32" t="n">
        <f>870</f>
        <v>870.0</v>
      </c>
      <c r="U203" s="32" t="str">
        <f>"－"</f>
        <v>－</v>
      </c>
      <c r="V203" s="32" t="n">
        <f>9528700</f>
        <v>9528700.0</v>
      </c>
      <c r="W203" s="32" t="str">
        <f>"－"</f>
        <v>－</v>
      </c>
      <c r="X203" s="36" t="n">
        <f>2</f>
        <v>2.0</v>
      </c>
    </row>
    <row r="204">
      <c r="A204" s="27" t="s">
        <v>42</v>
      </c>
      <c r="B204" s="27" t="s">
        <v>662</v>
      </c>
      <c r="C204" s="27" t="s">
        <v>663</v>
      </c>
      <c r="D204" s="27" t="s">
        <v>664</v>
      </c>
      <c r="E204" s="28" t="s">
        <v>46</v>
      </c>
      <c r="F204" s="29" t="s">
        <v>46</v>
      </c>
      <c r="G204" s="30" t="s">
        <v>46</v>
      </c>
      <c r="H204" s="31"/>
      <c r="I204" s="31" t="s">
        <v>47</v>
      </c>
      <c r="J204" s="32" t="n">
        <v>10.0</v>
      </c>
      <c r="K204" s="33" t="n">
        <f>2167.5</f>
        <v>2167.5</v>
      </c>
      <c r="L204" s="34" t="s">
        <v>48</v>
      </c>
      <c r="M204" s="33" t="n">
        <f>2184</f>
        <v>2184.0</v>
      </c>
      <c r="N204" s="34" t="s">
        <v>50</v>
      </c>
      <c r="O204" s="33" t="n">
        <f>2049.5</f>
        <v>2049.5</v>
      </c>
      <c r="P204" s="34" t="s">
        <v>91</v>
      </c>
      <c r="Q204" s="33" t="n">
        <f>2184</f>
        <v>2184.0</v>
      </c>
      <c r="R204" s="34" t="s">
        <v>50</v>
      </c>
      <c r="S204" s="35" t="n">
        <f>2129.2</f>
        <v>2129.2</v>
      </c>
      <c r="T204" s="32" t="n">
        <f>271860</f>
        <v>271860.0</v>
      </c>
      <c r="U204" s="32" t="n">
        <f>230000</f>
        <v>230000.0</v>
      </c>
      <c r="V204" s="32" t="n">
        <f>585826223</f>
        <v>5.85826223E8</v>
      </c>
      <c r="W204" s="32" t="n">
        <f>496725963</f>
        <v>4.96725963E8</v>
      </c>
      <c r="X204" s="36" t="n">
        <f>20</f>
        <v>20.0</v>
      </c>
    </row>
    <row r="205">
      <c r="A205" s="27" t="s">
        <v>42</v>
      </c>
      <c r="B205" s="27" t="s">
        <v>665</v>
      </c>
      <c r="C205" s="27" t="s">
        <v>666</v>
      </c>
      <c r="D205" s="27" t="s">
        <v>667</v>
      </c>
      <c r="E205" s="28" t="s">
        <v>46</v>
      </c>
      <c r="F205" s="29" t="s">
        <v>46</v>
      </c>
      <c r="G205" s="30" t="s">
        <v>46</v>
      </c>
      <c r="H205" s="31"/>
      <c r="I205" s="31" t="s">
        <v>47</v>
      </c>
      <c r="J205" s="32" t="n">
        <v>1.0</v>
      </c>
      <c r="K205" s="33" t="n">
        <f>1110</f>
        <v>1110.0</v>
      </c>
      <c r="L205" s="34" t="s">
        <v>48</v>
      </c>
      <c r="M205" s="33" t="n">
        <f>1123</f>
        <v>1123.0</v>
      </c>
      <c r="N205" s="34" t="s">
        <v>68</v>
      </c>
      <c r="O205" s="33" t="n">
        <f>1062</f>
        <v>1062.0</v>
      </c>
      <c r="P205" s="34" t="s">
        <v>91</v>
      </c>
      <c r="Q205" s="33" t="n">
        <f>1116</f>
        <v>1116.0</v>
      </c>
      <c r="R205" s="34" t="s">
        <v>50</v>
      </c>
      <c r="S205" s="35" t="n">
        <f>1094.75</f>
        <v>1094.75</v>
      </c>
      <c r="T205" s="32" t="n">
        <f>886046</f>
        <v>886046.0</v>
      </c>
      <c r="U205" s="32" t="n">
        <f>207000</f>
        <v>207000.0</v>
      </c>
      <c r="V205" s="32" t="n">
        <f>973100855</f>
        <v>9.73100855E8</v>
      </c>
      <c r="W205" s="32" t="n">
        <f>229305690</f>
        <v>2.2930569E8</v>
      </c>
      <c r="X205" s="36" t="n">
        <f>20</f>
        <v>20.0</v>
      </c>
    </row>
    <row r="206">
      <c r="A206" s="27" t="s">
        <v>42</v>
      </c>
      <c r="B206" s="27" t="s">
        <v>668</v>
      </c>
      <c r="C206" s="27" t="s">
        <v>669</v>
      </c>
      <c r="D206" s="27" t="s">
        <v>670</v>
      </c>
      <c r="E206" s="28" t="s">
        <v>46</v>
      </c>
      <c r="F206" s="29" t="s">
        <v>46</v>
      </c>
      <c r="G206" s="30" t="s">
        <v>46</v>
      </c>
      <c r="H206" s="31"/>
      <c r="I206" s="31" t="s">
        <v>47</v>
      </c>
      <c r="J206" s="32" t="n">
        <v>1.0</v>
      </c>
      <c r="K206" s="33" t="n">
        <f>59010</f>
        <v>59010.0</v>
      </c>
      <c r="L206" s="34" t="s">
        <v>48</v>
      </c>
      <c r="M206" s="33" t="n">
        <f>62110</f>
        <v>62110.0</v>
      </c>
      <c r="N206" s="34" t="s">
        <v>50</v>
      </c>
      <c r="O206" s="33" t="n">
        <f>57050</f>
        <v>57050.0</v>
      </c>
      <c r="P206" s="34" t="s">
        <v>69</v>
      </c>
      <c r="Q206" s="33" t="n">
        <f>61880</f>
        <v>61880.0</v>
      </c>
      <c r="R206" s="34" t="s">
        <v>50</v>
      </c>
      <c r="S206" s="35" t="n">
        <f>60038.5</f>
        <v>60038.5</v>
      </c>
      <c r="T206" s="32" t="n">
        <f>47522</f>
        <v>47522.0</v>
      </c>
      <c r="U206" s="32" t="str">
        <f>"－"</f>
        <v>－</v>
      </c>
      <c r="V206" s="32" t="n">
        <f>2845410100</f>
        <v>2.8454101E9</v>
      </c>
      <c r="W206" s="32" t="str">
        <f>"－"</f>
        <v>－</v>
      </c>
      <c r="X206" s="36" t="n">
        <f>20</f>
        <v>20.0</v>
      </c>
    </row>
    <row r="207">
      <c r="A207" s="27" t="s">
        <v>42</v>
      </c>
      <c r="B207" s="27" t="s">
        <v>671</v>
      </c>
      <c r="C207" s="27" t="s">
        <v>672</v>
      </c>
      <c r="D207" s="27" t="s">
        <v>673</v>
      </c>
      <c r="E207" s="28" t="s">
        <v>46</v>
      </c>
      <c r="F207" s="29" t="s">
        <v>46</v>
      </c>
      <c r="G207" s="30" t="s">
        <v>46</v>
      </c>
      <c r="H207" s="31"/>
      <c r="I207" s="31" t="s">
        <v>47</v>
      </c>
      <c r="J207" s="32" t="n">
        <v>1.0</v>
      </c>
      <c r="K207" s="33" t="n">
        <f>8765</f>
        <v>8765.0</v>
      </c>
      <c r="L207" s="34" t="s">
        <v>48</v>
      </c>
      <c r="M207" s="33" t="n">
        <f>8913</f>
        <v>8913.0</v>
      </c>
      <c r="N207" s="34" t="s">
        <v>69</v>
      </c>
      <c r="O207" s="33" t="n">
        <f>8522</f>
        <v>8522.0</v>
      </c>
      <c r="P207" s="34" t="s">
        <v>50</v>
      </c>
      <c r="Q207" s="33" t="n">
        <f>8536</f>
        <v>8536.0</v>
      </c>
      <c r="R207" s="34" t="s">
        <v>50</v>
      </c>
      <c r="S207" s="35" t="n">
        <f>8682.45</f>
        <v>8682.45</v>
      </c>
      <c r="T207" s="32" t="n">
        <f>798082</f>
        <v>798082.0</v>
      </c>
      <c r="U207" s="32" t="n">
        <f>675000</f>
        <v>675000.0</v>
      </c>
      <c r="V207" s="32" t="n">
        <f>7033229050</f>
        <v>7.03322905E9</v>
      </c>
      <c r="W207" s="32" t="n">
        <f>5958406500</f>
        <v>5.9584065E9</v>
      </c>
      <c r="X207" s="36" t="n">
        <f>20</f>
        <v>20.0</v>
      </c>
    </row>
    <row r="208">
      <c r="A208" s="27" t="s">
        <v>42</v>
      </c>
      <c r="B208" s="27" t="s">
        <v>674</v>
      </c>
      <c r="C208" s="27" t="s">
        <v>675</v>
      </c>
      <c r="D208" s="27" t="s">
        <v>676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10.0</v>
      </c>
      <c r="K208" s="33" t="n">
        <f>12590</f>
        <v>12590.0</v>
      </c>
      <c r="L208" s="34" t="s">
        <v>48</v>
      </c>
      <c r="M208" s="33" t="n">
        <f>13280</f>
        <v>13280.0</v>
      </c>
      <c r="N208" s="34" t="s">
        <v>50</v>
      </c>
      <c r="O208" s="33" t="n">
        <f>12175</f>
        <v>12175.0</v>
      </c>
      <c r="P208" s="34" t="s">
        <v>69</v>
      </c>
      <c r="Q208" s="33" t="n">
        <f>13230</f>
        <v>13230.0</v>
      </c>
      <c r="R208" s="34" t="s">
        <v>50</v>
      </c>
      <c r="S208" s="35" t="n">
        <f>12830.25</f>
        <v>12830.25</v>
      </c>
      <c r="T208" s="32" t="n">
        <f>16980</f>
        <v>16980.0</v>
      </c>
      <c r="U208" s="32" t="str">
        <f>"－"</f>
        <v>－</v>
      </c>
      <c r="V208" s="32" t="n">
        <f>217559150</f>
        <v>2.1755915E8</v>
      </c>
      <c r="W208" s="32" t="str">
        <f>"－"</f>
        <v>－</v>
      </c>
      <c r="X208" s="36" t="n">
        <f>20</f>
        <v>20.0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10.0</v>
      </c>
      <c r="K209" s="33" t="n">
        <f>8814</f>
        <v>8814.0</v>
      </c>
      <c r="L209" s="34" t="s">
        <v>48</v>
      </c>
      <c r="M209" s="33" t="n">
        <f>8990</f>
        <v>8990.0</v>
      </c>
      <c r="N209" s="34" t="s">
        <v>159</v>
      </c>
      <c r="O209" s="33" t="n">
        <f>8561</f>
        <v>8561.0</v>
      </c>
      <c r="P209" s="34" t="s">
        <v>50</v>
      </c>
      <c r="Q209" s="33" t="n">
        <f>8561</f>
        <v>8561.0</v>
      </c>
      <c r="R209" s="34" t="s">
        <v>50</v>
      </c>
      <c r="S209" s="35" t="n">
        <f>8726</f>
        <v>8726.0</v>
      </c>
      <c r="T209" s="32" t="n">
        <f>2480</f>
        <v>2480.0</v>
      </c>
      <c r="U209" s="32" t="str">
        <f>"－"</f>
        <v>－</v>
      </c>
      <c r="V209" s="32" t="n">
        <f>21621230</f>
        <v>2.162123E7</v>
      </c>
      <c r="W209" s="32" t="str">
        <f>"－"</f>
        <v>－</v>
      </c>
      <c r="X209" s="36" t="n">
        <f>20</f>
        <v>20.0</v>
      </c>
    </row>
    <row r="210">
      <c r="A210" s="27" t="s">
        <v>42</v>
      </c>
      <c r="B210" s="27" t="s">
        <v>680</v>
      </c>
      <c r="C210" s="27" t="s">
        <v>681</v>
      </c>
      <c r="D210" s="27" t="s">
        <v>682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10.0</v>
      </c>
      <c r="K210" s="33" t="n">
        <f>559.7</f>
        <v>559.7</v>
      </c>
      <c r="L210" s="34" t="s">
        <v>48</v>
      </c>
      <c r="M210" s="33" t="n">
        <f>563</f>
        <v>563.0</v>
      </c>
      <c r="N210" s="34" t="s">
        <v>86</v>
      </c>
      <c r="O210" s="33" t="n">
        <f>524.9</f>
        <v>524.9</v>
      </c>
      <c r="P210" s="34" t="s">
        <v>91</v>
      </c>
      <c r="Q210" s="33" t="n">
        <f>559.3</f>
        <v>559.3</v>
      </c>
      <c r="R210" s="34" t="s">
        <v>50</v>
      </c>
      <c r="S210" s="35" t="n">
        <f>545.59</f>
        <v>545.59</v>
      </c>
      <c r="T210" s="32" t="n">
        <f>532230</f>
        <v>532230.0</v>
      </c>
      <c r="U210" s="32" t="str">
        <f>"－"</f>
        <v>－</v>
      </c>
      <c r="V210" s="32" t="n">
        <f>293836421</f>
        <v>2.93836421E8</v>
      </c>
      <c r="W210" s="32" t="str">
        <f>"－"</f>
        <v>－</v>
      </c>
      <c r="X210" s="36" t="n">
        <f>20</f>
        <v>20.0</v>
      </c>
    </row>
    <row r="211">
      <c r="A211" s="27" t="s">
        <v>42</v>
      </c>
      <c r="B211" s="27" t="s">
        <v>683</v>
      </c>
      <c r="C211" s="27" t="s">
        <v>684</v>
      </c>
      <c r="D211" s="27" t="s">
        <v>685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509</f>
        <v>509.0</v>
      </c>
      <c r="L211" s="34" t="s">
        <v>48</v>
      </c>
      <c r="M211" s="33" t="n">
        <f>535.4</f>
        <v>535.4</v>
      </c>
      <c r="N211" s="34" t="s">
        <v>117</v>
      </c>
      <c r="O211" s="33" t="n">
        <f>501</f>
        <v>501.0</v>
      </c>
      <c r="P211" s="34" t="s">
        <v>69</v>
      </c>
      <c r="Q211" s="33" t="n">
        <f>525.9</f>
        <v>525.9</v>
      </c>
      <c r="R211" s="34" t="s">
        <v>50</v>
      </c>
      <c r="S211" s="35" t="n">
        <f>516.63</f>
        <v>516.63</v>
      </c>
      <c r="T211" s="32" t="n">
        <f>63940</f>
        <v>63940.0</v>
      </c>
      <c r="U211" s="32" t="str">
        <f>"－"</f>
        <v>－</v>
      </c>
      <c r="V211" s="32" t="n">
        <f>33264211</f>
        <v>3.3264211E7</v>
      </c>
      <c r="W211" s="32" t="str">
        <f>"－"</f>
        <v>－</v>
      </c>
      <c r="X211" s="36" t="n">
        <f>19</f>
        <v>19.0</v>
      </c>
    </row>
    <row r="212">
      <c r="A212" s="27" t="s">
        <v>42</v>
      </c>
      <c r="B212" s="27" t="s">
        <v>686</v>
      </c>
      <c r="C212" s="27" t="s">
        <v>687</v>
      </c>
      <c r="D212" s="27" t="s">
        <v>688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1269</f>
        <v>1269.0</v>
      </c>
      <c r="L212" s="34" t="s">
        <v>48</v>
      </c>
      <c r="M212" s="33" t="n">
        <f>1307</f>
        <v>1307.0</v>
      </c>
      <c r="N212" s="34" t="s">
        <v>50</v>
      </c>
      <c r="O212" s="33" t="n">
        <f>1211</f>
        <v>1211.0</v>
      </c>
      <c r="P212" s="34" t="s">
        <v>69</v>
      </c>
      <c r="Q212" s="33" t="n">
        <f>1307</f>
        <v>1307.0</v>
      </c>
      <c r="R212" s="34" t="s">
        <v>50</v>
      </c>
      <c r="S212" s="35" t="n">
        <f>1256.6</f>
        <v>1256.6</v>
      </c>
      <c r="T212" s="32" t="n">
        <f>1810250</f>
        <v>1810250.0</v>
      </c>
      <c r="U212" s="32" t="n">
        <f>811866</f>
        <v>811866.0</v>
      </c>
      <c r="V212" s="32" t="n">
        <f>2274452354</f>
        <v>2.274452354E9</v>
      </c>
      <c r="W212" s="32" t="n">
        <f>1016821565</f>
        <v>1.016821565E9</v>
      </c>
      <c r="X212" s="36" t="n">
        <f>20</f>
        <v>20.0</v>
      </c>
    </row>
    <row r="213">
      <c r="A213" s="27" t="s">
        <v>42</v>
      </c>
      <c r="B213" s="27" t="s">
        <v>689</v>
      </c>
      <c r="C213" s="27" t="s">
        <v>690</v>
      </c>
      <c r="D213" s="27" t="s">
        <v>691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1340</f>
        <v>1340.0</v>
      </c>
      <c r="L213" s="34" t="s">
        <v>48</v>
      </c>
      <c r="M213" s="33" t="n">
        <f>1388</f>
        <v>1388.0</v>
      </c>
      <c r="N213" s="34" t="s">
        <v>50</v>
      </c>
      <c r="O213" s="33" t="n">
        <f>1287</f>
        <v>1287.0</v>
      </c>
      <c r="P213" s="34" t="s">
        <v>49</v>
      </c>
      <c r="Q213" s="33" t="n">
        <f>1384</f>
        <v>1384.0</v>
      </c>
      <c r="R213" s="34" t="s">
        <v>50</v>
      </c>
      <c r="S213" s="35" t="n">
        <f>1334</f>
        <v>1334.0</v>
      </c>
      <c r="T213" s="32" t="n">
        <f>2006885</f>
        <v>2006885.0</v>
      </c>
      <c r="U213" s="32" t="n">
        <f>759301</f>
        <v>759301.0</v>
      </c>
      <c r="V213" s="32" t="n">
        <f>2671108457</f>
        <v>2.671108457E9</v>
      </c>
      <c r="W213" s="32" t="n">
        <f>1001100403</f>
        <v>1.001100403E9</v>
      </c>
      <c r="X213" s="36" t="n">
        <f>20</f>
        <v>20.0</v>
      </c>
    </row>
    <row r="214">
      <c r="A214" s="27" t="s">
        <v>42</v>
      </c>
      <c r="B214" s="27" t="s">
        <v>692</v>
      </c>
      <c r="C214" s="27" t="s">
        <v>693</v>
      </c>
      <c r="D214" s="27" t="s">
        <v>694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795</f>
        <v>795.0</v>
      </c>
      <c r="L214" s="34" t="s">
        <v>86</v>
      </c>
      <c r="M214" s="33" t="n">
        <f>811.4</f>
        <v>811.4</v>
      </c>
      <c r="N214" s="34" t="s">
        <v>104</v>
      </c>
      <c r="O214" s="33" t="n">
        <f>781.4</f>
        <v>781.4</v>
      </c>
      <c r="P214" s="34" t="s">
        <v>104</v>
      </c>
      <c r="Q214" s="33" t="n">
        <f>809.7</f>
        <v>809.7</v>
      </c>
      <c r="R214" s="34" t="s">
        <v>50</v>
      </c>
      <c r="S214" s="35" t="n">
        <f>794.67</f>
        <v>794.67</v>
      </c>
      <c r="T214" s="32" t="n">
        <f>105890</f>
        <v>105890.0</v>
      </c>
      <c r="U214" s="32" t="n">
        <f>50000</f>
        <v>50000.0</v>
      </c>
      <c r="V214" s="32" t="n">
        <f>83485341</f>
        <v>8.3485341E7</v>
      </c>
      <c r="W214" s="32" t="n">
        <f>39230000</f>
        <v>3.923E7</v>
      </c>
      <c r="X214" s="36" t="n">
        <f>14</f>
        <v>14.0</v>
      </c>
    </row>
    <row r="215">
      <c r="A215" s="27" t="s">
        <v>42</v>
      </c>
      <c r="B215" s="27" t="s">
        <v>695</v>
      </c>
      <c r="C215" s="27" t="s">
        <v>696</v>
      </c>
      <c r="D215" s="27" t="s">
        <v>697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830.7</f>
        <v>830.7</v>
      </c>
      <c r="L215" s="34" t="s">
        <v>48</v>
      </c>
      <c r="M215" s="33" t="n">
        <f>830.7</f>
        <v>830.7</v>
      </c>
      <c r="N215" s="34" t="s">
        <v>48</v>
      </c>
      <c r="O215" s="33" t="n">
        <f>784.9</f>
        <v>784.9</v>
      </c>
      <c r="P215" s="34" t="s">
        <v>267</v>
      </c>
      <c r="Q215" s="33" t="n">
        <f>794.3</f>
        <v>794.3</v>
      </c>
      <c r="R215" s="34" t="s">
        <v>50</v>
      </c>
      <c r="S215" s="35" t="n">
        <f>795.23</f>
        <v>795.23</v>
      </c>
      <c r="T215" s="32" t="n">
        <f>36880</f>
        <v>36880.0</v>
      </c>
      <c r="U215" s="32" t="str">
        <f>"－"</f>
        <v>－</v>
      </c>
      <c r="V215" s="32" t="n">
        <f>29248694</f>
        <v>2.9248694E7</v>
      </c>
      <c r="W215" s="32" t="str">
        <f>"－"</f>
        <v>－</v>
      </c>
      <c r="X215" s="36" t="n">
        <f>17</f>
        <v>17.0</v>
      </c>
    </row>
    <row r="216">
      <c r="A216" s="27" t="s">
        <v>42</v>
      </c>
      <c r="B216" s="27" t="s">
        <v>698</v>
      </c>
      <c r="C216" s="27" t="s">
        <v>699</v>
      </c>
      <c r="D216" s="27" t="s">
        <v>700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12015</f>
        <v>12015.0</v>
      </c>
      <c r="L216" s="34" t="s">
        <v>48</v>
      </c>
      <c r="M216" s="33" t="n">
        <f>12140</f>
        <v>12140.0</v>
      </c>
      <c r="N216" s="34" t="s">
        <v>50</v>
      </c>
      <c r="O216" s="33" t="n">
        <f>11560</f>
        <v>11560.0</v>
      </c>
      <c r="P216" s="34" t="s">
        <v>91</v>
      </c>
      <c r="Q216" s="33" t="n">
        <f>12140</f>
        <v>12140.0</v>
      </c>
      <c r="R216" s="34" t="s">
        <v>50</v>
      </c>
      <c r="S216" s="35" t="n">
        <f>11864.75</f>
        <v>11864.75</v>
      </c>
      <c r="T216" s="32" t="n">
        <f>130354</f>
        <v>130354.0</v>
      </c>
      <c r="U216" s="32" t="n">
        <f>83000</f>
        <v>83000.0</v>
      </c>
      <c r="V216" s="32" t="n">
        <f>1558211307</f>
        <v>1.558211307E9</v>
      </c>
      <c r="W216" s="32" t="n">
        <f>998757017</f>
        <v>9.98757017E8</v>
      </c>
      <c r="X216" s="36" t="n">
        <f>20</f>
        <v>20.0</v>
      </c>
    </row>
    <row r="217">
      <c r="A217" s="27" t="s">
        <v>42</v>
      </c>
      <c r="B217" s="27" t="s">
        <v>701</v>
      </c>
      <c r="C217" s="27" t="s">
        <v>702</v>
      </c>
      <c r="D217" s="27" t="s">
        <v>703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1.0</v>
      </c>
      <c r="K217" s="33" t="n">
        <f>37120</f>
        <v>37120.0</v>
      </c>
      <c r="L217" s="34" t="s">
        <v>48</v>
      </c>
      <c r="M217" s="33" t="n">
        <f>38040</f>
        <v>38040.0</v>
      </c>
      <c r="N217" s="34" t="s">
        <v>50</v>
      </c>
      <c r="O217" s="33" t="n">
        <f>36690</f>
        <v>36690.0</v>
      </c>
      <c r="P217" s="34" t="s">
        <v>267</v>
      </c>
      <c r="Q217" s="33" t="n">
        <f>37890</f>
        <v>37890.0</v>
      </c>
      <c r="R217" s="34" t="s">
        <v>50</v>
      </c>
      <c r="S217" s="35" t="n">
        <f>37293</f>
        <v>37293.0</v>
      </c>
      <c r="T217" s="32" t="n">
        <f>16228</f>
        <v>16228.0</v>
      </c>
      <c r="U217" s="32" t="n">
        <f>15926</f>
        <v>15926.0</v>
      </c>
      <c r="V217" s="32" t="n">
        <f>610984462</f>
        <v>6.10984462E8</v>
      </c>
      <c r="W217" s="32" t="n">
        <f>599744492</f>
        <v>5.99744492E8</v>
      </c>
      <c r="X217" s="36" t="n">
        <f>10</f>
        <v>10.0</v>
      </c>
    </row>
    <row r="218">
      <c r="A218" s="27" t="s">
        <v>42</v>
      </c>
      <c r="B218" s="27" t="s">
        <v>704</v>
      </c>
      <c r="C218" s="27" t="s">
        <v>705</v>
      </c>
      <c r="D218" s="27" t="s">
        <v>706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29545</f>
        <v>29545.0</v>
      </c>
      <c r="L218" s="34" t="s">
        <v>48</v>
      </c>
      <c r="M218" s="33" t="n">
        <f>29545</f>
        <v>29545.0</v>
      </c>
      <c r="N218" s="34" t="s">
        <v>48</v>
      </c>
      <c r="O218" s="33" t="n">
        <f>26875</f>
        <v>26875.0</v>
      </c>
      <c r="P218" s="34" t="s">
        <v>50</v>
      </c>
      <c r="Q218" s="33" t="n">
        <f>26960</f>
        <v>26960.0</v>
      </c>
      <c r="R218" s="34" t="s">
        <v>50</v>
      </c>
      <c r="S218" s="35" t="n">
        <f>27850.26</f>
        <v>27850.26</v>
      </c>
      <c r="T218" s="32" t="n">
        <f>10465</f>
        <v>10465.0</v>
      </c>
      <c r="U218" s="32" t="str">
        <f>"－"</f>
        <v>－</v>
      </c>
      <c r="V218" s="32" t="n">
        <f>292897105</f>
        <v>2.92897105E8</v>
      </c>
      <c r="W218" s="32" t="str">
        <f>"－"</f>
        <v>－</v>
      </c>
      <c r="X218" s="36" t="n">
        <f>19</f>
        <v>19.0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205.4</f>
        <v>205.4</v>
      </c>
      <c r="L219" s="34" t="s">
        <v>48</v>
      </c>
      <c r="M219" s="33" t="n">
        <f>206.5</f>
        <v>206.5</v>
      </c>
      <c r="N219" s="34" t="s">
        <v>90</v>
      </c>
      <c r="O219" s="33" t="n">
        <f>196.2</f>
        <v>196.2</v>
      </c>
      <c r="P219" s="34" t="s">
        <v>49</v>
      </c>
      <c r="Q219" s="33" t="n">
        <f>205.5</f>
        <v>205.5</v>
      </c>
      <c r="R219" s="34" t="s">
        <v>50</v>
      </c>
      <c r="S219" s="35" t="n">
        <f>201.99</f>
        <v>201.99</v>
      </c>
      <c r="T219" s="32" t="n">
        <f>85810</f>
        <v>85810.0</v>
      </c>
      <c r="U219" s="32" t="str">
        <f>"－"</f>
        <v>－</v>
      </c>
      <c r="V219" s="32" t="n">
        <f>17488584</f>
        <v>1.7488584E7</v>
      </c>
      <c r="W219" s="32" t="str">
        <f>"－"</f>
        <v>－</v>
      </c>
      <c r="X219" s="36" t="n">
        <f>20</f>
        <v>20.0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749.8</f>
        <v>749.8</v>
      </c>
      <c r="L220" s="34" t="s">
        <v>48</v>
      </c>
      <c r="M220" s="33" t="n">
        <f>778.1</f>
        <v>778.1</v>
      </c>
      <c r="N220" s="34" t="s">
        <v>50</v>
      </c>
      <c r="O220" s="33" t="n">
        <f>748.8</f>
        <v>748.8</v>
      </c>
      <c r="P220" s="34" t="s">
        <v>184</v>
      </c>
      <c r="Q220" s="33" t="n">
        <f>768.2</f>
        <v>768.2</v>
      </c>
      <c r="R220" s="34" t="s">
        <v>50</v>
      </c>
      <c r="S220" s="35" t="n">
        <f>756.3</f>
        <v>756.3</v>
      </c>
      <c r="T220" s="32" t="n">
        <f>145180</f>
        <v>145180.0</v>
      </c>
      <c r="U220" s="32" t="str">
        <f>"－"</f>
        <v>－</v>
      </c>
      <c r="V220" s="32" t="n">
        <f>110917408</f>
        <v>1.10917408E8</v>
      </c>
      <c r="W220" s="32" t="str">
        <f>"－"</f>
        <v>－</v>
      </c>
      <c r="X220" s="36" t="n">
        <f>20</f>
        <v>20.0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716</v>
      </c>
      <c r="F221" s="29" t="s">
        <v>717</v>
      </c>
      <c r="G221" s="30" t="s">
        <v>718</v>
      </c>
      <c r="H221" s="31"/>
      <c r="I221" s="31" t="s">
        <v>47</v>
      </c>
      <c r="J221" s="32" t="n">
        <v>1.0</v>
      </c>
      <c r="K221" s="33" t="n">
        <f>1005</f>
        <v>1005.0</v>
      </c>
      <c r="L221" s="34" t="s">
        <v>64</v>
      </c>
      <c r="M221" s="33" t="n">
        <f>1032</f>
        <v>1032.0</v>
      </c>
      <c r="N221" s="34" t="s">
        <v>50</v>
      </c>
      <c r="O221" s="33" t="n">
        <f>992</f>
        <v>992.0</v>
      </c>
      <c r="P221" s="34" t="s">
        <v>91</v>
      </c>
      <c r="Q221" s="33" t="n">
        <f>1029</f>
        <v>1029.0</v>
      </c>
      <c r="R221" s="34" t="s">
        <v>50</v>
      </c>
      <c r="S221" s="35" t="n">
        <f>1016.5</f>
        <v>1016.5</v>
      </c>
      <c r="T221" s="32" t="n">
        <f>1198145</f>
        <v>1198145.0</v>
      </c>
      <c r="U221" s="32" t="n">
        <f>992000</f>
        <v>992000.0</v>
      </c>
      <c r="V221" s="32" t="n">
        <f>1204637612</f>
        <v>1.204637612E9</v>
      </c>
      <c r="W221" s="32" t="n">
        <f>994120648</f>
        <v>9.94120648E8</v>
      </c>
      <c r="X221" s="36" t="n">
        <f>12</f>
        <v>12.0</v>
      </c>
    </row>
    <row r="222">
      <c r="A222" s="27" t="s">
        <v>42</v>
      </c>
      <c r="B222" s="27" t="s">
        <v>719</v>
      </c>
      <c r="C222" s="27" t="s">
        <v>720</v>
      </c>
      <c r="D222" s="27" t="s">
        <v>721</v>
      </c>
      <c r="E222" s="28" t="s">
        <v>716</v>
      </c>
      <c r="F222" s="29" t="s">
        <v>717</v>
      </c>
      <c r="G222" s="30" t="s">
        <v>718</v>
      </c>
      <c r="H222" s="31"/>
      <c r="I222" s="31" t="s">
        <v>47</v>
      </c>
      <c r="J222" s="32" t="n">
        <v>1.0</v>
      </c>
      <c r="K222" s="33" t="n">
        <f>1000</f>
        <v>1000.0</v>
      </c>
      <c r="L222" s="34" t="s">
        <v>64</v>
      </c>
      <c r="M222" s="33" t="n">
        <f>1042</f>
        <v>1042.0</v>
      </c>
      <c r="N222" s="34" t="s">
        <v>50</v>
      </c>
      <c r="O222" s="33" t="n">
        <f>986</f>
        <v>986.0</v>
      </c>
      <c r="P222" s="34" t="s">
        <v>227</v>
      </c>
      <c r="Q222" s="33" t="n">
        <f>1042</f>
        <v>1042.0</v>
      </c>
      <c r="R222" s="34" t="s">
        <v>50</v>
      </c>
      <c r="S222" s="35" t="n">
        <f>1015</f>
        <v>1015.0</v>
      </c>
      <c r="T222" s="32" t="n">
        <f>126727</f>
        <v>126727.0</v>
      </c>
      <c r="U222" s="32" t="str">
        <f>"－"</f>
        <v>－</v>
      </c>
      <c r="V222" s="32" t="n">
        <f>128502761</f>
        <v>1.28502761E8</v>
      </c>
      <c r="W222" s="32" t="str">
        <f>"－"</f>
        <v>－</v>
      </c>
      <c r="X222" s="36" t="n">
        <f>12</f>
        <v>12.0</v>
      </c>
    </row>
    <row r="223">
      <c r="A223" s="27" t="s">
        <v>42</v>
      </c>
      <c r="B223" s="27" t="s">
        <v>722</v>
      </c>
      <c r="C223" s="27" t="s">
        <v>723</v>
      </c>
      <c r="D223" s="27" t="s">
        <v>724</v>
      </c>
      <c r="E223" s="28" t="s">
        <v>716</v>
      </c>
      <c r="F223" s="29" t="s">
        <v>717</v>
      </c>
      <c r="G223" s="30" t="s">
        <v>718</v>
      </c>
      <c r="H223" s="31"/>
      <c r="I223" s="31" t="s">
        <v>47</v>
      </c>
      <c r="J223" s="32" t="n">
        <v>1.0</v>
      </c>
      <c r="K223" s="33" t="n">
        <f>1014</f>
        <v>1014.0</v>
      </c>
      <c r="L223" s="34" t="s">
        <v>64</v>
      </c>
      <c r="M223" s="33" t="n">
        <f>1023</f>
        <v>1023.0</v>
      </c>
      <c r="N223" s="34" t="s">
        <v>50</v>
      </c>
      <c r="O223" s="33" t="n">
        <f>952</f>
        <v>952.0</v>
      </c>
      <c r="P223" s="34" t="s">
        <v>68</v>
      </c>
      <c r="Q223" s="33" t="n">
        <f>1014</f>
        <v>1014.0</v>
      </c>
      <c r="R223" s="34" t="s">
        <v>50</v>
      </c>
      <c r="S223" s="35" t="n">
        <f>976.83</f>
        <v>976.83</v>
      </c>
      <c r="T223" s="32" t="n">
        <f>201859</f>
        <v>201859.0</v>
      </c>
      <c r="U223" s="32" t="str">
        <f>"－"</f>
        <v>－</v>
      </c>
      <c r="V223" s="32" t="n">
        <f>197687148</f>
        <v>1.97687148E8</v>
      </c>
      <c r="W223" s="32" t="str">
        <f>"－"</f>
        <v>－</v>
      </c>
      <c r="X223" s="36" t="n">
        <f>12</f>
        <v>12.0</v>
      </c>
    </row>
    <row r="224">
      <c r="A224" s="27" t="s">
        <v>42</v>
      </c>
      <c r="B224" s="27" t="s">
        <v>725</v>
      </c>
      <c r="C224" s="27" t="s">
        <v>726</v>
      </c>
      <c r="D224" s="27" t="s">
        <v>727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959.9</f>
        <v>959.9</v>
      </c>
      <c r="L224" s="34" t="s">
        <v>48</v>
      </c>
      <c r="M224" s="33" t="n">
        <f>960.5</f>
        <v>960.5</v>
      </c>
      <c r="N224" s="34" t="s">
        <v>184</v>
      </c>
      <c r="O224" s="33" t="n">
        <f>943</f>
        <v>943.0</v>
      </c>
      <c r="P224" s="34" t="s">
        <v>50</v>
      </c>
      <c r="Q224" s="33" t="n">
        <f>943</f>
        <v>943.0</v>
      </c>
      <c r="R224" s="34" t="s">
        <v>50</v>
      </c>
      <c r="S224" s="35" t="n">
        <f>952.07</f>
        <v>952.07</v>
      </c>
      <c r="T224" s="32" t="n">
        <f>1909630</f>
        <v>1909630.0</v>
      </c>
      <c r="U224" s="32" t="n">
        <f>923490</f>
        <v>923490.0</v>
      </c>
      <c r="V224" s="32" t="n">
        <f>1817598022</f>
        <v>1.817598022E9</v>
      </c>
      <c r="W224" s="32" t="n">
        <f>878988435</f>
        <v>8.78988435E8</v>
      </c>
      <c r="X224" s="36" t="n">
        <f>20</f>
        <v>20.0</v>
      </c>
    </row>
    <row r="225">
      <c r="A225" s="27" t="s">
        <v>42</v>
      </c>
      <c r="B225" s="27" t="s">
        <v>728</v>
      </c>
      <c r="C225" s="27" t="s">
        <v>729</v>
      </c>
      <c r="D225" s="27" t="s">
        <v>730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1049</f>
        <v>1049.0</v>
      </c>
      <c r="L225" s="34" t="s">
        <v>48</v>
      </c>
      <c r="M225" s="33" t="n">
        <f>1049</f>
        <v>1049.0</v>
      </c>
      <c r="N225" s="34" t="s">
        <v>48</v>
      </c>
      <c r="O225" s="33" t="n">
        <f>992</f>
        <v>992.0</v>
      </c>
      <c r="P225" s="34" t="s">
        <v>117</v>
      </c>
      <c r="Q225" s="33" t="n">
        <f>1026</f>
        <v>1026.0</v>
      </c>
      <c r="R225" s="34" t="s">
        <v>50</v>
      </c>
      <c r="S225" s="35" t="n">
        <f>1023</f>
        <v>1023.0</v>
      </c>
      <c r="T225" s="32" t="n">
        <f>2781140</f>
        <v>2781140.0</v>
      </c>
      <c r="U225" s="32" t="n">
        <f>1738780</f>
        <v>1738780.0</v>
      </c>
      <c r="V225" s="32" t="n">
        <f>2840699013</f>
        <v>2.840699013E9</v>
      </c>
      <c r="W225" s="32" t="n">
        <f>1777746667</f>
        <v>1.777746667E9</v>
      </c>
      <c r="X225" s="36" t="n">
        <f>20</f>
        <v>20.0</v>
      </c>
    </row>
    <row r="226">
      <c r="A226" s="27" t="s">
        <v>42</v>
      </c>
      <c r="B226" s="27" t="s">
        <v>731</v>
      </c>
      <c r="C226" s="27" t="s">
        <v>732</v>
      </c>
      <c r="D226" s="27" t="s">
        <v>733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824</f>
        <v>824.0</v>
      </c>
      <c r="L226" s="34" t="s">
        <v>48</v>
      </c>
      <c r="M226" s="33" t="n">
        <f>826</f>
        <v>826.0</v>
      </c>
      <c r="N226" s="34" t="s">
        <v>48</v>
      </c>
      <c r="O226" s="33" t="n">
        <f>805</f>
        <v>805.0</v>
      </c>
      <c r="P226" s="34" t="s">
        <v>69</v>
      </c>
      <c r="Q226" s="33" t="n">
        <f>814</f>
        <v>814.0</v>
      </c>
      <c r="R226" s="34" t="s">
        <v>50</v>
      </c>
      <c r="S226" s="35" t="n">
        <f>814.53</f>
        <v>814.53</v>
      </c>
      <c r="T226" s="32" t="n">
        <f>1612730</f>
        <v>1612730.0</v>
      </c>
      <c r="U226" s="32" t="n">
        <f>1091520</f>
        <v>1091520.0</v>
      </c>
      <c r="V226" s="32" t="n">
        <f>1311326638</f>
        <v>1.311326638E9</v>
      </c>
      <c r="W226" s="32" t="n">
        <f>888622134</f>
        <v>8.88622134E8</v>
      </c>
      <c r="X226" s="36" t="n">
        <f>20</f>
        <v>20.0</v>
      </c>
    </row>
    <row r="227">
      <c r="A227" s="27" t="s">
        <v>42</v>
      </c>
      <c r="B227" s="27" t="s">
        <v>734</v>
      </c>
      <c r="C227" s="27" t="s">
        <v>735</v>
      </c>
      <c r="D227" s="27" t="s">
        <v>736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1968</f>
        <v>1968.0</v>
      </c>
      <c r="L227" s="34" t="s">
        <v>48</v>
      </c>
      <c r="M227" s="33" t="n">
        <f>1985</f>
        <v>1985.0</v>
      </c>
      <c r="N227" s="34" t="s">
        <v>50</v>
      </c>
      <c r="O227" s="33" t="n">
        <f>1888</f>
        <v>1888.0</v>
      </c>
      <c r="P227" s="34" t="s">
        <v>49</v>
      </c>
      <c r="Q227" s="33" t="n">
        <f>1982.5</f>
        <v>1982.5</v>
      </c>
      <c r="R227" s="34" t="s">
        <v>50</v>
      </c>
      <c r="S227" s="35" t="n">
        <f>1938.13</f>
        <v>1938.13</v>
      </c>
      <c r="T227" s="32" t="n">
        <f>711850</f>
        <v>711850.0</v>
      </c>
      <c r="U227" s="32" t="n">
        <f>189850</f>
        <v>189850.0</v>
      </c>
      <c r="V227" s="32" t="n">
        <f>1375731833</f>
        <v>1.375731833E9</v>
      </c>
      <c r="W227" s="32" t="n">
        <f>368469048</f>
        <v>3.68469048E8</v>
      </c>
      <c r="X227" s="36" t="n">
        <f>20</f>
        <v>20.0</v>
      </c>
    </row>
    <row r="228">
      <c r="A228" s="27" t="s">
        <v>42</v>
      </c>
      <c r="B228" s="27" t="s">
        <v>737</v>
      </c>
      <c r="C228" s="27" t="s">
        <v>738</v>
      </c>
      <c r="D228" s="27" t="s">
        <v>739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1424.5</f>
        <v>1424.5</v>
      </c>
      <c r="L228" s="34" t="s">
        <v>48</v>
      </c>
      <c r="M228" s="33" t="n">
        <f>1458</f>
        <v>1458.0</v>
      </c>
      <c r="N228" s="34" t="s">
        <v>50</v>
      </c>
      <c r="O228" s="33" t="n">
        <f>1393</f>
        <v>1393.0</v>
      </c>
      <c r="P228" s="34" t="s">
        <v>69</v>
      </c>
      <c r="Q228" s="33" t="n">
        <f>1455.5</f>
        <v>1455.5</v>
      </c>
      <c r="R228" s="34" t="s">
        <v>50</v>
      </c>
      <c r="S228" s="35" t="n">
        <f>1430.83</f>
        <v>1430.83</v>
      </c>
      <c r="T228" s="32" t="n">
        <f>106830</f>
        <v>106830.0</v>
      </c>
      <c r="U228" s="32" t="str">
        <f>"－"</f>
        <v>－</v>
      </c>
      <c r="V228" s="32" t="n">
        <f>152648285</f>
        <v>1.52648285E8</v>
      </c>
      <c r="W228" s="32" t="str">
        <f>"－"</f>
        <v>－</v>
      </c>
      <c r="X228" s="36" t="n">
        <f>20</f>
        <v>20.0</v>
      </c>
    </row>
    <row r="229">
      <c r="A229" s="27" t="s">
        <v>42</v>
      </c>
      <c r="B229" s="27" t="s">
        <v>740</v>
      </c>
      <c r="C229" s="27" t="s">
        <v>741</v>
      </c>
      <c r="D229" s="27" t="s">
        <v>742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1235.5</f>
        <v>1235.5</v>
      </c>
      <c r="L229" s="34" t="s">
        <v>48</v>
      </c>
      <c r="M229" s="33" t="n">
        <f>1272</f>
        <v>1272.0</v>
      </c>
      <c r="N229" s="34" t="s">
        <v>70</v>
      </c>
      <c r="O229" s="33" t="n">
        <f>1207</f>
        <v>1207.0</v>
      </c>
      <c r="P229" s="34" t="s">
        <v>159</v>
      </c>
      <c r="Q229" s="33" t="n">
        <f>1244.5</f>
        <v>1244.5</v>
      </c>
      <c r="R229" s="34" t="s">
        <v>50</v>
      </c>
      <c r="S229" s="35" t="n">
        <f>1237.18</f>
        <v>1237.18</v>
      </c>
      <c r="T229" s="32" t="n">
        <f>427050</f>
        <v>427050.0</v>
      </c>
      <c r="U229" s="32" t="n">
        <f>24360</f>
        <v>24360.0</v>
      </c>
      <c r="V229" s="32" t="n">
        <f>529188214</f>
        <v>5.29188214E8</v>
      </c>
      <c r="W229" s="32" t="n">
        <f>30270399</f>
        <v>3.0270399E7</v>
      </c>
      <c r="X229" s="36" t="n">
        <f>20</f>
        <v>20.0</v>
      </c>
    </row>
    <row r="230">
      <c r="A230" s="27" t="s">
        <v>42</v>
      </c>
      <c r="B230" s="27" t="s">
        <v>743</v>
      </c>
      <c r="C230" s="27" t="s">
        <v>744</v>
      </c>
      <c r="D230" s="27" t="s">
        <v>745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638.8</f>
        <v>638.8</v>
      </c>
      <c r="L230" s="34" t="s">
        <v>48</v>
      </c>
      <c r="M230" s="33" t="n">
        <f>639.5</f>
        <v>639.5</v>
      </c>
      <c r="N230" s="34" t="s">
        <v>48</v>
      </c>
      <c r="O230" s="33" t="n">
        <f>582.5</f>
        <v>582.5</v>
      </c>
      <c r="P230" s="34" t="s">
        <v>117</v>
      </c>
      <c r="Q230" s="33" t="n">
        <f>606</f>
        <v>606.0</v>
      </c>
      <c r="R230" s="34" t="s">
        <v>50</v>
      </c>
      <c r="S230" s="35" t="n">
        <f>608.55</f>
        <v>608.55</v>
      </c>
      <c r="T230" s="32" t="n">
        <f>33354960</f>
        <v>3.335496E7</v>
      </c>
      <c r="U230" s="32" t="n">
        <f>524920</f>
        <v>524920.0</v>
      </c>
      <c r="V230" s="32" t="n">
        <f>20278764869</f>
        <v>2.0278764869E10</v>
      </c>
      <c r="W230" s="32" t="n">
        <f>316875769</f>
        <v>3.16875769E8</v>
      </c>
      <c r="X230" s="36" t="n">
        <f>20</f>
        <v>20.0</v>
      </c>
    </row>
    <row r="231">
      <c r="A231" s="27" t="s">
        <v>42</v>
      </c>
      <c r="B231" s="27" t="s">
        <v>746</v>
      </c>
      <c r="C231" s="27" t="s">
        <v>747</v>
      </c>
      <c r="D231" s="27" t="s">
        <v>748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1130</f>
        <v>1130.0</v>
      </c>
      <c r="L231" s="34" t="s">
        <v>48</v>
      </c>
      <c r="M231" s="33" t="n">
        <f>1150</f>
        <v>1150.0</v>
      </c>
      <c r="N231" s="34" t="s">
        <v>104</v>
      </c>
      <c r="O231" s="33" t="n">
        <f>1110</f>
        <v>1110.0</v>
      </c>
      <c r="P231" s="34" t="s">
        <v>69</v>
      </c>
      <c r="Q231" s="33" t="n">
        <f>1142.5</f>
        <v>1142.5</v>
      </c>
      <c r="R231" s="34" t="s">
        <v>50</v>
      </c>
      <c r="S231" s="35" t="n">
        <f>1130.28</f>
        <v>1130.28</v>
      </c>
      <c r="T231" s="32" t="n">
        <f>566690</f>
        <v>566690.0</v>
      </c>
      <c r="U231" s="32" t="n">
        <f>530000</f>
        <v>530000.0</v>
      </c>
      <c r="V231" s="32" t="n">
        <f>644109285</f>
        <v>6.44109285E8</v>
      </c>
      <c r="W231" s="32" t="n">
        <f>602721800</f>
        <v>6.027218E8</v>
      </c>
      <c r="X231" s="36" t="n">
        <f>20</f>
        <v>20.0</v>
      </c>
    </row>
    <row r="232">
      <c r="A232" s="27" t="s">
        <v>42</v>
      </c>
      <c r="B232" s="27" t="s">
        <v>749</v>
      </c>
      <c r="C232" s="27" t="s">
        <v>750</v>
      </c>
      <c r="D232" s="27" t="s">
        <v>751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1268</f>
        <v>1268.0</v>
      </c>
      <c r="L232" s="34" t="s">
        <v>48</v>
      </c>
      <c r="M232" s="33" t="n">
        <f>1280</f>
        <v>1280.0</v>
      </c>
      <c r="N232" s="34" t="s">
        <v>50</v>
      </c>
      <c r="O232" s="33" t="n">
        <f>1216</f>
        <v>1216.0</v>
      </c>
      <c r="P232" s="34" t="s">
        <v>49</v>
      </c>
      <c r="Q232" s="33" t="n">
        <f>1274</f>
        <v>1274.0</v>
      </c>
      <c r="R232" s="34" t="s">
        <v>50</v>
      </c>
      <c r="S232" s="35" t="n">
        <f>1246.15</f>
        <v>1246.15</v>
      </c>
      <c r="T232" s="32" t="n">
        <f>474191</f>
        <v>474191.0</v>
      </c>
      <c r="U232" s="32" t="n">
        <f>216006</f>
        <v>216006.0</v>
      </c>
      <c r="V232" s="32" t="n">
        <f>593935751</f>
        <v>5.93935751E8</v>
      </c>
      <c r="W232" s="32" t="n">
        <f>273045897</f>
        <v>2.73045897E8</v>
      </c>
      <c r="X232" s="36" t="n">
        <f>20</f>
        <v>20.0</v>
      </c>
    </row>
    <row r="233">
      <c r="A233" s="27" t="s">
        <v>42</v>
      </c>
      <c r="B233" s="27" t="s">
        <v>752</v>
      </c>
      <c r="C233" s="27" t="s">
        <v>753</v>
      </c>
      <c r="D233" s="27" t="s">
        <v>754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967.5</f>
        <v>967.5</v>
      </c>
      <c r="L233" s="34" t="s">
        <v>48</v>
      </c>
      <c r="M233" s="33" t="n">
        <f>970</f>
        <v>970.0</v>
      </c>
      <c r="N233" s="34" t="s">
        <v>86</v>
      </c>
      <c r="O233" s="33" t="n">
        <f>932.7</f>
        <v>932.7</v>
      </c>
      <c r="P233" s="34" t="s">
        <v>91</v>
      </c>
      <c r="Q233" s="33" t="n">
        <f>964</f>
        <v>964.0</v>
      </c>
      <c r="R233" s="34" t="s">
        <v>50</v>
      </c>
      <c r="S233" s="35" t="n">
        <f>954.29</f>
        <v>954.29</v>
      </c>
      <c r="T233" s="32" t="n">
        <f>72430</f>
        <v>72430.0</v>
      </c>
      <c r="U233" s="32" t="str">
        <f>"－"</f>
        <v>－</v>
      </c>
      <c r="V233" s="32" t="n">
        <f>69021671</f>
        <v>6.9021671E7</v>
      </c>
      <c r="W233" s="32" t="str">
        <f>"－"</f>
        <v>－</v>
      </c>
      <c r="X233" s="36" t="n">
        <f>20</f>
        <v>20.0</v>
      </c>
    </row>
    <row r="234">
      <c r="A234" s="27" t="s">
        <v>42</v>
      </c>
      <c r="B234" s="27" t="s">
        <v>755</v>
      </c>
      <c r="C234" s="27" t="s">
        <v>756</v>
      </c>
      <c r="D234" s="27" t="s">
        <v>757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1274</f>
        <v>1274.0</v>
      </c>
      <c r="L234" s="34" t="s">
        <v>48</v>
      </c>
      <c r="M234" s="33" t="n">
        <f>1309</f>
        <v>1309.0</v>
      </c>
      <c r="N234" s="34" t="s">
        <v>50</v>
      </c>
      <c r="O234" s="33" t="n">
        <f>1220</f>
        <v>1220.0</v>
      </c>
      <c r="P234" s="34" t="s">
        <v>159</v>
      </c>
      <c r="Q234" s="33" t="n">
        <f>1304.5</f>
        <v>1304.5</v>
      </c>
      <c r="R234" s="34" t="s">
        <v>50</v>
      </c>
      <c r="S234" s="35" t="n">
        <f>1257.43</f>
        <v>1257.43</v>
      </c>
      <c r="T234" s="32" t="n">
        <f>154340</f>
        <v>154340.0</v>
      </c>
      <c r="U234" s="32" t="str">
        <f>"－"</f>
        <v>－</v>
      </c>
      <c r="V234" s="32" t="n">
        <f>194527295</f>
        <v>1.94527295E8</v>
      </c>
      <c r="W234" s="32" t="str">
        <f>"－"</f>
        <v>－</v>
      </c>
      <c r="X234" s="36" t="n">
        <f>20</f>
        <v>20.0</v>
      </c>
    </row>
    <row r="235">
      <c r="A235" s="27" t="s">
        <v>42</v>
      </c>
      <c r="B235" s="27" t="s">
        <v>758</v>
      </c>
      <c r="C235" s="27" t="s">
        <v>759</v>
      </c>
      <c r="D235" s="27" t="s">
        <v>760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1463.5</f>
        <v>1463.5</v>
      </c>
      <c r="L235" s="34" t="s">
        <v>48</v>
      </c>
      <c r="M235" s="33" t="n">
        <f>1503</f>
        <v>1503.0</v>
      </c>
      <c r="N235" s="34" t="s">
        <v>50</v>
      </c>
      <c r="O235" s="33" t="n">
        <f>1439.5</f>
        <v>1439.5</v>
      </c>
      <c r="P235" s="34" t="s">
        <v>69</v>
      </c>
      <c r="Q235" s="33" t="n">
        <f>1499</f>
        <v>1499.0</v>
      </c>
      <c r="R235" s="34" t="s">
        <v>50</v>
      </c>
      <c r="S235" s="35" t="n">
        <f>1476.95</f>
        <v>1476.95</v>
      </c>
      <c r="T235" s="32" t="n">
        <f>8886230</f>
        <v>8886230.0</v>
      </c>
      <c r="U235" s="32" t="n">
        <f>5716000</f>
        <v>5716000.0</v>
      </c>
      <c r="V235" s="32" t="n">
        <f>13130000963</f>
        <v>1.3130000963E10</v>
      </c>
      <c r="W235" s="32" t="n">
        <f>8425124978</f>
        <v>8.425124978E9</v>
      </c>
      <c r="X235" s="36" t="n">
        <f>20</f>
        <v>20.0</v>
      </c>
    </row>
    <row r="236">
      <c r="A236" s="27" t="s">
        <v>42</v>
      </c>
      <c r="B236" s="27" t="s">
        <v>761</v>
      </c>
      <c r="C236" s="27" t="s">
        <v>762</v>
      </c>
      <c r="D236" s="27" t="s">
        <v>763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4550</f>
        <v>4550.0</v>
      </c>
      <c r="L236" s="34" t="s">
        <v>48</v>
      </c>
      <c r="M236" s="33" t="n">
        <f>4600</f>
        <v>4600.0</v>
      </c>
      <c r="N236" s="34" t="s">
        <v>86</v>
      </c>
      <c r="O236" s="33" t="n">
        <f>4350</f>
        <v>4350.0</v>
      </c>
      <c r="P236" s="34" t="s">
        <v>117</v>
      </c>
      <c r="Q236" s="33" t="n">
        <f>4490</f>
        <v>4490.0</v>
      </c>
      <c r="R236" s="34" t="s">
        <v>50</v>
      </c>
      <c r="S236" s="35" t="n">
        <f>4485</f>
        <v>4485.0</v>
      </c>
      <c r="T236" s="32" t="n">
        <f>32302</f>
        <v>32302.0</v>
      </c>
      <c r="U236" s="32" t="n">
        <f>2</f>
        <v>2.0</v>
      </c>
      <c r="V236" s="32" t="n">
        <f>145056975</f>
        <v>1.45056975E8</v>
      </c>
      <c r="W236" s="32" t="n">
        <f>9150</f>
        <v>9150.0</v>
      </c>
      <c r="X236" s="36" t="n">
        <f>20</f>
        <v>20.0</v>
      </c>
    </row>
    <row r="237">
      <c r="A237" s="27" t="s">
        <v>42</v>
      </c>
      <c r="B237" s="27" t="s">
        <v>764</v>
      </c>
      <c r="C237" s="27" t="s">
        <v>765</v>
      </c>
      <c r="D237" s="27" t="s">
        <v>766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1851</f>
        <v>1851.0</v>
      </c>
      <c r="L237" s="34" t="s">
        <v>86</v>
      </c>
      <c r="M237" s="33" t="n">
        <f>1954.5</f>
        <v>1954.5</v>
      </c>
      <c r="N237" s="34" t="s">
        <v>60</v>
      </c>
      <c r="O237" s="33" t="n">
        <f>1812</f>
        <v>1812.0</v>
      </c>
      <c r="P237" s="34" t="s">
        <v>69</v>
      </c>
      <c r="Q237" s="33" t="n">
        <f>1874</f>
        <v>1874.0</v>
      </c>
      <c r="R237" s="34" t="s">
        <v>50</v>
      </c>
      <c r="S237" s="35" t="n">
        <f>1873.59</f>
        <v>1873.59</v>
      </c>
      <c r="T237" s="32" t="n">
        <f>1190</f>
        <v>1190.0</v>
      </c>
      <c r="U237" s="32" t="str">
        <f>"－"</f>
        <v>－</v>
      </c>
      <c r="V237" s="32" t="n">
        <f>2211025</f>
        <v>2211025.0</v>
      </c>
      <c r="W237" s="32" t="str">
        <f>"－"</f>
        <v>－</v>
      </c>
      <c r="X237" s="36" t="n">
        <f>11</f>
        <v>11.0</v>
      </c>
    </row>
    <row r="238">
      <c r="A238" s="27" t="s">
        <v>42</v>
      </c>
      <c r="B238" s="27" t="s">
        <v>767</v>
      </c>
      <c r="C238" s="27" t="s">
        <v>768</v>
      </c>
      <c r="D238" s="27" t="s">
        <v>769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2375.5</f>
        <v>2375.5</v>
      </c>
      <c r="L238" s="34" t="s">
        <v>48</v>
      </c>
      <c r="M238" s="33" t="n">
        <f>2396.5</f>
        <v>2396.5</v>
      </c>
      <c r="N238" s="34" t="s">
        <v>50</v>
      </c>
      <c r="O238" s="33" t="n">
        <f>2281</f>
        <v>2281.0</v>
      </c>
      <c r="P238" s="34" t="s">
        <v>49</v>
      </c>
      <c r="Q238" s="33" t="n">
        <f>2395</f>
        <v>2395.0</v>
      </c>
      <c r="R238" s="34" t="s">
        <v>50</v>
      </c>
      <c r="S238" s="35" t="n">
        <f>2343.39</f>
        <v>2343.39</v>
      </c>
      <c r="T238" s="32" t="n">
        <f>1486700</f>
        <v>1486700.0</v>
      </c>
      <c r="U238" s="32" t="n">
        <f>364790</f>
        <v>364790.0</v>
      </c>
      <c r="V238" s="32" t="n">
        <f>3477442367</f>
        <v>3.477442367E9</v>
      </c>
      <c r="W238" s="32" t="n">
        <f>852118047</f>
        <v>8.52118047E8</v>
      </c>
      <c r="X238" s="36" t="n">
        <f>19</f>
        <v>19.0</v>
      </c>
    </row>
    <row r="239">
      <c r="A239" s="27" t="s">
        <v>42</v>
      </c>
      <c r="B239" s="27" t="s">
        <v>770</v>
      </c>
      <c r="C239" s="27" t="s">
        <v>771</v>
      </c>
      <c r="D239" s="27" t="s">
        <v>772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34180</f>
        <v>34180.0</v>
      </c>
      <c r="L239" s="34" t="s">
        <v>48</v>
      </c>
      <c r="M239" s="33" t="n">
        <f>34390</f>
        <v>34390.0</v>
      </c>
      <c r="N239" s="34" t="s">
        <v>48</v>
      </c>
      <c r="O239" s="33" t="n">
        <f>32480</f>
        <v>32480.0</v>
      </c>
      <c r="P239" s="34" t="s">
        <v>49</v>
      </c>
      <c r="Q239" s="33" t="n">
        <f>33750</f>
        <v>33750.0</v>
      </c>
      <c r="R239" s="34" t="s">
        <v>50</v>
      </c>
      <c r="S239" s="35" t="n">
        <f>33330.5</f>
        <v>33330.5</v>
      </c>
      <c r="T239" s="32" t="n">
        <f>188410</f>
        <v>188410.0</v>
      </c>
      <c r="U239" s="32" t="n">
        <f>100591</f>
        <v>100591.0</v>
      </c>
      <c r="V239" s="32" t="n">
        <f>6232738493</f>
        <v>6.232738493E9</v>
      </c>
      <c r="W239" s="32" t="n">
        <f>3311927523</f>
        <v>3.311927523E9</v>
      </c>
      <c r="X239" s="36" t="n">
        <f>20</f>
        <v>20.0</v>
      </c>
    </row>
    <row r="240">
      <c r="A240" s="27" t="s">
        <v>42</v>
      </c>
      <c r="B240" s="27" t="s">
        <v>773</v>
      </c>
      <c r="C240" s="27" t="s">
        <v>774</v>
      </c>
      <c r="D240" s="27" t="s">
        <v>775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20815</f>
        <v>20815.0</v>
      </c>
      <c r="L240" s="34" t="s">
        <v>69</v>
      </c>
      <c r="M240" s="33" t="n">
        <f>21175</f>
        <v>21175.0</v>
      </c>
      <c r="N240" s="34" t="s">
        <v>70</v>
      </c>
      <c r="O240" s="33" t="n">
        <f>20815</f>
        <v>20815.0</v>
      </c>
      <c r="P240" s="34" t="s">
        <v>69</v>
      </c>
      <c r="Q240" s="33" t="n">
        <f>21145</f>
        <v>21145.0</v>
      </c>
      <c r="R240" s="34" t="s">
        <v>117</v>
      </c>
      <c r="S240" s="35" t="n">
        <f>21080</f>
        <v>21080.0</v>
      </c>
      <c r="T240" s="32" t="n">
        <f>1969</f>
        <v>1969.0</v>
      </c>
      <c r="U240" s="32" t="str">
        <f>"－"</f>
        <v>－</v>
      </c>
      <c r="V240" s="32" t="n">
        <f>40999715</f>
        <v>4.0999715E7</v>
      </c>
      <c r="W240" s="32" t="str">
        <f>"－"</f>
        <v>－</v>
      </c>
      <c r="X240" s="36" t="n">
        <f>5</f>
        <v>5.0</v>
      </c>
    </row>
    <row r="241">
      <c r="A241" s="27" t="s">
        <v>42</v>
      </c>
      <c r="B241" s="27" t="s">
        <v>776</v>
      </c>
      <c r="C241" s="27" t="s">
        <v>777</v>
      </c>
      <c r="D241" s="27" t="s">
        <v>778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1149</f>
        <v>1149.0</v>
      </c>
      <c r="L241" s="34" t="s">
        <v>86</v>
      </c>
      <c r="M241" s="33" t="n">
        <f>1149</f>
        <v>1149.0</v>
      </c>
      <c r="N241" s="34" t="s">
        <v>86</v>
      </c>
      <c r="O241" s="33" t="n">
        <f>1115.5</f>
        <v>1115.5</v>
      </c>
      <c r="P241" s="34" t="s">
        <v>64</v>
      </c>
      <c r="Q241" s="33" t="n">
        <f>1139.5</f>
        <v>1139.5</v>
      </c>
      <c r="R241" s="34" t="s">
        <v>50</v>
      </c>
      <c r="S241" s="35" t="n">
        <f>1134.74</f>
        <v>1134.74</v>
      </c>
      <c r="T241" s="32" t="n">
        <f>432650</f>
        <v>432650.0</v>
      </c>
      <c r="U241" s="32" t="n">
        <f>50000</f>
        <v>50000.0</v>
      </c>
      <c r="V241" s="32" t="n">
        <f>489546090</f>
        <v>4.8954609E8</v>
      </c>
      <c r="W241" s="32" t="n">
        <f>56516800</f>
        <v>5.65168E7</v>
      </c>
      <c r="X241" s="36" t="n">
        <f>17</f>
        <v>17.0</v>
      </c>
    </row>
    <row r="242">
      <c r="A242" s="27" t="s">
        <v>42</v>
      </c>
      <c r="B242" s="27" t="s">
        <v>779</v>
      </c>
      <c r="C242" s="27" t="s">
        <v>780</v>
      </c>
      <c r="D242" s="27" t="s">
        <v>781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1122</f>
        <v>1122.0</v>
      </c>
      <c r="L242" s="34" t="s">
        <v>48</v>
      </c>
      <c r="M242" s="33" t="n">
        <f>1146</f>
        <v>1146.0</v>
      </c>
      <c r="N242" s="34" t="s">
        <v>104</v>
      </c>
      <c r="O242" s="33" t="n">
        <f>1111</f>
        <v>1111.0</v>
      </c>
      <c r="P242" s="34" t="s">
        <v>69</v>
      </c>
      <c r="Q242" s="33" t="n">
        <f>1141</f>
        <v>1141.0</v>
      </c>
      <c r="R242" s="34" t="s">
        <v>50</v>
      </c>
      <c r="S242" s="35" t="n">
        <f>1127.15</f>
        <v>1127.15</v>
      </c>
      <c r="T242" s="32" t="n">
        <f>3390</f>
        <v>3390.0</v>
      </c>
      <c r="U242" s="32" t="str">
        <f>"－"</f>
        <v>－</v>
      </c>
      <c r="V242" s="32" t="n">
        <f>3825520</f>
        <v>3825520.0</v>
      </c>
      <c r="W242" s="32" t="str">
        <f>"－"</f>
        <v>－</v>
      </c>
      <c r="X242" s="36" t="n">
        <f>17</f>
        <v>17.0</v>
      </c>
    </row>
    <row r="243">
      <c r="A243" s="27" t="s">
        <v>42</v>
      </c>
      <c r="B243" s="27" t="s">
        <v>782</v>
      </c>
      <c r="C243" s="27" t="s">
        <v>783</v>
      </c>
      <c r="D243" s="27" t="s">
        <v>784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1442</f>
        <v>1442.0</v>
      </c>
      <c r="L243" s="34" t="s">
        <v>48</v>
      </c>
      <c r="M243" s="33" t="n">
        <f>1539</f>
        <v>1539.0</v>
      </c>
      <c r="N243" s="34" t="s">
        <v>90</v>
      </c>
      <c r="O243" s="33" t="n">
        <f>1402</f>
        <v>1402.0</v>
      </c>
      <c r="P243" s="34" t="s">
        <v>64</v>
      </c>
      <c r="Q243" s="33" t="n">
        <f>1472</f>
        <v>1472.0</v>
      </c>
      <c r="R243" s="34" t="s">
        <v>50</v>
      </c>
      <c r="S243" s="35" t="n">
        <f>1443.8</f>
        <v>1443.8</v>
      </c>
      <c r="T243" s="32" t="n">
        <f>781539</f>
        <v>781539.0</v>
      </c>
      <c r="U243" s="32" t="n">
        <f>381512</f>
        <v>381512.0</v>
      </c>
      <c r="V243" s="32" t="n">
        <f>1118856013</f>
        <v>1.118856013E9</v>
      </c>
      <c r="W243" s="32" t="n">
        <f>540190680</f>
        <v>5.4019068E8</v>
      </c>
      <c r="X243" s="36" t="n">
        <f>20</f>
        <v>20.0</v>
      </c>
    </row>
    <row r="244">
      <c r="A244" s="27" t="s">
        <v>42</v>
      </c>
      <c r="B244" s="27" t="s">
        <v>785</v>
      </c>
      <c r="C244" s="27" t="s">
        <v>786</v>
      </c>
      <c r="D244" s="27" t="s">
        <v>787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13350</f>
        <v>13350.0</v>
      </c>
      <c r="L244" s="34" t="s">
        <v>48</v>
      </c>
      <c r="M244" s="33" t="n">
        <f>14000</f>
        <v>14000.0</v>
      </c>
      <c r="N244" s="34" t="s">
        <v>50</v>
      </c>
      <c r="O244" s="33" t="n">
        <f>12605</f>
        <v>12605.0</v>
      </c>
      <c r="P244" s="34" t="s">
        <v>155</v>
      </c>
      <c r="Q244" s="33" t="n">
        <f>13750</f>
        <v>13750.0</v>
      </c>
      <c r="R244" s="34" t="s">
        <v>50</v>
      </c>
      <c r="S244" s="35" t="n">
        <f>13132.5</f>
        <v>13132.5</v>
      </c>
      <c r="T244" s="32" t="n">
        <f>2184</f>
        <v>2184.0</v>
      </c>
      <c r="U244" s="32" t="str">
        <f>"－"</f>
        <v>－</v>
      </c>
      <c r="V244" s="32" t="n">
        <f>28954040</f>
        <v>2.895404E7</v>
      </c>
      <c r="W244" s="32" t="str">
        <f>"－"</f>
        <v>－</v>
      </c>
      <c r="X244" s="36" t="n">
        <f>18</f>
        <v>18.0</v>
      </c>
    </row>
    <row r="245">
      <c r="A245" s="27" t="s">
        <v>42</v>
      </c>
      <c r="B245" s="27" t="s">
        <v>788</v>
      </c>
      <c r="C245" s="27" t="s">
        <v>789</v>
      </c>
      <c r="D245" s="27" t="s">
        <v>790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2001</f>
        <v>2001.0</v>
      </c>
      <c r="L245" s="34" t="s">
        <v>48</v>
      </c>
      <c r="M245" s="33" t="n">
        <f>2045</f>
        <v>2045.0</v>
      </c>
      <c r="N245" s="34" t="s">
        <v>104</v>
      </c>
      <c r="O245" s="33" t="n">
        <f>1975</f>
        <v>1975.0</v>
      </c>
      <c r="P245" s="34" t="s">
        <v>69</v>
      </c>
      <c r="Q245" s="33" t="n">
        <f>2024</f>
        <v>2024.0</v>
      </c>
      <c r="R245" s="34" t="s">
        <v>50</v>
      </c>
      <c r="S245" s="35" t="n">
        <f>2009.15</f>
        <v>2009.15</v>
      </c>
      <c r="T245" s="32" t="n">
        <f>24041</f>
        <v>24041.0</v>
      </c>
      <c r="U245" s="32" t="n">
        <f>2</f>
        <v>2.0</v>
      </c>
      <c r="V245" s="32" t="n">
        <f>48343119</f>
        <v>4.8343119E7</v>
      </c>
      <c r="W245" s="32" t="n">
        <f>4048</f>
        <v>4048.0</v>
      </c>
      <c r="X245" s="36" t="n">
        <f>20</f>
        <v>20.0</v>
      </c>
    </row>
    <row r="246">
      <c r="A246" s="27" t="s">
        <v>42</v>
      </c>
      <c r="B246" s="27" t="s">
        <v>791</v>
      </c>
      <c r="C246" s="27" t="s">
        <v>792</v>
      </c>
      <c r="D246" s="27" t="s">
        <v>793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1610</f>
        <v>1610.0</v>
      </c>
      <c r="L246" s="34" t="s">
        <v>48</v>
      </c>
      <c r="M246" s="33" t="n">
        <f>1648</f>
        <v>1648.0</v>
      </c>
      <c r="N246" s="34" t="s">
        <v>50</v>
      </c>
      <c r="O246" s="33" t="n">
        <f>1566</f>
        <v>1566.0</v>
      </c>
      <c r="P246" s="34" t="s">
        <v>155</v>
      </c>
      <c r="Q246" s="33" t="n">
        <f>1648</f>
        <v>1648.0</v>
      </c>
      <c r="R246" s="34" t="s">
        <v>50</v>
      </c>
      <c r="S246" s="35" t="n">
        <f>1613.13</f>
        <v>1613.13</v>
      </c>
      <c r="T246" s="32" t="n">
        <f>780</f>
        <v>780.0</v>
      </c>
      <c r="U246" s="32" t="str">
        <f>"－"</f>
        <v>－</v>
      </c>
      <c r="V246" s="32" t="n">
        <f>1258175</f>
        <v>1258175.0</v>
      </c>
      <c r="W246" s="32" t="str">
        <f>"－"</f>
        <v>－</v>
      </c>
      <c r="X246" s="36" t="n">
        <f>8</f>
        <v>8.0</v>
      </c>
    </row>
    <row r="247">
      <c r="A247" s="27" t="s">
        <v>42</v>
      </c>
      <c r="B247" s="27" t="s">
        <v>794</v>
      </c>
      <c r="C247" s="27" t="s">
        <v>795</v>
      </c>
      <c r="D247" s="27" t="s">
        <v>796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826.1</f>
        <v>826.1</v>
      </c>
      <c r="L247" s="34" t="s">
        <v>48</v>
      </c>
      <c r="M247" s="33" t="n">
        <f>832.6</f>
        <v>832.6</v>
      </c>
      <c r="N247" s="34" t="s">
        <v>91</v>
      </c>
      <c r="O247" s="33" t="n">
        <f>817.4</f>
        <v>817.4</v>
      </c>
      <c r="P247" s="34" t="s">
        <v>69</v>
      </c>
      <c r="Q247" s="33" t="n">
        <f>828.2</f>
        <v>828.2</v>
      </c>
      <c r="R247" s="34" t="s">
        <v>50</v>
      </c>
      <c r="S247" s="35" t="n">
        <f>827.25</f>
        <v>827.25</v>
      </c>
      <c r="T247" s="32" t="n">
        <f>184090</f>
        <v>184090.0</v>
      </c>
      <c r="U247" s="32" t="n">
        <f>46880</f>
        <v>46880.0</v>
      </c>
      <c r="V247" s="32" t="n">
        <f>152177341</f>
        <v>1.52177341E8</v>
      </c>
      <c r="W247" s="32" t="n">
        <f>38530672</f>
        <v>3.8530672E7</v>
      </c>
      <c r="X247" s="36" t="n">
        <f>20</f>
        <v>20.0</v>
      </c>
    </row>
    <row r="248">
      <c r="A248" s="27" t="s">
        <v>42</v>
      </c>
      <c r="B248" s="27" t="s">
        <v>797</v>
      </c>
      <c r="C248" s="27" t="s">
        <v>798</v>
      </c>
      <c r="D248" s="27" t="s">
        <v>799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1931.5</f>
        <v>1931.5</v>
      </c>
      <c r="L248" s="34" t="s">
        <v>48</v>
      </c>
      <c r="M248" s="33" t="n">
        <f>1945.5</f>
        <v>1945.5</v>
      </c>
      <c r="N248" s="34" t="s">
        <v>104</v>
      </c>
      <c r="O248" s="33" t="n">
        <f>1890</f>
        <v>1890.0</v>
      </c>
      <c r="P248" s="34" t="s">
        <v>64</v>
      </c>
      <c r="Q248" s="33" t="n">
        <f>1930</f>
        <v>1930.0</v>
      </c>
      <c r="R248" s="34" t="s">
        <v>50</v>
      </c>
      <c r="S248" s="35" t="n">
        <f>1916.7</f>
        <v>1916.7</v>
      </c>
      <c r="T248" s="32" t="n">
        <f>137590</f>
        <v>137590.0</v>
      </c>
      <c r="U248" s="32" t="n">
        <f>103100</f>
        <v>103100.0</v>
      </c>
      <c r="V248" s="32" t="n">
        <f>266112345</f>
        <v>2.66112345E8</v>
      </c>
      <c r="W248" s="32" t="n">
        <f>200230510</f>
        <v>2.0023051E8</v>
      </c>
      <c r="X248" s="36" t="n">
        <f>20</f>
        <v>20.0</v>
      </c>
    </row>
    <row r="249">
      <c r="A249" s="27" t="s">
        <v>42</v>
      </c>
      <c r="B249" s="27" t="s">
        <v>800</v>
      </c>
      <c r="C249" s="27" t="s">
        <v>801</v>
      </c>
      <c r="D249" s="27" t="s">
        <v>802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1920</f>
        <v>1920.0</v>
      </c>
      <c r="L249" s="34" t="s">
        <v>48</v>
      </c>
      <c r="M249" s="33" t="n">
        <f>1945.5</f>
        <v>1945.5</v>
      </c>
      <c r="N249" s="34" t="s">
        <v>104</v>
      </c>
      <c r="O249" s="33" t="n">
        <f>1878</f>
        <v>1878.0</v>
      </c>
      <c r="P249" s="34" t="s">
        <v>69</v>
      </c>
      <c r="Q249" s="33" t="n">
        <f>1924</f>
        <v>1924.0</v>
      </c>
      <c r="R249" s="34" t="s">
        <v>50</v>
      </c>
      <c r="S249" s="35" t="n">
        <f>1912.53</f>
        <v>1912.53</v>
      </c>
      <c r="T249" s="32" t="n">
        <f>2548110</f>
        <v>2548110.0</v>
      </c>
      <c r="U249" s="32" t="n">
        <f>1012000</f>
        <v>1012000.0</v>
      </c>
      <c r="V249" s="32" t="n">
        <f>4873662080</f>
        <v>4.87366208E9</v>
      </c>
      <c r="W249" s="32" t="n">
        <f>1939826635</f>
        <v>1.939826635E9</v>
      </c>
      <c r="X249" s="36" t="n">
        <f>20</f>
        <v>20.0</v>
      </c>
    </row>
    <row r="250">
      <c r="A250" s="27" t="s">
        <v>42</v>
      </c>
      <c r="B250" s="27" t="s">
        <v>803</v>
      </c>
      <c r="C250" s="27" t="s">
        <v>804</v>
      </c>
      <c r="D250" s="27" t="s">
        <v>805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2326</f>
        <v>2326.0</v>
      </c>
      <c r="L250" s="34" t="s">
        <v>48</v>
      </c>
      <c r="M250" s="33" t="n">
        <f>2351.5</f>
        <v>2351.5</v>
      </c>
      <c r="N250" s="34" t="s">
        <v>50</v>
      </c>
      <c r="O250" s="33" t="n">
        <f>2238</f>
        <v>2238.0</v>
      </c>
      <c r="P250" s="34" t="s">
        <v>49</v>
      </c>
      <c r="Q250" s="33" t="n">
        <f>2337</f>
        <v>2337.0</v>
      </c>
      <c r="R250" s="34" t="s">
        <v>50</v>
      </c>
      <c r="S250" s="35" t="n">
        <f>2292.15</f>
        <v>2292.15</v>
      </c>
      <c r="T250" s="32" t="n">
        <f>634550</f>
        <v>634550.0</v>
      </c>
      <c r="U250" s="32" t="str">
        <f>"－"</f>
        <v>－</v>
      </c>
      <c r="V250" s="32" t="n">
        <f>1458375235</f>
        <v>1.458375235E9</v>
      </c>
      <c r="W250" s="32" t="str">
        <f>"－"</f>
        <v>－</v>
      </c>
      <c r="X250" s="36" t="n">
        <f>20</f>
        <v>20.0</v>
      </c>
    </row>
    <row r="251">
      <c r="A251" s="27" t="s">
        <v>42</v>
      </c>
      <c r="B251" s="27" t="s">
        <v>806</v>
      </c>
      <c r="C251" s="27" t="s">
        <v>807</v>
      </c>
      <c r="D251" s="27" t="s">
        <v>808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18445</f>
        <v>18445.0</v>
      </c>
      <c r="L251" s="34" t="s">
        <v>48</v>
      </c>
      <c r="M251" s="33" t="n">
        <f>18650</f>
        <v>18650.0</v>
      </c>
      <c r="N251" s="34" t="s">
        <v>50</v>
      </c>
      <c r="O251" s="33" t="n">
        <f>17750</f>
        <v>17750.0</v>
      </c>
      <c r="P251" s="34" t="s">
        <v>91</v>
      </c>
      <c r="Q251" s="33" t="n">
        <f>18640</f>
        <v>18640.0</v>
      </c>
      <c r="R251" s="34" t="s">
        <v>50</v>
      </c>
      <c r="S251" s="35" t="n">
        <f>18232.5</f>
        <v>18232.5</v>
      </c>
      <c r="T251" s="32" t="n">
        <f>657611</f>
        <v>657611.0</v>
      </c>
      <c r="U251" s="32" t="n">
        <f>36806</f>
        <v>36806.0</v>
      </c>
      <c r="V251" s="32" t="n">
        <f>12010078868</f>
        <v>1.2010078868E10</v>
      </c>
      <c r="W251" s="32" t="n">
        <f>676526338</f>
        <v>6.76526338E8</v>
      </c>
      <c r="X251" s="36" t="n">
        <f>20</f>
        <v>20.0</v>
      </c>
    </row>
    <row r="252">
      <c r="A252" s="27" t="s">
        <v>42</v>
      </c>
      <c r="B252" s="27" t="s">
        <v>809</v>
      </c>
      <c r="C252" s="27" t="s">
        <v>810</v>
      </c>
      <c r="D252" s="27" t="s">
        <v>811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16300</f>
        <v>16300.0</v>
      </c>
      <c r="L252" s="34" t="s">
        <v>48</v>
      </c>
      <c r="M252" s="33" t="n">
        <f>16500</f>
        <v>16500.0</v>
      </c>
      <c r="N252" s="34" t="s">
        <v>50</v>
      </c>
      <c r="O252" s="33" t="n">
        <f>15710</f>
        <v>15710.0</v>
      </c>
      <c r="P252" s="34" t="s">
        <v>159</v>
      </c>
      <c r="Q252" s="33" t="n">
        <f>16500</f>
        <v>16500.0</v>
      </c>
      <c r="R252" s="34" t="s">
        <v>50</v>
      </c>
      <c r="S252" s="35" t="n">
        <f>16147</f>
        <v>16147.0</v>
      </c>
      <c r="T252" s="32" t="n">
        <f>231234</f>
        <v>231234.0</v>
      </c>
      <c r="U252" s="32" t="n">
        <f>178</f>
        <v>178.0</v>
      </c>
      <c r="V252" s="32" t="n">
        <f>3736106374</f>
        <v>3.736106374E9</v>
      </c>
      <c r="W252" s="32" t="n">
        <f>2827814</f>
        <v>2827814.0</v>
      </c>
      <c r="X252" s="36" t="n">
        <f>20</f>
        <v>20.0</v>
      </c>
    </row>
    <row r="253">
      <c r="A253" s="27" t="s">
        <v>42</v>
      </c>
      <c r="B253" s="27" t="s">
        <v>812</v>
      </c>
      <c r="C253" s="27" t="s">
        <v>813</v>
      </c>
      <c r="D253" s="27" t="s">
        <v>814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30770</f>
        <v>30770.0</v>
      </c>
      <c r="L253" s="34" t="s">
        <v>48</v>
      </c>
      <c r="M253" s="33" t="n">
        <f>31000</f>
        <v>31000.0</v>
      </c>
      <c r="N253" s="34" t="s">
        <v>50</v>
      </c>
      <c r="O253" s="33" t="n">
        <f>29460</f>
        <v>29460.0</v>
      </c>
      <c r="P253" s="34" t="s">
        <v>69</v>
      </c>
      <c r="Q253" s="33" t="n">
        <f>30760</f>
        <v>30760.0</v>
      </c>
      <c r="R253" s="34" t="s">
        <v>50</v>
      </c>
      <c r="S253" s="35" t="n">
        <f>30304.5</f>
        <v>30304.5</v>
      </c>
      <c r="T253" s="32" t="n">
        <f>280</f>
        <v>280.0</v>
      </c>
      <c r="U253" s="32" t="str">
        <f>"－"</f>
        <v>－</v>
      </c>
      <c r="V253" s="32" t="n">
        <f>8495935</f>
        <v>8495935.0</v>
      </c>
      <c r="W253" s="32" t="str">
        <f>"－"</f>
        <v>－</v>
      </c>
      <c r="X253" s="36" t="n">
        <f>10</f>
        <v>10.0</v>
      </c>
    </row>
    <row r="254">
      <c r="A254" s="27" t="s">
        <v>42</v>
      </c>
      <c r="B254" s="27" t="s">
        <v>815</v>
      </c>
      <c r="C254" s="27" t="s">
        <v>816</v>
      </c>
      <c r="D254" s="27" t="s">
        <v>817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2575</f>
        <v>2575.0</v>
      </c>
      <c r="L254" s="34" t="s">
        <v>48</v>
      </c>
      <c r="M254" s="33" t="n">
        <f>2575</f>
        <v>2575.0</v>
      </c>
      <c r="N254" s="34" t="s">
        <v>48</v>
      </c>
      <c r="O254" s="33" t="n">
        <f>2500</f>
        <v>2500.0</v>
      </c>
      <c r="P254" s="34" t="s">
        <v>50</v>
      </c>
      <c r="Q254" s="33" t="n">
        <f>2500</f>
        <v>2500.0</v>
      </c>
      <c r="R254" s="34" t="s">
        <v>50</v>
      </c>
      <c r="S254" s="35" t="n">
        <f>2541.8</f>
        <v>2541.8</v>
      </c>
      <c r="T254" s="32" t="n">
        <f>4932132</f>
        <v>4932132.0</v>
      </c>
      <c r="U254" s="32" t="n">
        <f>4250307</f>
        <v>4250307.0</v>
      </c>
      <c r="V254" s="32" t="n">
        <f>12410101567</f>
        <v>1.2410101567E10</v>
      </c>
      <c r="W254" s="32" t="n">
        <f>10682156587</f>
        <v>1.0682156587E10</v>
      </c>
      <c r="X254" s="36" t="n">
        <f>20</f>
        <v>20.0</v>
      </c>
    </row>
    <row r="255">
      <c r="A255" s="27" t="s">
        <v>42</v>
      </c>
      <c r="B255" s="27" t="s">
        <v>818</v>
      </c>
      <c r="C255" s="27" t="s">
        <v>819</v>
      </c>
      <c r="D255" s="27" t="s">
        <v>820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2817</f>
        <v>2817.0</v>
      </c>
      <c r="L255" s="34" t="s">
        <v>48</v>
      </c>
      <c r="M255" s="33" t="n">
        <f>2880</f>
        <v>2880.0</v>
      </c>
      <c r="N255" s="34" t="s">
        <v>104</v>
      </c>
      <c r="O255" s="33" t="n">
        <f>2731</f>
        <v>2731.0</v>
      </c>
      <c r="P255" s="34" t="s">
        <v>69</v>
      </c>
      <c r="Q255" s="33" t="n">
        <f>2863.5</f>
        <v>2863.5</v>
      </c>
      <c r="R255" s="34" t="s">
        <v>50</v>
      </c>
      <c r="S255" s="35" t="n">
        <f>2818.28</f>
        <v>2818.28</v>
      </c>
      <c r="T255" s="32" t="n">
        <f>2971650</f>
        <v>2971650.0</v>
      </c>
      <c r="U255" s="32" t="n">
        <f>2560520</f>
        <v>2560520.0</v>
      </c>
      <c r="V255" s="32" t="n">
        <f>8455068517</f>
        <v>8.455068517E9</v>
      </c>
      <c r="W255" s="32" t="n">
        <f>7293434187</f>
        <v>7.293434187E9</v>
      </c>
      <c r="X255" s="36" t="n">
        <f>20</f>
        <v>20.0</v>
      </c>
    </row>
    <row r="256">
      <c r="A256" s="27" t="s">
        <v>42</v>
      </c>
      <c r="B256" s="27" t="s">
        <v>821</v>
      </c>
      <c r="C256" s="27" t="s">
        <v>822</v>
      </c>
      <c r="D256" s="27" t="s">
        <v>823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274.1</f>
        <v>274.1</v>
      </c>
      <c r="L256" s="34" t="s">
        <v>48</v>
      </c>
      <c r="M256" s="33" t="n">
        <f>281.3</f>
        <v>281.3</v>
      </c>
      <c r="N256" s="34" t="s">
        <v>50</v>
      </c>
      <c r="O256" s="33" t="n">
        <f>269.4</f>
        <v>269.4</v>
      </c>
      <c r="P256" s="34" t="s">
        <v>69</v>
      </c>
      <c r="Q256" s="33" t="n">
        <f>280.7</f>
        <v>280.7</v>
      </c>
      <c r="R256" s="34" t="s">
        <v>50</v>
      </c>
      <c r="S256" s="35" t="n">
        <f>276.44</f>
        <v>276.44</v>
      </c>
      <c r="T256" s="32" t="n">
        <f>36654390</f>
        <v>3.665439E7</v>
      </c>
      <c r="U256" s="32" t="n">
        <f>14835470</f>
        <v>1.483547E7</v>
      </c>
      <c r="V256" s="32" t="n">
        <f>10177500988</f>
        <v>1.0177500988E10</v>
      </c>
      <c r="W256" s="32" t="n">
        <f>4144500516</f>
        <v>4.144500516E9</v>
      </c>
      <c r="X256" s="36" t="n">
        <f>20</f>
        <v>20.0</v>
      </c>
    </row>
    <row r="257">
      <c r="A257" s="27" t="s">
        <v>42</v>
      </c>
      <c r="B257" s="27" t="s">
        <v>824</v>
      </c>
      <c r="C257" s="27" t="s">
        <v>825</v>
      </c>
      <c r="D257" s="27" t="s">
        <v>826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2303</f>
        <v>2303.0</v>
      </c>
      <c r="L257" s="34" t="s">
        <v>48</v>
      </c>
      <c r="M257" s="33" t="n">
        <f>2402</f>
        <v>2402.0</v>
      </c>
      <c r="N257" s="34" t="s">
        <v>50</v>
      </c>
      <c r="O257" s="33" t="n">
        <f>2259</f>
        <v>2259.0</v>
      </c>
      <c r="P257" s="34" t="s">
        <v>64</v>
      </c>
      <c r="Q257" s="33" t="n">
        <f>2402</f>
        <v>2402.0</v>
      </c>
      <c r="R257" s="34" t="s">
        <v>50</v>
      </c>
      <c r="S257" s="35" t="n">
        <f>2331.95</f>
        <v>2331.95</v>
      </c>
      <c r="T257" s="32" t="n">
        <f>552271</f>
        <v>552271.0</v>
      </c>
      <c r="U257" s="32" t="n">
        <f>33334</f>
        <v>33334.0</v>
      </c>
      <c r="V257" s="32" t="n">
        <f>1285870953</f>
        <v>1.285870953E9</v>
      </c>
      <c r="W257" s="32" t="n">
        <f>76312214</f>
        <v>7.6312214E7</v>
      </c>
      <c r="X257" s="36" t="n">
        <f>20</f>
        <v>20.0</v>
      </c>
    </row>
    <row r="258">
      <c r="A258" s="27" t="s">
        <v>42</v>
      </c>
      <c r="B258" s="27" t="s">
        <v>827</v>
      </c>
      <c r="C258" s="27" t="s">
        <v>828</v>
      </c>
      <c r="D258" s="27" t="s">
        <v>829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978</f>
        <v>978.0</v>
      </c>
      <c r="L258" s="34" t="s">
        <v>48</v>
      </c>
      <c r="M258" s="33" t="n">
        <f>991</f>
        <v>991.0</v>
      </c>
      <c r="N258" s="34" t="s">
        <v>104</v>
      </c>
      <c r="O258" s="33" t="n">
        <f>962</f>
        <v>962.0</v>
      </c>
      <c r="P258" s="34" t="s">
        <v>69</v>
      </c>
      <c r="Q258" s="33" t="n">
        <f>980</f>
        <v>980.0</v>
      </c>
      <c r="R258" s="34" t="s">
        <v>50</v>
      </c>
      <c r="S258" s="35" t="n">
        <f>978.8</f>
        <v>978.8</v>
      </c>
      <c r="T258" s="32" t="n">
        <f>74963</f>
        <v>74963.0</v>
      </c>
      <c r="U258" s="32" t="str">
        <f>"－"</f>
        <v>－</v>
      </c>
      <c r="V258" s="32" t="n">
        <f>73387048</f>
        <v>7.3387048E7</v>
      </c>
      <c r="W258" s="32" t="str">
        <f>"－"</f>
        <v>－</v>
      </c>
      <c r="X258" s="36" t="n">
        <f>20</f>
        <v>20.0</v>
      </c>
    </row>
    <row r="259">
      <c r="A259" s="27" t="s">
        <v>42</v>
      </c>
      <c r="B259" s="27" t="s">
        <v>830</v>
      </c>
      <c r="C259" s="27" t="s">
        <v>831</v>
      </c>
      <c r="D259" s="27" t="s">
        <v>832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1054.5</f>
        <v>1054.5</v>
      </c>
      <c r="L259" s="34" t="s">
        <v>48</v>
      </c>
      <c r="M259" s="33" t="n">
        <f>1070</f>
        <v>1070.0</v>
      </c>
      <c r="N259" s="34" t="s">
        <v>104</v>
      </c>
      <c r="O259" s="33" t="n">
        <f>1035</f>
        <v>1035.0</v>
      </c>
      <c r="P259" s="34" t="s">
        <v>69</v>
      </c>
      <c r="Q259" s="33" t="n">
        <f>1059.5</f>
        <v>1059.5</v>
      </c>
      <c r="R259" s="34" t="s">
        <v>50</v>
      </c>
      <c r="S259" s="35" t="n">
        <f>1052.2</f>
        <v>1052.2</v>
      </c>
      <c r="T259" s="32" t="n">
        <f>44680</f>
        <v>44680.0</v>
      </c>
      <c r="U259" s="32" t="str">
        <f>"－"</f>
        <v>－</v>
      </c>
      <c r="V259" s="32" t="n">
        <f>46912130</f>
        <v>4.691213E7</v>
      </c>
      <c r="W259" s="32" t="str">
        <f>"－"</f>
        <v>－</v>
      </c>
      <c r="X259" s="36" t="n">
        <f>20</f>
        <v>20.0</v>
      </c>
    </row>
    <row r="260">
      <c r="A260" s="27" t="s">
        <v>42</v>
      </c>
      <c r="B260" s="27" t="s">
        <v>833</v>
      </c>
      <c r="C260" s="27" t="s">
        <v>834</v>
      </c>
      <c r="D260" s="27" t="s">
        <v>835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282.5</f>
        <v>282.5</v>
      </c>
      <c r="L260" s="34" t="s">
        <v>48</v>
      </c>
      <c r="M260" s="33" t="n">
        <f>317.5</f>
        <v>317.5</v>
      </c>
      <c r="N260" s="34" t="s">
        <v>50</v>
      </c>
      <c r="O260" s="33" t="n">
        <f>277</f>
        <v>277.0</v>
      </c>
      <c r="P260" s="34" t="s">
        <v>184</v>
      </c>
      <c r="Q260" s="33" t="n">
        <f>310.4</f>
        <v>310.4</v>
      </c>
      <c r="R260" s="34" t="s">
        <v>50</v>
      </c>
      <c r="S260" s="35" t="n">
        <f>299.37</f>
        <v>299.37</v>
      </c>
      <c r="T260" s="32" t="n">
        <f>1289380</f>
        <v>1289380.0</v>
      </c>
      <c r="U260" s="32" t="n">
        <f>1200000</f>
        <v>1200000.0</v>
      </c>
      <c r="V260" s="32" t="n">
        <f>397429228</f>
        <v>3.97429228E8</v>
      </c>
      <c r="W260" s="32" t="n">
        <f>370716000</f>
        <v>3.70716E8</v>
      </c>
      <c r="X260" s="36" t="n">
        <f>20</f>
        <v>20.0</v>
      </c>
    </row>
    <row r="261">
      <c r="A261" s="27" t="s">
        <v>42</v>
      </c>
      <c r="B261" s="27" t="s">
        <v>836</v>
      </c>
      <c r="C261" s="27" t="s">
        <v>837</v>
      </c>
      <c r="D261" s="27" t="s">
        <v>838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3775</f>
        <v>3775.0</v>
      </c>
      <c r="L261" s="34" t="s">
        <v>48</v>
      </c>
      <c r="M261" s="33" t="n">
        <f>3844</f>
        <v>3844.0</v>
      </c>
      <c r="N261" s="34" t="s">
        <v>184</v>
      </c>
      <c r="O261" s="33" t="n">
        <f>3622</f>
        <v>3622.0</v>
      </c>
      <c r="P261" s="34" t="s">
        <v>49</v>
      </c>
      <c r="Q261" s="33" t="n">
        <f>3830</f>
        <v>3830.0</v>
      </c>
      <c r="R261" s="34" t="s">
        <v>50</v>
      </c>
      <c r="S261" s="35" t="n">
        <f>3736.95</f>
        <v>3736.95</v>
      </c>
      <c r="T261" s="32" t="n">
        <f>1690230</f>
        <v>1690230.0</v>
      </c>
      <c r="U261" s="32" t="str">
        <f>"－"</f>
        <v>－</v>
      </c>
      <c r="V261" s="32" t="n">
        <f>6294148410</f>
        <v>6.29414841E9</v>
      </c>
      <c r="W261" s="32" t="str">
        <f>"－"</f>
        <v>－</v>
      </c>
      <c r="X261" s="36" t="n">
        <f>20</f>
        <v>20.0</v>
      </c>
    </row>
    <row r="262">
      <c r="A262" s="27" t="s">
        <v>42</v>
      </c>
      <c r="B262" s="27" t="s">
        <v>839</v>
      </c>
      <c r="C262" s="27" t="s">
        <v>840</v>
      </c>
      <c r="D262" s="27" t="s">
        <v>841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2561</f>
        <v>2561.0</v>
      </c>
      <c r="L262" s="34" t="s">
        <v>48</v>
      </c>
      <c r="M262" s="33" t="n">
        <f>2655.5</f>
        <v>2655.5</v>
      </c>
      <c r="N262" s="34" t="s">
        <v>60</v>
      </c>
      <c r="O262" s="33" t="n">
        <f>2513</f>
        <v>2513.0</v>
      </c>
      <c r="P262" s="34" t="s">
        <v>69</v>
      </c>
      <c r="Q262" s="33" t="n">
        <f>2634.5</f>
        <v>2634.5</v>
      </c>
      <c r="R262" s="34" t="s">
        <v>50</v>
      </c>
      <c r="S262" s="35" t="n">
        <f>2587.28</f>
        <v>2587.28</v>
      </c>
      <c r="T262" s="32" t="n">
        <f>7469600</f>
        <v>7469600.0</v>
      </c>
      <c r="U262" s="32" t="n">
        <f>5516400</f>
        <v>5516400.0</v>
      </c>
      <c r="V262" s="32" t="n">
        <f>19431348080</f>
        <v>1.943134808E10</v>
      </c>
      <c r="W262" s="32" t="n">
        <f>14364419960</f>
        <v>1.436441996E10</v>
      </c>
      <c r="X262" s="36" t="n">
        <f>20</f>
        <v>20.0</v>
      </c>
    </row>
    <row r="263">
      <c r="A263" s="27" t="s">
        <v>42</v>
      </c>
      <c r="B263" s="27" t="s">
        <v>842</v>
      </c>
      <c r="C263" s="27" t="s">
        <v>843</v>
      </c>
      <c r="D263" s="27" t="s">
        <v>844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321.6</f>
        <v>321.6</v>
      </c>
      <c r="L263" s="34" t="s">
        <v>48</v>
      </c>
      <c r="M263" s="33" t="n">
        <f>322</f>
        <v>322.0</v>
      </c>
      <c r="N263" s="34" t="s">
        <v>90</v>
      </c>
      <c r="O263" s="33" t="n">
        <f>305.7</f>
        <v>305.7</v>
      </c>
      <c r="P263" s="34" t="s">
        <v>91</v>
      </c>
      <c r="Q263" s="33" t="n">
        <f>314.6</f>
        <v>314.6</v>
      </c>
      <c r="R263" s="34" t="s">
        <v>50</v>
      </c>
      <c r="S263" s="35" t="n">
        <f>313.53</f>
        <v>313.53</v>
      </c>
      <c r="T263" s="32" t="n">
        <f>65107870</f>
        <v>6.510787E7</v>
      </c>
      <c r="U263" s="32" t="n">
        <f>57092000</f>
        <v>5.7092E7</v>
      </c>
      <c r="V263" s="32" t="n">
        <f>20656946979</f>
        <v>2.0656946979E10</v>
      </c>
      <c r="W263" s="32" t="n">
        <f>18134461078</f>
        <v>1.8134461078E10</v>
      </c>
      <c r="X263" s="36" t="n">
        <f>20</f>
        <v>20.0</v>
      </c>
    </row>
    <row r="264">
      <c r="A264" s="27" t="s">
        <v>42</v>
      </c>
      <c r="B264" s="27" t="s">
        <v>845</v>
      </c>
      <c r="C264" s="27" t="s">
        <v>846</v>
      </c>
      <c r="D264" s="27" t="s">
        <v>847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1447</f>
        <v>1447.0</v>
      </c>
      <c r="L264" s="34" t="s">
        <v>48</v>
      </c>
      <c r="M264" s="33" t="n">
        <f>1457</f>
        <v>1457.0</v>
      </c>
      <c r="N264" s="34" t="s">
        <v>86</v>
      </c>
      <c r="O264" s="33" t="n">
        <f>1391</f>
        <v>1391.0</v>
      </c>
      <c r="P264" s="34" t="s">
        <v>69</v>
      </c>
      <c r="Q264" s="33" t="n">
        <f>1399</f>
        <v>1399.0</v>
      </c>
      <c r="R264" s="34" t="s">
        <v>50</v>
      </c>
      <c r="S264" s="35" t="n">
        <f>1425.85</f>
        <v>1425.85</v>
      </c>
      <c r="T264" s="32" t="n">
        <f>18449285</f>
        <v>1.8449285E7</v>
      </c>
      <c r="U264" s="32" t="n">
        <f>14447</f>
        <v>14447.0</v>
      </c>
      <c r="V264" s="32" t="n">
        <f>26213405654</f>
        <v>2.6213405654E10</v>
      </c>
      <c r="W264" s="32" t="n">
        <f>20352461</f>
        <v>2.0352461E7</v>
      </c>
      <c r="X264" s="36" t="n">
        <f>20</f>
        <v>20.0</v>
      </c>
    </row>
    <row r="265">
      <c r="A265" s="27" t="s">
        <v>42</v>
      </c>
      <c r="B265" s="27" t="s">
        <v>848</v>
      </c>
      <c r="C265" s="27" t="s">
        <v>849</v>
      </c>
      <c r="D265" s="27" t="s">
        <v>850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1840</f>
        <v>1840.0</v>
      </c>
      <c r="L265" s="34" t="s">
        <v>48</v>
      </c>
      <c r="M265" s="33" t="n">
        <f>1840</f>
        <v>1840.0</v>
      </c>
      <c r="N265" s="34" t="s">
        <v>48</v>
      </c>
      <c r="O265" s="33" t="n">
        <f>1763</f>
        <v>1763.0</v>
      </c>
      <c r="P265" s="34" t="s">
        <v>69</v>
      </c>
      <c r="Q265" s="33" t="n">
        <f>1822</f>
        <v>1822.0</v>
      </c>
      <c r="R265" s="34" t="s">
        <v>50</v>
      </c>
      <c r="S265" s="35" t="n">
        <f>1812.55</f>
        <v>1812.55</v>
      </c>
      <c r="T265" s="32" t="n">
        <f>55440</f>
        <v>55440.0</v>
      </c>
      <c r="U265" s="32" t="n">
        <f>17</f>
        <v>17.0</v>
      </c>
      <c r="V265" s="32" t="n">
        <f>100305774</f>
        <v>1.00305774E8</v>
      </c>
      <c r="W265" s="32" t="n">
        <f>30647</f>
        <v>30647.0</v>
      </c>
      <c r="X265" s="36" t="n">
        <f>20</f>
        <v>20.0</v>
      </c>
    </row>
    <row r="266">
      <c r="A266" s="27" t="s">
        <v>42</v>
      </c>
      <c r="B266" s="27" t="s">
        <v>851</v>
      </c>
      <c r="C266" s="27" t="s">
        <v>852</v>
      </c>
      <c r="D266" s="27" t="s">
        <v>853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2091</f>
        <v>2091.0</v>
      </c>
      <c r="L266" s="34" t="s">
        <v>48</v>
      </c>
      <c r="M266" s="33" t="n">
        <f>2103</f>
        <v>2103.0</v>
      </c>
      <c r="N266" s="34" t="s">
        <v>155</v>
      </c>
      <c r="O266" s="33" t="n">
        <f>2070</f>
        <v>2070.0</v>
      </c>
      <c r="P266" s="34" t="s">
        <v>69</v>
      </c>
      <c r="Q266" s="33" t="n">
        <f>2094</f>
        <v>2094.0</v>
      </c>
      <c r="R266" s="34" t="s">
        <v>50</v>
      </c>
      <c r="S266" s="35" t="n">
        <f>2085.7</f>
        <v>2085.7</v>
      </c>
      <c r="T266" s="32" t="n">
        <f>514465</f>
        <v>514465.0</v>
      </c>
      <c r="U266" s="32" t="n">
        <f>513000</f>
        <v>513000.0</v>
      </c>
      <c r="V266" s="32" t="n">
        <f>1075431619</f>
        <v>1.075431619E9</v>
      </c>
      <c r="W266" s="32" t="n">
        <f>1072374300</f>
        <v>1.0723743E9</v>
      </c>
      <c r="X266" s="36" t="n">
        <f>20</f>
        <v>20.0</v>
      </c>
    </row>
    <row r="267">
      <c r="A267" s="27" t="s">
        <v>42</v>
      </c>
      <c r="B267" s="27" t="s">
        <v>854</v>
      </c>
      <c r="C267" s="27" t="s">
        <v>855</v>
      </c>
      <c r="D267" s="27" t="s">
        <v>856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3370</f>
        <v>3370.0</v>
      </c>
      <c r="L267" s="34" t="s">
        <v>48</v>
      </c>
      <c r="M267" s="33" t="n">
        <f>3390</f>
        <v>3390.0</v>
      </c>
      <c r="N267" s="34" t="s">
        <v>48</v>
      </c>
      <c r="O267" s="33" t="n">
        <f>3190</f>
        <v>3190.0</v>
      </c>
      <c r="P267" s="34" t="s">
        <v>49</v>
      </c>
      <c r="Q267" s="33" t="n">
        <f>3325</f>
        <v>3325.0</v>
      </c>
      <c r="R267" s="34" t="s">
        <v>50</v>
      </c>
      <c r="S267" s="35" t="n">
        <f>3281</f>
        <v>3281.0</v>
      </c>
      <c r="T267" s="32" t="n">
        <f>327127</f>
        <v>327127.0</v>
      </c>
      <c r="U267" s="32" t="n">
        <f>65000</f>
        <v>65000.0</v>
      </c>
      <c r="V267" s="32" t="n">
        <f>1070492125</f>
        <v>1.070492125E9</v>
      </c>
      <c r="W267" s="32" t="n">
        <f>211295500</f>
        <v>2.112955E8</v>
      </c>
      <c r="X267" s="36" t="n">
        <f>20</f>
        <v>20.0</v>
      </c>
    </row>
    <row r="268">
      <c r="A268" s="27" t="s">
        <v>42</v>
      </c>
      <c r="B268" s="27" t="s">
        <v>857</v>
      </c>
      <c r="C268" s="27" t="s">
        <v>858</v>
      </c>
      <c r="D268" s="27" t="s">
        <v>859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2311</f>
        <v>2311.0</v>
      </c>
      <c r="L268" s="34" t="s">
        <v>48</v>
      </c>
      <c r="M268" s="33" t="n">
        <f>2330</f>
        <v>2330.0</v>
      </c>
      <c r="N268" s="34" t="s">
        <v>50</v>
      </c>
      <c r="O268" s="33" t="n">
        <f>2217</f>
        <v>2217.0</v>
      </c>
      <c r="P268" s="34" t="s">
        <v>49</v>
      </c>
      <c r="Q268" s="33" t="n">
        <f>2324</f>
        <v>2324.0</v>
      </c>
      <c r="R268" s="34" t="s">
        <v>50</v>
      </c>
      <c r="S268" s="35" t="n">
        <f>2274.7</f>
        <v>2274.7</v>
      </c>
      <c r="T268" s="32" t="n">
        <f>971784</f>
        <v>971784.0</v>
      </c>
      <c r="U268" s="32" t="n">
        <f>47400</f>
        <v>47400.0</v>
      </c>
      <c r="V268" s="32" t="n">
        <f>2205856621</f>
        <v>2.205856621E9</v>
      </c>
      <c r="W268" s="32" t="n">
        <f>107327820</f>
        <v>1.0732782E8</v>
      </c>
      <c r="X268" s="36" t="n">
        <f>20</f>
        <v>20.0</v>
      </c>
    </row>
    <row r="269">
      <c r="A269" s="27" t="s">
        <v>42</v>
      </c>
      <c r="B269" s="27" t="s">
        <v>860</v>
      </c>
      <c r="C269" s="27" t="s">
        <v>861</v>
      </c>
      <c r="D269" s="27" t="s">
        <v>862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2048</f>
        <v>2048.0</v>
      </c>
      <c r="L269" s="34" t="s">
        <v>48</v>
      </c>
      <c r="M269" s="33" t="n">
        <f>2081</f>
        <v>2081.0</v>
      </c>
      <c r="N269" s="34" t="s">
        <v>86</v>
      </c>
      <c r="O269" s="33" t="n">
        <f>1976</f>
        <v>1976.0</v>
      </c>
      <c r="P269" s="34" t="s">
        <v>117</v>
      </c>
      <c r="Q269" s="33" t="n">
        <f>2034</f>
        <v>2034.0</v>
      </c>
      <c r="R269" s="34" t="s">
        <v>50</v>
      </c>
      <c r="S269" s="35" t="n">
        <f>2016.4</f>
        <v>2016.4</v>
      </c>
      <c r="T269" s="32" t="n">
        <f>47498</f>
        <v>47498.0</v>
      </c>
      <c r="U269" s="32" t="str">
        <f>"－"</f>
        <v>－</v>
      </c>
      <c r="V269" s="32" t="n">
        <f>96569639</f>
        <v>9.6569639E7</v>
      </c>
      <c r="W269" s="32" t="str">
        <f>"－"</f>
        <v>－</v>
      </c>
      <c r="X269" s="36" t="n">
        <f>20</f>
        <v>20.0</v>
      </c>
    </row>
    <row r="270">
      <c r="A270" s="27" t="s">
        <v>42</v>
      </c>
      <c r="B270" s="27" t="s">
        <v>863</v>
      </c>
      <c r="C270" s="27" t="s">
        <v>864</v>
      </c>
      <c r="D270" s="27" t="s">
        <v>865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1382</f>
        <v>1382.0</v>
      </c>
      <c r="L270" s="34" t="s">
        <v>48</v>
      </c>
      <c r="M270" s="33" t="n">
        <f>1412</f>
        <v>1412.0</v>
      </c>
      <c r="N270" s="34" t="s">
        <v>91</v>
      </c>
      <c r="O270" s="33" t="n">
        <f>1344</f>
        <v>1344.0</v>
      </c>
      <c r="P270" s="34" t="s">
        <v>301</v>
      </c>
      <c r="Q270" s="33" t="n">
        <f>1385</f>
        <v>1385.0</v>
      </c>
      <c r="R270" s="34" t="s">
        <v>50</v>
      </c>
      <c r="S270" s="35" t="n">
        <f>1379.55</f>
        <v>1379.55</v>
      </c>
      <c r="T270" s="32" t="n">
        <f>23700</f>
        <v>23700.0</v>
      </c>
      <c r="U270" s="32" t="str">
        <f>"－"</f>
        <v>－</v>
      </c>
      <c r="V270" s="32" t="n">
        <f>32629554</f>
        <v>3.2629554E7</v>
      </c>
      <c r="W270" s="32" t="str">
        <f>"－"</f>
        <v>－</v>
      </c>
      <c r="X270" s="36" t="n">
        <f>20</f>
        <v>20.0</v>
      </c>
    </row>
    <row r="271">
      <c r="A271" s="27" t="s">
        <v>42</v>
      </c>
      <c r="B271" s="27" t="s">
        <v>866</v>
      </c>
      <c r="C271" s="27" t="s">
        <v>867</v>
      </c>
      <c r="D271" s="27" t="s">
        <v>868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2045</f>
        <v>2045.0</v>
      </c>
      <c r="L271" s="34" t="s">
        <v>48</v>
      </c>
      <c r="M271" s="33" t="n">
        <f>2079</f>
        <v>2079.0</v>
      </c>
      <c r="N271" s="34" t="s">
        <v>90</v>
      </c>
      <c r="O271" s="33" t="n">
        <f>1872</f>
        <v>1872.0</v>
      </c>
      <c r="P271" s="34" t="s">
        <v>117</v>
      </c>
      <c r="Q271" s="33" t="n">
        <f>1967</f>
        <v>1967.0</v>
      </c>
      <c r="R271" s="34" t="s">
        <v>50</v>
      </c>
      <c r="S271" s="35" t="n">
        <f>1972</f>
        <v>1972.0</v>
      </c>
      <c r="T271" s="32" t="n">
        <f>42863</f>
        <v>42863.0</v>
      </c>
      <c r="U271" s="32" t="str">
        <f>"－"</f>
        <v>－</v>
      </c>
      <c r="V271" s="32" t="n">
        <f>83175924</f>
        <v>8.3175924E7</v>
      </c>
      <c r="W271" s="32" t="str">
        <f>"－"</f>
        <v>－</v>
      </c>
      <c r="X271" s="36" t="n">
        <f>20</f>
        <v>20.0</v>
      </c>
    </row>
    <row r="272">
      <c r="A272" s="27" t="s">
        <v>42</v>
      </c>
      <c r="B272" s="27" t="s">
        <v>869</v>
      </c>
      <c r="C272" s="27" t="s">
        <v>870</v>
      </c>
      <c r="D272" s="27" t="s">
        <v>871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2500</f>
        <v>2500.0</v>
      </c>
      <c r="L272" s="34" t="s">
        <v>48</v>
      </c>
      <c r="M272" s="33" t="n">
        <f>2628</f>
        <v>2628.0</v>
      </c>
      <c r="N272" s="34" t="s">
        <v>50</v>
      </c>
      <c r="O272" s="33" t="n">
        <f>2414</f>
        <v>2414.0</v>
      </c>
      <c r="P272" s="34" t="s">
        <v>159</v>
      </c>
      <c r="Q272" s="33" t="n">
        <f>2606</f>
        <v>2606.0</v>
      </c>
      <c r="R272" s="34" t="s">
        <v>50</v>
      </c>
      <c r="S272" s="35" t="n">
        <f>2477.06</f>
        <v>2477.06</v>
      </c>
      <c r="T272" s="32" t="n">
        <f>4092</f>
        <v>4092.0</v>
      </c>
      <c r="U272" s="32" t="str">
        <f>"－"</f>
        <v>－</v>
      </c>
      <c r="V272" s="32" t="n">
        <f>10365596</f>
        <v>1.0365596E7</v>
      </c>
      <c r="W272" s="32" t="str">
        <f>"－"</f>
        <v>－</v>
      </c>
      <c r="X272" s="36" t="n">
        <f>18</f>
        <v>18.0</v>
      </c>
    </row>
    <row r="273">
      <c r="A273" s="27" t="s">
        <v>42</v>
      </c>
      <c r="B273" s="27" t="s">
        <v>872</v>
      </c>
      <c r="C273" s="27" t="s">
        <v>873</v>
      </c>
      <c r="D273" s="27" t="s">
        <v>874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10810</f>
        <v>10810.0</v>
      </c>
      <c r="L273" s="34" t="s">
        <v>48</v>
      </c>
      <c r="M273" s="33" t="n">
        <f>11095</f>
        <v>11095.0</v>
      </c>
      <c r="N273" s="34" t="s">
        <v>104</v>
      </c>
      <c r="O273" s="33" t="n">
        <f>10630</f>
        <v>10630.0</v>
      </c>
      <c r="P273" s="34" t="s">
        <v>69</v>
      </c>
      <c r="Q273" s="33" t="n">
        <f>11065</f>
        <v>11065.0</v>
      </c>
      <c r="R273" s="34" t="s">
        <v>50</v>
      </c>
      <c r="S273" s="35" t="n">
        <f>10903</f>
        <v>10903.0</v>
      </c>
      <c r="T273" s="32" t="n">
        <f>815547</f>
        <v>815547.0</v>
      </c>
      <c r="U273" s="32" t="n">
        <f>589700</f>
        <v>589700.0</v>
      </c>
      <c r="V273" s="32" t="n">
        <f>8865929200</f>
        <v>8.8659292E9</v>
      </c>
      <c r="W273" s="32" t="n">
        <f>6395612140</f>
        <v>6.39561214E9</v>
      </c>
      <c r="X273" s="36" t="n">
        <f>20</f>
        <v>20.0</v>
      </c>
    </row>
    <row r="274">
      <c r="A274" s="27" t="s">
        <v>42</v>
      </c>
      <c r="B274" s="27" t="s">
        <v>875</v>
      </c>
      <c r="C274" s="27" t="s">
        <v>876</v>
      </c>
      <c r="D274" s="27" t="s">
        <v>877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15745</f>
        <v>15745.0</v>
      </c>
      <c r="L274" s="34" t="s">
        <v>48</v>
      </c>
      <c r="M274" s="33" t="n">
        <f>16020</f>
        <v>16020.0</v>
      </c>
      <c r="N274" s="34" t="s">
        <v>50</v>
      </c>
      <c r="O274" s="33" t="n">
        <f>15140</f>
        <v>15140.0</v>
      </c>
      <c r="P274" s="34" t="s">
        <v>49</v>
      </c>
      <c r="Q274" s="33" t="n">
        <f>16000</f>
        <v>16000.0</v>
      </c>
      <c r="R274" s="34" t="s">
        <v>50</v>
      </c>
      <c r="S274" s="35" t="n">
        <f>15608.5</f>
        <v>15608.5</v>
      </c>
      <c r="T274" s="32" t="n">
        <f>807950</f>
        <v>807950.0</v>
      </c>
      <c r="U274" s="32" t="str">
        <f>"－"</f>
        <v>－</v>
      </c>
      <c r="V274" s="32" t="n">
        <f>12570942505</f>
        <v>1.2570942505E10</v>
      </c>
      <c r="W274" s="32" t="str">
        <f>"－"</f>
        <v>－</v>
      </c>
      <c r="X274" s="36" t="n">
        <f>20</f>
        <v>20.0</v>
      </c>
    </row>
    <row r="275">
      <c r="A275" s="27" t="s">
        <v>42</v>
      </c>
      <c r="B275" s="27" t="s">
        <v>878</v>
      </c>
      <c r="C275" s="27" t="s">
        <v>879</v>
      </c>
      <c r="D275" s="27" t="s">
        <v>880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10735</f>
        <v>10735.0</v>
      </c>
      <c r="L275" s="34" t="s">
        <v>48</v>
      </c>
      <c r="M275" s="33" t="n">
        <f>11155</f>
        <v>11155.0</v>
      </c>
      <c r="N275" s="34" t="s">
        <v>117</v>
      </c>
      <c r="O275" s="33" t="n">
        <f>10550</f>
        <v>10550.0</v>
      </c>
      <c r="P275" s="34" t="s">
        <v>69</v>
      </c>
      <c r="Q275" s="33" t="n">
        <f>11060</f>
        <v>11060.0</v>
      </c>
      <c r="R275" s="34" t="s">
        <v>50</v>
      </c>
      <c r="S275" s="35" t="n">
        <f>10859</f>
        <v>10859.0</v>
      </c>
      <c r="T275" s="32" t="n">
        <f>608577</f>
        <v>608577.0</v>
      </c>
      <c r="U275" s="32" t="n">
        <f>222063</f>
        <v>222063.0</v>
      </c>
      <c r="V275" s="32" t="n">
        <f>6662414200</f>
        <v>6.6624142E9</v>
      </c>
      <c r="W275" s="32" t="n">
        <f>2446002645</f>
        <v>2.446002645E9</v>
      </c>
      <c r="X275" s="36" t="n">
        <f>20</f>
        <v>20.0</v>
      </c>
    </row>
    <row r="276">
      <c r="A276" s="27" t="s">
        <v>42</v>
      </c>
      <c r="B276" s="27" t="s">
        <v>881</v>
      </c>
      <c r="C276" s="27" t="s">
        <v>882</v>
      </c>
      <c r="D276" s="27" t="s">
        <v>883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2971</f>
        <v>2971.0</v>
      </c>
      <c r="L276" s="34" t="s">
        <v>48</v>
      </c>
      <c r="M276" s="33" t="n">
        <f>3003</f>
        <v>3003.0</v>
      </c>
      <c r="N276" s="34" t="s">
        <v>50</v>
      </c>
      <c r="O276" s="33" t="n">
        <f>2858</f>
        <v>2858.0</v>
      </c>
      <c r="P276" s="34" t="s">
        <v>91</v>
      </c>
      <c r="Q276" s="33" t="n">
        <f>3001</f>
        <v>3001.0</v>
      </c>
      <c r="R276" s="34" t="s">
        <v>50</v>
      </c>
      <c r="S276" s="35" t="n">
        <f>2935.25</f>
        <v>2935.25</v>
      </c>
      <c r="T276" s="32" t="n">
        <f>688690</f>
        <v>688690.0</v>
      </c>
      <c r="U276" s="32" t="n">
        <f>64400</f>
        <v>64400.0</v>
      </c>
      <c r="V276" s="32" t="n">
        <f>2014481785</f>
        <v>2.014481785E9</v>
      </c>
      <c r="W276" s="32" t="n">
        <f>189052640</f>
        <v>1.8905264E8</v>
      </c>
      <c r="X276" s="36" t="n">
        <f>20</f>
        <v>20.0</v>
      </c>
    </row>
    <row r="277">
      <c r="A277" s="27" t="s">
        <v>42</v>
      </c>
      <c r="B277" s="27" t="s">
        <v>884</v>
      </c>
      <c r="C277" s="27" t="s">
        <v>885</v>
      </c>
      <c r="D277" s="27" t="s">
        <v>886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2132.5</f>
        <v>2132.5</v>
      </c>
      <c r="L277" s="34" t="s">
        <v>48</v>
      </c>
      <c r="M277" s="33" t="n">
        <f>2186.5</f>
        <v>2186.5</v>
      </c>
      <c r="N277" s="34" t="s">
        <v>50</v>
      </c>
      <c r="O277" s="33" t="n">
        <f>2094.5</f>
        <v>2094.5</v>
      </c>
      <c r="P277" s="34" t="s">
        <v>69</v>
      </c>
      <c r="Q277" s="33" t="n">
        <f>2183</f>
        <v>2183.0</v>
      </c>
      <c r="R277" s="34" t="s">
        <v>50</v>
      </c>
      <c r="S277" s="35" t="n">
        <f>2149.95</f>
        <v>2149.95</v>
      </c>
      <c r="T277" s="32" t="n">
        <f>5438450</f>
        <v>5438450.0</v>
      </c>
      <c r="U277" s="32" t="n">
        <f>4187430</f>
        <v>4187430.0</v>
      </c>
      <c r="V277" s="32" t="n">
        <f>11623110671</f>
        <v>1.1623110671E10</v>
      </c>
      <c r="W277" s="32" t="n">
        <f>8933129561</f>
        <v>8.933129561E9</v>
      </c>
      <c r="X277" s="36" t="n">
        <f>20</f>
        <v>20.0</v>
      </c>
    </row>
    <row r="278">
      <c r="A278" s="27" t="s">
        <v>42</v>
      </c>
      <c r="B278" s="27" t="s">
        <v>887</v>
      </c>
      <c r="C278" s="27" t="s">
        <v>888</v>
      </c>
      <c r="D278" s="27" t="s">
        <v>889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3099</f>
        <v>3099.0</v>
      </c>
      <c r="L278" s="34" t="s">
        <v>48</v>
      </c>
      <c r="M278" s="33" t="n">
        <f>3126</f>
        <v>3126.0</v>
      </c>
      <c r="N278" s="34" t="s">
        <v>50</v>
      </c>
      <c r="O278" s="33" t="n">
        <f>2971.5</f>
        <v>2971.5</v>
      </c>
      <c r="P278" s="34" t="s">
        <v>49</v>
      </c>
      <c r="Q278" s="33" t="n">
        <f>3126</f>
        <v>3126.0</v>
      </c>
      <c r="R278" s="34" t="s">
        <v>50</v>
      </c>
      <c r="S278" s="35" t="n">
        <f>3055.93</f>
        <v>3055.93</v>
      </c>
      <c r="T278" s="32" t="n">
        <f>103400</f>
        <v>103400.0</v>
      </c>
      <c r="U278" s="32" t="n">
        <f>80000</f>
        <v>80000.0</v>
      </c>
      <c r="V278" s="32" t="n">
        <f>319022240</f>
        <v>3.1902224E8</v>
      </c>
      <c r="W278" s="32" t="n">
        <f>247832000</f>
        <v>2.47832E8</v>
      </c>
      <c r="X278" s="36" t="n">
        <f>20</f>
        <v>20.0</v>
      </c>
    </row>
    <row r="279">
      <c r="A279" s="27" t="s">
        <v>42</v>
      </c>
      <c r="B279" s="27" t="s">
        <v>890</v>
      </c>
      <c r="C279" s="27" t="s">
        <v>891</v>
      </c>
      <c r="D279" s="27" t="s">
        <v>892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2896</f>
        <v>2896.0</v>
      </c>
      <c r="L279" s="34" t="s">
        <v>48</v>
      </c>
      <c r="M279" s="33" t="n">
        <f>2896</f>
        <v>2896.0</v>
      </c>
      <c r="N279" s="34" t="s">
        <v>48</v>
      </c>
      <c r="O279" s="33" t="n">
        <f>2737</f>
        <v>2737.0</v>
      </c>
      <c r="P279" s="34" t="s">
        <v>49</v>
      </c>
      <c r="Q279" s="33" t="n">
        <f>2840</f>
        <v>2840.0</v>
      </c>
      <c r="R279" s="34" t="s">
        <v>50</v>
      </c>
      <c r="S279" s="35" t="n">
        <f>2811.8</f>
        <v>2811.8</v>
      </c>
      <c r="T279" s="32" t="n">
        <f>77412</f>
        <v>77412.0</v>
      </c>
      <c r="U279" s="32" t="str">
        <f>"－"</f>
        <v>－</v>
      </c>
      <c r="V279" s="32" t="n">
        <f>220812212</f>
        <v>2.20812212E8</v>
      </c>
      <c r="W279" s="32" t="str">
        <f>"－"</f>
        <v>－</v>
      </c>
      <c r="X279" s="36" t="n">
        <f>20</f>
        <v>20.0</v>
      </c>
    </row>
    <row r="280">
      <c r="A280" s="27" t="s">
        <v>42</v>
      </c>
      <c r="B280" s="27" t="s">
        <v>893</v>
      </c>
      <c r="C280" s="27" t="s">
        <v>894</v>
      </c>
      <c r="D280" s="27" t="s">
        <v>895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1634</f>
        <v>1634.0</v>
      </c>
      <c r="L280" s="34" t="s">
        <v>48</v>
      </c>
      <c r="M280" s="33" t="n">
        <f>1656</f>
        <v>1656.0</v>
      </c>
      <c r="N280" s="34" t="s">
        <v>86</v>
      </c>
      <c r="O280" s="33" t="n">
        <f>1574</f>
        <v>1574.0</v>
      </c>
      <c r="P280" s="34" t="s">
        <v>49</v>
      </c>
      <c r="Q280" s="33" t="n">
        <f>1602</f>
        <v>1602.0</v>
      </c>
      <c r="R280" s="34" t="s">
        <v>50</v>
      </c>
      <c r="S280" s="35" t="n">
        <f>1607.15</f>
        <v>1607.15</v>
      </c>
      <c r="T280" s="32" t="n">
        <f>24858</f>
        <v>24858.0</v>
      </c>
      <c r="U280" s="32" t="n">
        <f>2</f>
        <v>2.0</v>
      </c>
      <c r="V280" s="32" t="n">
        <f>40465895</f>
        <v>4.0465895E7</v>
      </c>
      <c r="W280" s="32" t="n">
        <f>3201</f>
        <v>3201.0</v>
      </c>
      <c r="X280" s="36" t="n">
        <f>20</f>
        <v>20.0</v>
      </c>
    </row>
    <row r="281">
      <c r="A281" s="27" t="s">
        <v>42</v>
      </c>
      <c r="B281" s="27" t="s">
        <v>896</v>
      </c>
      <c r="C281" s="27" t="s">
        <v>897</v>
      </c>
      <c r="D281" s="27" t="s">
        <v>898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2281</f>
        <v>2281.0</v>
      </c>
      <c r="L281" s="34" t="s">
        <v>48</v>
      </c>
      <c r="M281" s="33" t="n">
        <f>2290</f>
        <v>2290.0</v>
      </c>
      <c r="N281" s="34" t="s">
        <v>48</v>
      </c>
      <c r="O281" s="33" t="n">
        <f>2060</f>
        <v>2060.0</v>
      </c>
      <c r="P281" s="34" t="s">
        <v>117</v>
      </c>
      <c r="Q281" s="33" t="n">
        <f>2088</f>
        <v>2088.0</v>
      </c>
      <c r="R281" s="34" t="s">
        <v>50</v>
      </c>
      <c r="S281" s="35" t="n">
        <f>2173.6</f>
        <v>2173.6</v>
      </c>
      <c r="T281" s="32" t="n">
        <f>168350</f>
        <v>168350.0</v>
      </c>
      <c r="U281" s="32" t="str">
        <f>"－"</f>
        <v>－</v>
      </c>
      <c r="V281" s="32" t="n">
        <f>367313114</f>
        <v>3.67313114E8</v>
      </c>
      <c r="W281" s="32" t="str">
        <f>"－"</f>
        <v>－</v>
      </c>
      <c r="X281" s="36" t="n">
        <f>20</f>
        <v>20.0</v>
      </c>
    </row>
    <row r="282">
      <c r="A282" s="27" t="s">
        <v>42</v>
      </c>
      <c r="B282" s="27" t="s">
        <v>899</v>
      </c>
      <c r="C282" s="27" t="s">
        <v>900</v>
      </c>
      <c r="D282" s="27" t="s">
        <v>901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1688</f>
        <v>1688.0</v>
      </c>
      <c r="L282" s="34" t="s">
        <v>48</v>
      </c>
      <c r="M282" s="33" t="n">
        <f>1689</f>
        <v>1689.0</v>
      </c>
      <c r="N282" s="34" t="s">
        <v>48</v>
      </c>
      <c r="O282" s="33" t="n">
        <f>1575</f>
        <v>1575.0</v>
      </c>
      <c r="P282" s="34" t="s">
        <v>49</v>
      </c>
      <c r="Q282" s="33" t="n">
        <f>1657</f>
        <v>1657.0</v>
      </c>
      <c r="R282" s="34" t="s">
        <v>50</v>
      </c>
      <c r="S282" s="35" t="n">
        <f>1623.3</f>
        <v>1623.3</v>
      </c>
      <c r="T282" s="32" t="n">
        <f>16284</f>
        <v>16284.0</v>
      </c>
      <c r="U282" s="32" t="str">
        <f>"－"</f>
        <v>－</v>
      </c>
      <c r="V282" s="32" t="n">
        <f>26628583</f>
        <v>2.6628583E7</v>
      </c>
      <c r="W282" s="32" t="str">
        <f>"－"</f>
        <v>－</v>
      </c>
      <c r="X282" s="36" t="n">
        <f>20</f>
        <v>20.0</v>
      </c>
    </row>
    <row r="283">
      <c r="A283" s="27" t="s">
        <v>42</v>
      </c>
      <c r="B283" s="27" t="s">
        <v>902</v>
      </c>
      <c r="C283" s="27" t="s">
        <v>903</v>
      </c>
      <c r="D283" s="27" t="s">
        <v>904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2942</f>
        <v>2942.0</v>
      </c>
      <c r="L283" s="34" t="s">
        <v>48</v>
      </c>
      <c r="M283" s="33" t="n">
        <f>2950</f>
        <v>2950.0</v>
      </c>
      <c r="N283" s="34" t="s">
        <v>117</v>
      </c>
      <c r="O283" s="33" t="n">
        <f>2807</f>
        <v>2807.0</v>
      </c>
      <c r="P283" s="34" t="s">
        <v>49</v>
      </c>
      <c r="Q283" s="33" t="n">
        <f>2939</f>
        <v>2939.0</v>
      </c>
      <c r="R283" s="34" t="s">
        <v>50</v>
      </c>
      <c r="S283" s="35" t="n">
        <f>2870</f>
        <v>2870.0</v>
      </c>
      <c r="T283" s="32" t="n">
        <f>73567</f>
        <v>73567.0</v>
      </c>
      <c r="U283" s="32" t="str">
        <f>"－"</f>
        <v>－</v>
      </c>
      <c r="V283" s="32" t="n">
        <f>211359077</f>
        <v>2.11359077E8</v>
      </c>
      <c r="W283" s="32" t="str">
        <f>"－"</f>
        <v>－</v>
      </c>
      <c r="X283" s="36" t="n">
        <f>20</f>
        <v>20.0</v>
      </c>
    </row>
    <row r="284">
      <c r="A284" s="27" t="s">
        <v>42</v>
      </c>
      <c r="B284" s="27" t="s">
        <v>905</v>
      </c>
      <c r="C284" s="27" t="s">
        <v>906</v>
      </c>
      <c r="D284" s="27" t="s">
        <v>907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2520</f>
        <v>2520.0</v>
      </c>
      <c r="L284" s="34" t="s">
        <v>48</v>
      </c>
      <c r="M284" s="33" t="n">
        <f>2630</f>
        <v>2630.0</v>
      </c>
      <c r="N284" s="34" t="s">
        <v>86</v>
      </c>
      <c r="O284" s="33" t="n">
        <f>2406</f>
        <v>2406.0</v>
      </c>
      <c r="P284" s="34" t="s">
        <v>49</v>
      </c>
      <c r="Q284" s="33" t="n">
        <f>2550</f>
        <v>2550.0</v>
      </c>
      <c r="R284" s="34" t="s">
        <v>50</v>
      </c>
      <c r="S284" s="35" t="n">
        <f>2500.1</f>
        <v>2500.1</v>
      </c>
      <c r="T284" s="32" t="n">
        <f>2266352</f>
        <v>2266352.0</v>
      </c>
      <c r="U284" s="32" t="n">
        <f>4676</f>
        <v>4676.0</v>
      </c>
      <c r="V284" s="32" t="n">
        <f>5619796698</f>
        <v>5.619796698E9</v>
      </c>
      <c r="W284" s="32" t="n">
        <f>11617493</f>
        <v>1.1617493E7</v>
      </c>
      <c r="X284" s="36" t="n">
        <f>20</f>
        <v>20.0</v>
      </c>
    </row>
    <row r="285">
      <c r="A285" s="27" t="s">
        <v>42</v>
      </c>
      <c r="B285" s="27" t="s">
        <v>908</v>
      </c>
      <c r="C285" s="27" t="s">
        <v>909</v>
      </c>
      <c r="D285" s="27" t="s">
        <v>910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30930</f>
        <v>30930.0</v>
      </c>
      <c r="L285" s="34" t="s">
        <v>48</v>
      </c>
      <c r="M285" s="33" t="n">
        <f>30930</f>
        <v>30930.0</v>
      </c>
      <c r="N285" s="34" t="s">
        <v>48</v>
      </c>
      <c r="O285" s="33" t="n">
        <f>29370</f>
        <v>29370.0</v>
      </c>
      <c r="P285" s="34" t="s">
        <v>49</v>
      </c>
      <c r="Q285" s="33" t="n">
        <f>30670</f>
        <v>30670.0</v>
      </c>
      <c r="R285" s="34" t="s">
        <v>50</v>
      </c>
      <c r="S285" s="35" t="n">
        <f>30013.75</f>
        <v>30013.75</v>
      </c>
      <c r="T285" s="32" t="n">
        <f>86</f>
        <v>86.0</v>
      </c>
      <c r="U285" s="32" t="str">
        <f>"－"</f>
        <v>－</v>
      </c>
      <c r="V285" s="32" t="n">
        <f>2585010</f>
        <v>2585010.0</v>
      </c>
      <c r="W285" s="32" t="str">
        <f>"－"</f>
        <v>－</v>
      </c>
      <c r="X285" s="36" t="n">
        <f>12</f>
        <v>12.0</v>
      </c>
    </row>
    <row r="286">
      <c r="A286" s="27" t="s">
        <v>42</v>
      </c>
      <c r="B286" s="27" t="s">
        <v>911</v>
      </c>
      <c r="C286" s="27" t="s">
        <v>912</v>
      </c>
      <c r="D286" s="27" t="s">
        <v>913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2370</f>
        <v>2370.0</v>
      </c>
      <c r="L286" s="34" t="s">
        <v>48</v>
      </c>
      <c r="M286" s="33" t="n">
        <f>2385</f>
        <v>2385.0</v>
      </c>
      <c r="N286" s="34" t="s">
        <v>48</v>
      </c>
      <c r="O286" s="33" t="n">
        <f>2253</f>
        <v>2253.0</v>
      </c>
      <c r="P286" s="34" t="s">
        <v>49</v>
      </c>
      <c r="Q286" s="33" t="n">
        <f>2356</f>
        <v>2356.0</v>
      </c>
      <c r="R286" s="34" t="s">
        <v>50</v>
      </c>
      <c r="S286" s="35" t="n">
        <f>2320.05</f>
        <v>2320.05</v>
      </c>
      <c r="T286" s="32" t="n">
        <f>58573</f>
        <v>58573.0</v>
      </c>
      <c r="U286" s="32" t="str">
        <f>"－"</f>
        <v>－</v>
      </c>
      <c r="V286" s="32" t="n">
        <f>137073642</f>
        <v>1.37073642E8</v>
      </c>
      <c r="W286" s="32" t="str">
        <f>"－"</f>
        <v>－</v>
      </c>
      <c r="X286" s="36" t="n">
        <f>20</f>
        <v>20.0</v>
      </c>
    </row>
    <row r="287">
      <c r="A287" s="27" t="s">
        <v>42</v>
      </c>
      <c r="B287" s="27" t="s">
        <v>914</v>
      </c>
      <c r="C287" s="27" t="s">
        <v>915</v>
      </c>
      <c r="D287" s="27" t="s">
        <v>916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3290</f>
        <v>3290.0</v>
      </c>
      <c r="L287" s="34" t="s">
        <v>48</v>
      </c>
      <c r="M287" s="33" t="n">
        <f>3375</f>
        <v>3375.0</v>
      </c>
      <c r="N287" s="34" t="s">
        <v>86</v>
      </c>
      <c r="O287" s="33" t="n">
        <f>3110</f>
        <v>3110.0</v>
      </c>
      <c r="P287" s="34" t="s">
        <v>49</v>
      </c>
      <c r="Q287" s="33" t="n">
        <f>3295</f>
        <v>3295.0</v>
      </c>
      <c r="R287" s="34" t="s">
        <v>50</v>
      </c>
      <c r="S287" s="35" t="n">
        <f>3244.25</f>
        <v>3244.25</v>
      </c>
      <c r="T287" s="32" t="n">
        <f>3847001</f>
        <v>3847001.0</v>
      </c>
      <c r="U287" s="32" t="n">
        <f>72563</f>
        <v>72563.0</v>
      </c>
      <c r="V287" s="32" t="n">
        <f>12479189327</f>
        <v>1.2479189327E10</v>
      </c>
      <c r="W287" s="32" t="n">
        <f>231803622</f>
        <v>2.31803622E8</v>
      </c>
      <c r="X287" s="36" t="n">
        <f>20</f>
        <v>20.0</v>
      </c>
    </row>
    <row r="288">
      <c r="A288" s="27" t="s">
        <v>42</v>
      </c>
      <c r="B288" s="27" t="s">
        <v>917</v>
      </c>
      <c r="C288" s="27" t="s">
        <v>918</v>
      </c>
      <c r="D288" s="27" t="s">
        <v>919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1963</f>
        <v>1963.0</v>
      </c>
      <c r="L288" s="34" t="s">
        <v>48</v>
      </c>
      <c r="M288" s="33" t="n">
        <f>1987</f>
        <v>1987.0</v>
      </c>
      <c r="N288" s="34" t="s">
        <v>50</v>
      </c>
      <c r="O288" s="33" t="n">
        <f>1919</f>
        <v>1919.0</v>
      </c>
      <c r="P288" s="34" t="s">
        <v>117</v>
      </c>
      <c r="Q288" s="33" t="n">
        <f>1969</f>
        <v>1969.0</v>
      </c>
      <c r="R288" s="34" t="s">
        <v>50</v>
      </c>
      <c r="S288" s="35" t="n">
        <f>1949.75</f>
        <v>1949.75</v>
      </c>
      <c r="T288" s="32" t="n">
        <f>32160</f>
        <v>32160.0</v>
      </c>
      <c r="U288" s="32" t="str">
        <f>"－"</f>
        <v>－</v>
      </c>
      <c r="V288" s="32" t="n">
        <f>62710865</f>
        <v>6.2710865E7</v>
      </c>
      <c r="W288" s="32" t="str">
        <f>"－"</f>
        <v>－</v>
      </c>
      <c r="X288" s="36" t="n">
        <f>20</f>
        <v>20.0</v>
      </c>
    </row>
    <row r="289">
      <c r="A289" s="27" t="s">
        <v>42</v>
      </c>
      <c r="B289" s="27" t="s">
        <v>920</v>
      </c>
      <c r="C289" s="27" t="s">
        <v>921</v>
      </c>
      <c r="D289" s="27" t="s">
        <v>922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1659</f>
        <v>1659.0</v>
      </c>
      <c r="L289" s="34" t="s">
        <v>48</v>
      </c>
      <c r="M289" s="33" t="n">
        <f>1710</f>
        <v>1710.0</v>
      </c>
      <c r="N289" s="34" t="s">
        <v>50</v>
      </c>
      <c r="O289" s="33" t="n">
        <f>1597</f>
        <v>1597.0</v>
      </c>
      <c r="P289" s="34" t="s">
        <v>49</v>
      </c>
      <c r="Q289" s="33" t="n">
        <f>1704</f>
        <v>1704.0</v>
      </c>
      <c r="R289" s="34" t="s">
        <v>50</v>
      </c>
      <c r="S289" s="35" t="n">
        <f>1647.85</f>
        <v>1647.85</v>
      </c>
      <c r="T289" s="32" t="n">
        <f>6905</f>
        <v>6905.0</v>
      </c>
      <c r="U289" s="32" t="str">
        <f>"－"</f>
        <v>－</v>
      </c>
      <c r="V289" s="32" t="n">
        <f>11381457</f>
        <v>1.1381457E7</v>
      </c>
      <c r="W289" s="32" t="str">
        <f>"－"</f>
        <v>－</v>
      </c>
      <c r="X289" s="36" t="n">
        <f>20</f>
        <v>20.0</v>
      </c>
    </row>
    <row r="290">
      <c r="A290" s="27" t="s">
        <v>42</v>
      </c>
      <c r="B290" s="27" t="s">
        <v>923</v>
      </c>
      <c r="C290" s="27" t="s">
        <v>924</v>
      </c>
      <c r="D290" s="27" t="s">
        <v>925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5411</f>
        <v>5411.0</v>
      </c>
      <c r="L290" s="34" t="s">
        <v>48</v>
      </c>
      <c r="M290" s="33" t="n">
        <f>5416</f>
        <v>5416.0</v>
      </c>
      <c r="N290" s="34" t="s">
        <v>48</v>
      </c>
      <c r="O290" s="33" t="n">
        <f>5150</f>
        <v>5150.0</v>
      </c>
      <c r="P290" s="34" t="s">
        <v>117</v>
      </c>
      <c r="Q290" s="33" t="n">
        <f>5253</f>
        <v>5253.0</v>
      </c>
      <c r="R290" s="34" t="s">
        <v>50</v>
      </c>
      <c r="S290" s="35" t="n">
        <f>5270.56</f>
        <v>5270.56</v>
      </c>
      <c r="T290" s="32" t="n">
        <f>254610</f>
        <v>254610.0</v>
      </c>
      <c r="U290" s="32" t="n">
        <f>105600</f>
        <v>105600.0</v>
      </c>
      <c r="V290" s="32" t="n">
        <f>1330438487</f>
        <v>1.330438487E9</v>
      </c>
      <c r="W290" s="32" t="n">
        <f>546371577</f>
        <v>5.46371577E8</v>
      </c>
      <c r="X290" s="36" t="n">
        <f>16</f>
        <v>16.0</v>
      </c>
    </row>
    <row r="291">
      <c r="A291" s="27" t="s">
        <v>42</v>
      </c>
      <c r="B291" s="27" t="s">
        <v>926</v>
      </c>
      <c r="C291" s="27" t="s">
        <v>927</v>
      </c>
      <c r="D291" s="27" t="s">
        <v>928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3998</f>
        <v>3998.0</v>
      </c>
      <c r="L291" s="34" t="s">
        <v>48</v>
      </c>
      <c r="M291" s="33" t="n">
        <f>4034</f>
        <v>4034.0</v>
      </c>
      <c r="N291" s="34" t="s">
        <v>91</v>
      </c>
      <c r="O291" s="33" t="n">
        <f>3922</f>
        <v>3922.0</v>
      </c>
      <c r="P291" s="34" t="s">
        <v>69</v>
      </c>
      <c r="Q291" s="33" t="n">
        <f>3950</f>
        <v>3950.0</v>
      </c>
      <c r="R291" s="34" t="s">
        <v>50</v>
      </c>
      <c r="S291" s="35" t="n">
        <f>3981.05</f>
        <v>3981.05</v>
      </c>
      <c r="T291" s="32" t="n">
        <f>530210</f>
        <v>530210.0</v>
      </c>
      <c r="U291" s="32" t="n">
        <f>358180</f>
        <v>358180.0</v>
      </c>
      <c r="V291" s="32" t="n">
        <f>2098198336</f>
        <v>2.098198336E9</v>
      </c>
      <c r="W291" s="32" t="n">
        <f>1414320056</f>
        <v>1.414320056E9</v>
      </c>
      <c r="X291" s="36" t="n">
        <f>19</f>
        <v>19.0</v>
      </c>
    </row>
    <row r="292">
      <c r="A292" s="27" t="s">
        <v>42</v>
      </c>
      <c r="B292" s="27" t="s">
        <v>929</v>
      </c>
      <c r="C292" s="27" t="s">
        <v>930</v>
      </c>
      <c r="D292" s="27" t="s">
        <v>931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676.6</f>
        <v>676.6</v>
      </c>
      <c r="L292" s="34" t="s">
        <v>48</v>
      </c>
      <c r="M292" s="33" t="n">
        <f>685.7</f>
        <v>685.7</v>
      </c>
      <c r="N292" s="34" t="s">
        <v>86</v>
      </c>
      <c r="O292" s="33" t="n">
        <f>660.8</f>
        <v>660.8</v>
      </c>
      <c r="P292" s="34" t="s">
        <v>69</v>
      </c>
      <c r="Q292" s="33" t="n">
        <f>665.7</f>
        <v>665.7</v>
      </c>
      <c r="R292" s="34" t="s">
        <v>50</v>
      </c>
      <c r="S292" s="35" t="n">
        <f>668.78</f>
        <v>668.78</v>
      </c>
      <c r="T292" s="32" t="n">
        <f>12210</f>
        <v>12210.0</v>
      </c>
      <c r="U292" s="32" t="str">
        <f>"－"</f>
        <v>－</v>
      </c>
      <c r="V292" s="32" t="n">
        <f>8172598</f>
        <v>8172598.0</v>
      </c>
      <c r="W292" s="32" t="str">
        <f>"－"</f>
        <v>－</v>
      </c>
      <c r="X292" s="36" t="n">
        <f>18</f>
        <v>18.0</v>
      </c>
    </row>
    <row r="293">
      <c r="A293" s="27" t="s">
        <v>42</v>
      </c>
      <c r="B293" s="27" t="s">
        <v>932</v>
      </c>
      <c r="C293" s="27" t="s">
        <v>933</v>
      </c>
      <c r="D293" s="27" t="s">
        <v>934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2225</f>
        <v>2225.0</v>
      </c>
      <c r="L293" s="34" t="s">
        <v>48</v>
      </c>
      <c r="M293" s="33" t="n">
        <f>2246</f>
        <v>2246.0</v>
      </c>
      <c r="N293" s="34" t="s">
        <v>50</v>
      </c>
      <c r="O293" s="33" t="n">
        <f>2150</f>
        <v>2150.0</v>
      </c>
      <c r="P293" s="34" t="s">
        <v>267</v>
      </c>
      <c r="Q293" s="33" t="n">
        <f>2245</f>
        <v>2245.0</v>
      </c>
      <c r="R293" s="34" t="s">
        <v>50</v>
      </c>
      <c r="S293" s="35" t="n">
        <f>2192.1</f>
        <v>2192.1</v>
      </c>
      <c r="T293" s="32" t="n">
        <f>3410</f>
        <v>3410.0</v>
      </c>
      <c r="U293" s="32" t="str">
        <f>"－"</f>
        <v>－</v>
      </c>
      <c r="V293" s="32" t="n">
        <f>7428934</f>
        <v>7428934.0</v>
      </c>
      <c r="W293" s="32" t="str">
        <f>"－"</f>
        <v>－</v>
      </c>
      <c r="X293" s="36" t="n">
        <f>20</f>
        <v>20.0</v>
      </c>
    </row>
    <row r="294">
      <c r="A294" s="27" t="s">
        <v>42</v>
      </c>
      <c r="B294" s="27" t="s">
        <v>935</v>
      </c>
      <c r="C294" s="27" t="s">
        <v>936</v>
      </c>
      <c r="D294" s="27" t="s">
        <v>937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2119</f>
        <v>2119.0</v>
      </c>
      <c r="L294" s="34" t="s">
        <v>48</v>
      </c>
      <c r="M294" s="33" t="n">
        <f>2160</f>
        <v>2160.0</v>
      </c>
      <c r="N294" s="34" t="s">
        <v>117</v>
      </c>
      <c r="O294" s="33" t="n">
        <f>2044</f>
        <v>2044.0</v>
      </c>
      <c r="P294" s="34" t="s">
        <v>49</v>
      </c>
      <c r="Q294" s="33" t="n">
        <f>2115</f>
        <v>2115.0</v>
      </c>
      <c r="R294" s="34" t="s">
        <v>50</v>
      </c>
      <c r="S294" s="35" t="n">
        <f>2095.1</f>
        <v>2095.1</v>
      </c>
      <c r="T294" s="32" t="n">
        <f>25067</f>
        <v>25067.0</v>
      </c>
      <c r="U294" s="32" t="str">
        <f>"－"</f>
        <v>－</v>
      </c>
      <c r="V294" s="32" t="n">
        <f>53435488</f>
        <v>5.3435488E7</v>
      </c>
      <c r="W294" s="32" t="str">
        <f>"－"</f>
        <v>－</v>
      </c>
      <c r="X294" s="36" t="n">
        <f>20</f>
        <v>20.0</v>
      </c>
    </row>
    <row r="295">
      <c r="A295" s="27" t="s">
        <v>42</v>
      </c>
      <c r="B295" s="27" t="s">
        <v>938</v>
      </c>
      <c r="C295" s="27" t="s">
        <v>939</v>
      </c>
      <c r="D295" s="27" t="s">
        <v>940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8095</f>
        <v>8095.0</v>
      </c>
      <c r="L295" s="34" t="s">
        <v>48</v>
      </c>
      <c r="M295" s="33" t="n">
        <f>8100</f>
        <v>8100.0</v>
      </c>
      <c r="N295" s="34" t="s">
        <v>48</v>
      </c>
      <c r="O295" s="33" t="n">
        <f>7645</f>
        <v>7645.0</v>
      </c>
      <c r="P295" s="34" t="s">
        <v>117</v>
      </c>
      <c r="Q295" s="33" t="n">
        <f>7871</f>
        <v>7871.0</v>
      </c>
      <c r="R295" s="34" t="s">
        <v>50</v>
      </c>
      <c r="S295" s="35" t="n">
        <f>7883.55</f>
        <v>7883.55</v>
      </c>
      <c r="T295" s="32" t="n">
        <f>87032</f>
        <v>87032.0</v>
      </c>
      <c r="U295" s="32" t="n">
        <f>24004</f>
        <v>24004.0</v>
      </c>
      <c r="V295" s="32" t="n">
        <f>678434105</f>
        <v>6.78434105E8</v>
      </c>
      <c r="W295" s="32" t="n">
        <f>188942525</f>
        <v>1.88942525E8</v>
      </c>
      <c r="X295" s="36" t="n">
        <f>20</f>
        <v>20.0</v>
      </c>
    </row>
    <row r="296">
      <c r="A296" s="27" t="s">
        <v>42</v>
      </c>
      <c r="B296" s="27" t="s">
        <v>941</v>
      </c>
      <c r="C296" s="27" t="s">
        <v>942</v>
      </c>
      <c r="D296" s="27" t="s">
        <v>943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5960</f>
        <v>5960.0</v>
      </c>
      <c r="L296" s="34" t="s">
        <v>48</v>
      </c>
      <c r="M296" s="33" t="n">
        <f>6005</f>
        <v>6005.0</v>
      </c>
      <c r="N296" s="34" t="s">
        <v>91</v>
      </c>
      <c r="O296" s="33" t="n">
        <f>5844</f>
        <v>5844.0</v>
      </c>
      <c r="P296" s="34" t="s">
        <v>69</v>
      </c>
      <c r="Q296" s="33" t="n">
        <f>5901</f>
        <v>5901.0</v>
      </c>
      <c r="R296" s="34" t="s">
        <v>50</v>
      </c>
      <c r="S296" s="35" t="n">
        <f>5933.85</f>
        <v>5933.85</v>
      </c>
      <c r="T296" s="32" t="n">
        <f>75109</f>
        <v>75109.0</v>
      </c>
      <c r="U296" s="32" t="n">
        <f>46000</f>
        <v>46000.0</v>
      </c>
      <c r="V296" s="32" t="n">
        <f>441140537</f>
        <v>4.41140537E8</v>
      </c>
      <c r="W296" s="32" t="n">
        <f>269008000</f>
        <v>2.69008E8</v>
      </c>
      <c r="X296" s="36" t="n">
        <f>20</f>
        <v>20.0</v>
      </c>
    </row>
    <row r="297">
      <c r="A297" s="27" t="s">
        <v>42</v>
      </c>
      <c r="B297" s="27" t="s">
        <v>944</v>
      </c>
      <c r="C297" s="27" t="s">
        <v>945</v>
      </c>
      <c r="D297" s="27" t="s">
        <v>946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20510</f>
        <v>20510.0</v>
      </c>
      <c r="L297" s="34" t="s">
        <v>48</v>
      </c>
      <c r="M297" s="33" t="n">
        <f>20805</f>
        <v>20805.0</v>
      </c>
      <c r="N297" s="34" t="s">
        <v>50</v>
      </c>
      <c r="O297" s="33" t="n">
        <f>19705</f>
        <v>19705.0</v>
      </c>
      <c r="P297" s="34" t="s">
        <v>49</v>
      </c>
      <c r="Q297" s="33" t="n">
        <f>20800</f>
        <v>20800.0</v>
      </c>
      <c r="R297" s="34" t="s">
        <v>50</v>
      </c>
      <c r="S297" s="35" t="n">
        <f>20294.75</f>
        <v>20294.75</v>
      </c>
      <c r="T297" s="32" t="n">
        <f>403383</f>
        <v>403383.0</v>
      </c>
      <c r="U297" s="32" t="str">
        <f>"－"</f>
        <v>－</v>
      </c>
      <c r="V297" s="32" t="n">
        <f>8167390625</f>
        <v>8.167390625E9</v>
      </c>
      <c r="W297" s="32" t="str">
        <f>"－"</f>
        <v>－</v>
      </c>
      <c r="X297" s="36" t="n">
        <f>20</f>
        <v>20.0</v>
      </c>
    </row>
    <row r="298">
      <c r="A298" s="27" t="s">
        <v>42</v>
      </c>
      <c r="B298" s="27" t="s">
        <v>947</v>
      </c>
      <c r="C298" s="27" t="s">
        <v>948</v>
      </c>
      <c r="D298" s="27" t="s">
        <v>949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10120</f>
        <v>10120.0</v>
      </c>
      <c r="L298" s="34" t="s">
        <v>48</v>
      </c>
      <c r="M298" s="33" t="n">
        <f>10505</f>
        <v>10505.0</v>
      </c>
      <c r="N298" s="34" t="s">
        <v>60</v>
      </c>
      <c r="O298" s="33" t="n">
        <f>9944</f>
        <v>9944.0</v>
      </c>
      <c r="P298" s="34" t="s">
        <v>69</v>
      </c>
      <c r="Q298" s="33" t="n">
        <f>10425</f>
        <v>10425.0</v>
      </c>
      <c r="R298" s="34" t="s">
        <v>50</v>
      </c>
      <c r="S298" s="35" t="n">
        <f>10230.7</f>
        <v>10230.7</v>
      </c>
      <c r="T298" s="32" t="n">
        <f>728349</f>
        <v>728349.0</v>
      </c>
      <c r="U298" s="32" t="n">
        <f>287200</f>
        <v>287200.0</v>
      </c>
      <c r="V298" s="32" t="n">
        <f>7496442103</f>
        <v>7.496442103E9</v>
      </c>
      <c r="W298" s="32" t="n">
        <f>2974257516</f>
        <v>2.974257516E9</v>
      </c>
      <c r="X298" s="36" t="n">
        <f>20</f>
        <v>20.0</v>
      </c>
    </row>
    <row r="299">
      <c r="A299" s="27" t="s">
        <v>42</v>
      </c>
      <c r="B299" s="27" t="s">
        <v>950</v>
      </c>
      <c r="C299" s="27" t="s">
        <v>951</v>
      </c>
      <c r="D299" s="27" t="s">
        <v>952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23925</f>
        <v>23925.0</v>
      </c>
      <c r="L299" s="34" t="s">
        <v>48</v>
      </c>
      <c r="M299" s="33" t="n">
        <f>24355</f>
        <v>24355.0</v>
      </c>
      <c r="N299" s="34" t="s">
        <v>69</v>
      </c>
      <c r="O299" s="33" t="n">
        <f>22985</f>
        <v>22985.0</v>
      </c>
      <c r="P299" s="34" t="s">
        <v>60</v>
      </c>
      <c r="Q299" s="33" t="n">
        <f>23165</f>
        <v>23165.0</v>
      </c>
      <c r="R299" s="34" t="s">
        <v>50</v>
      </c>
      <c r="S299" s="35" t="n">
        <f>23644.75</f>
        <v>23644.75</v>
      </c>
      <c r="T299" s="32" t="n">
        <f>211222</f>
        <v>211222.0</v>
      </c>
      <c r="U299" s="32" t="str">
        <f>"－"</f>
        <v>－</v>
      </c>
      <c r="V299" s="32" t="n">
        <f>4997510645</f>
        <v>4.997510645E9</v>
      </c>
      <c r="W299" s="32" t="str">
        <f>"－"</f>
        <v>－</v>
      </c>
      <c r="X299" s="36" t="n">
        <f>20</f>
        <v>20.0</v>
      </c>
    </row>
    <row r="300">
      <c r="A300" s="27" t="s">
        <v>42</v>
      </c>
      <c r="B300" s="27" t="s">
        <v>953</v>
      </c>
      <c r="C300" s="27" t="s">
        <v>954</v>
      </c>
      <c r="D300" s="27" t="s">
        <v>955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4261</f>
        <v>4261.0</v>
      </c>
      <c r="L300" s="34" t="s">
        <v>48</v>
      </c>
      <c r="M300" s="33" t="n">
        <f>4304</f>
        <v>4304.0</v>
      </c>
      <c r="N300" s="34" t="s">
        <v>155</v>
      </c>
      <c r="O300" s="33" t="n">
        <f>4156</f>
        <v>4156.0</v>
      </c>
      <c r="P300" s="34" t="s">
        <v>69</v>
      </c>
      <c r="Q300" s="33" t="n">
        <f>4254</f>
        <v>4254.0</v>
      </c>
      <c r="R300" s="34" t="s">
        <v>50</v>
      </c>
      <c r="S300" s="35" t="n">
        <f>4243.28</f>
        <v>4243.28</v>
      </c>
      <c r="T300" s="32" t="n">
        <f>95510</f>
        <v>95510.0</v>
      </c>
      <c r="U300" s="32" t="n">
        <f>94000</f>
        <v>94000.0</v>
      </c>
      <c r="V300" s="32" t="n">
        <f>407046580</f>
        <v>4.0704658E8</v>
      </c>
      <c r="W300" s="32" t="n">
        <f>400646800</f>
        <v>4.006468E8</v>
      </c>
      <c r="X300" s="36" t="n">
        <f>18</f>
        <v>18.0</v>
      </c>
    </row>
    <row r="301">
      <c r="A301" s="27" t="s">
        <v>42</v>
      </c>
      <c r="B301" s="27" t="s">
        <v>956</v>
      </c>
      <c r="C301" s="27" t="s">
        <v>957</v>
      </c>
      <c r="D301" s="27" t="s">
        <v>958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5112</f>
        <v>5112.0</v>
      </c>
      <c r="L301" s="34" t="s">
        <v>48</v>
      </c>
      <c r="M301" s="33" t="n">
        <f>5175</f>
        <v>5175.0</v>
      </c>
      <c r="N301" s="34" t="s">
        <v>90</v>
      </c>
      <c r="O301" s="33" t="n">
        <f>4865</f>
        <v>4865.0</v>
      </c>
      <c r="P301" s="34" t="s">
        <v>117</v>
      </c>
      <c r="Q301" s="33" t="n">
        <f>5000</f>
        <v>5000.0</v>
      </c>
      <c r="R301" s="34" t="s">
        <v>50</v>
      </c>
      <c r="S301" s="35" t="n">
        <f>5039.9</f>
        <v>5039.9</v>
      </c>
      <c r="T301" s="32" t="n">
        <f>150470</f>
        <v>150470.0</v>
      </c>
      <c r="U301" s="32" t="n">
        <f>110430</f>
        <v>110430.0</v>
      </c>
      <c r="V301" s="32" t="n">
        <f>758396685</f>
        <v>7.58396685E8</v>
      </c>
      <c r="W301" s="32" t="n">
        <f>559189995</f>
        <v>5.59189995E8</v>
      </c>
      <c r="X301" s="36" t="n">
        <f>20</f>
        <v>20.0</v>
      </c>
    </row>
    <row r="302">
      <c r="A302" s="27" t="s">
        <v>42</v>
      </c>
      <c r="B302" s="27" t="s">
        <v>959</v>
      </c>
      <c r="C302" s="27" t="s">
        <v>960</v>
      </c>
      <c r="D302" s="27" t="s">
        <v>961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10.0</v>
      </c>
      <c r="K302" s="33" t="n">
        <f>2114.5</f>
        <v>2114.5</v>
      </c>
      <c r="L302" s="34" t="s">
        <v>48</v>
      </c>
      <c r="M302" s="33" t="n">
        <f>2196</f>
        <v>2196.0</v>
      </c>
      <c r="N302" s="34" t="s">
        <v>60</v>
      </c>
      <c r="O302" s="33" t="n">
        <f>2079</f>
        <v>2079.0</v>
      </c>
      <c r="P302" s="34" t="s">
        <v>69</v>
      </c>
      <c r="Q302" s="33" t="n">
        <f>2177</f>
        <v>2177.0</v>
      </c>
      <c r="R302" s="34" t="s">
        <v>50</v>
      </c>
      <c r="S302" s="35" t="n">
        <f>2137.85</f>
        <v>2137.85</v>
      </c>
      <c r="T302" s="32" t="n">
        <f>1720810</f>
        <v>1720810.0</v>
      </c>
      <c r="U302" s="32" t="str">
        <f>"－"</f>
        <v>－</v>
      </c>
      <c r="V302" s="32" t="n">
        <f>3699565450</f>
        <v>3.69956545E9</v>
      </c>
      <c r="W302" s="32" t="str">
        <f>"－"</f>
        <v>－</v>
      </c>
      <c r="X302" s="36" t="n">
        <f>20</f>
        <v>20.0</v>
      </c>
    </row>
    <row r="303">
      <c r="A303" s="27" t="s">
        <v>42</v>
      </c>
      <c r="B303" s="27" t="s">
        <v>962</v>
      </c>
      <c r="C303" s="27" t="s">
        <v>963</v>
      </c>
      <c r="D303" s="27" t="s">
        <v>964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1937</f>
        <v>1937.0</v>
      </c>
      <c r="L303" s="34" t="s">
        <v>48</v>
      </c>
      <c r="M303" s="33" t="n">
        <f>1993</f>
        <v>1993.0</v>
      </c>
      <c r="N303" s="34" t="s">
        <v>104</v>
      </c>
      <c r="O303" s="33" t="n">
        <f>1894.5</f>
        <v>1894.5</v>
      </c>
      <c r="P303" s="34" t="s">
        <v>69</v>
      </c>
      <c r="Q303" s="33" t="n">
        <f>1985</f>
        <v>1985.0</v>
      </c>
      <c r="R303" s="34" t="s">
        <v>50</v>
      </c>
      <c r="S303" s="35" t="n">
        <f>1950.08</f>
        <v>1950.08</v>
      </c>
      <c r="T303" s="32" t="n">
        <f>1195070</f>
        <v>1195070.0</v>
      </c>
      <c r="U303" s="32" t="n">
        <f>924030</f>
        <v>924030.0</v>
      </c>
      <c r="V303" s="32" t="n">
        <f>2347642259</f>
        <v>2.347642259E9</v>
      </c>
      <c r="W303" s="32" t="n">
        <f>1817665754</f>
        <v>1.817665754E9</v>
      </c>
      <c r="X303" s="36" t="n">
        <f>20</f>
        <v>20.0</v>
      </c>
    </row>
    <row r="304">
      <c r="A304" s="27" t="s">
        <v>42</v>
      </c>
      <c r="B304" s="27" t="s">
        <v>965</v>
      </c>
      <c r="C304" s="27" t="s">
        <v>966</v>
      </c>
      <c r="D304" s="27" t="s">
        <v>967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1747</f>
        <v>1747.0</v>
      </c>
      <c r="L304" s="34" t="s">
        <v>48</v>
      </c>
      <c r="M304" s="33" t="n">
        <f>1785</f>
        <v>1785.0</v>
      </c>
      <c r="N304" s="34" t="s">
        <v>86</v>
      </c>
      <c r="O304" s="33" t="n">
        <f>1670</f>
        <v>1670.0</v>
      </c>
      <c r="P304" s="34" t="s">
        <v>49</v>
      </c>
      <c r="Q304" s="33" t="n">
        <f>1722</f>
        <v>1722.0</v>
      </c>
      <c r="R304" s="34" t="s">
        <v>50</v>
      </c>
      <c r="S304" s="35" t="n">
        <f>1706.15</f>
        <v>1706.15</v>
      </c>
      <c r="T304" s="32" t="n">
        <f>42414</f>
        <v>42414.0</v>
      </c>
      <c r="U304" s="32" t="str">
        <f>"－"</f>
        <v>－</v>
      </c>
      <c r="V304" s="32" t="n">
        <f>73584877</f>
        <v>7.3584877E7</v>
      </c>
      <c r="W304" s="32" t="str">
        <f>"－"</f>
        <v>－</v>
      </c>
      <c r="X304" s="36" t="n">
        <f>20</f>
        <v>20.0</v>
      </c>
    </row>
    <row r="305">
      <c r="A305" s="27" t="s">
        <v>42</v>
      </c>
      <c r="B305" s="27" t="s">
        <v>968</v>
      </c>
      <c r="C305" s="27" t="s">
        <v>969</v>
      </c>
      <c r="D305" s="27" t="s">
        <v>970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1820</f>
        <v>1820.0</v>
      </c>
      <c r="L305" s="34" t="s">
        <v>48</v>
      </c>
      <c r="M305" s="33" t="n">
        <f>1824</f>
        <v>1824.0</v>
      </c>
      <c r="N305" s="34" t="s">
        <v>513</v>
      </c>
      <c r="O305" s="33" t="n">
        <f>1737</f>
        <v>1737.0</v>
      </c>
      <c r="P305" s="34" t="s">
        <v>49</v>
      </c>
      <c r="Q305" s="33" t="n">
        <f>1814</f>
        <v>1814.0</v>
      </c>
      <c r="R305" s="34" t="s">
        <v>50</v>
      </c>
      <c r="S305" s="35" t="n">
        <f>1780.4</f>
        <v>1780.4</v>
      </c>
      <c r="T305" s="32" t="n">
        <f>29164</f>
        <v>29164.0</v>
      </c>
      <c r="U305" s="32" t="str">
        <f>"－"</f>
        <v>－</v>
      </c>
      <c r="V305" s="32" t="n">
        <f>52756961</f>
        <v>5.2756961E7</v>
      </c>
      <c r="W305" s="32" t="str">
        <f>"－"</f>
        <v>－</v>
      </c>
      <c r="X305" s="36" t="n">
        <f>20</f>
        <v>20.0</v>
      </c>
    </row>
    <row r="306">
      <c r="A306" s="27" t="s">
        <v>42</v>
      </c>
      <c r="B306" s="27" t="s">
        <v>971</v>
      </c>
      <c r="C306" s="27" t="s">
        <v>972</v>
      </c>
      <c r="D306" s="27" t="s">
        <v>973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3800</f>
        <v>3800.0</v>
      </c>
      <c r="L306" s="34" t="s">
        <v>48</v>
      </c>
      <c r="M306" s="33" t="n">
        <f>3840</f>
        <v>3840.0</v>
      </c>
      <c r="N306" s="34" t="s">
        <v>50</v>
      </c>
      <c r="O306" s="33" t="n">
        <f>3660</f>
        <v>3660.0</v>
      </c>
      <c r="P306" s="34" t="s">
        <v>64</v>
      </c>
      <c r="Q306" s="33" t="n">
        <f>3825</f>
        <v>3825.0</v>
      </c>
      <c r="R306" s="34" t="s">
        <v>50</v>
      </c>
      <c r="S306" s="35" t="n">
        <f>3741.75</f>
        <v>3741.75</v>
      </c>
      <c r="T306" s="32" t="n">
        <f>11569</f>
        <v>11569.0</v>
      </c>
      <c r="U306" s="32" t="n">
        <f>3</f>
        <v>3.0</v>
      </c>
      <c r="V306" s="32" t="n">
        <f>43328900</f>
        <v>4.33289E7</v>
      </c>
      <c r="W306" s="32" t="n">
        <f>11190</f>
        <v>11190.0</v>
      </c>
      <c r="X306" s="36" t="n">
        <f>20</f>
        <v>20.0</v>
      </c>
    </row>
    <row r="307">
      <c r="A307" s="27" t="s">
        <v>42</v>
      </c>
      <c r="B307" s="27" t="s">
        <v>974</v>
      </c>
      <c r="C307" s="27" t="s">
        <v>975</v>
      </c>
      <c r="D307" s="27" t="s">
        <v>976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2377.5</f>
        <v>2377.5</v>
      </c>
      <c r="L307" s="34" t="s">
        <v>48</v>
      </c>
      <c r="M307" s="33" t="n">
        <f>2377.5</f>
        <v>2377.5</v>
      </c>
      <c r="N307" s="34" t="s">
        <v>48</v>
      </c>
      <c r="O307" s="33" t="n">
        <f>2289</f>
        <v>2289.0</v>
      </c>
      <c r="P307" s="34" t="s">
        <v>60</v>
      </c>
      <c r="Q307" s="33" t="n">
        <f>2343</f>
        <v>2343.0</v>
      </c>
      <c r="R307" s="34" t="s">
        <v>117</v>
      </c>
      <c r="S307" s="35" t="n">
        <f>2321.57</f>
        <v>2321.57</v>
      </c>
      <c r="T307" s="32" t="n">
        <f>830</f>
        <v>830.0</v>
      </c>
      <c r="U307" s="32" t="str">
        <f>"－"</f>
        <v>－</v>
      </c>
      <c r="V307" s="32" t="n">
        <f>1923865</f>
        <v>1923865.0</v>
      </c>
      <c r="W307" s="32" t="str">
        <f>"－"</f>
        <v>－</v>
      </c>
      <c r="X307" s="36" t="n">
        <f>7</f>
        <v>7.0</v>
      </c>
    </row>
    <row r="308">
      <c r="A308" s="27" t="s">
        <v>42</v>
      </c>
      <c r="B308" s="27" t="s">
        <v>977</v>
      </c>
      <c r="C308" s="27" t="s">
        <v>978</v>
      </c>
      <c r="D308" s="27" t="s">
        <v>979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232</f>
        <v>232.0</v>
      </c>
      <c r="L308" s="34" t="s">
        <v>48</v>
      </c>
      <c r="M308" s="33" t="n">
        <f>244</f>
        <v>244.0</v>
      </c>
      <c r="N308" s="34" t="s">
        <v>86</v>
      </c>
      <c r="O308" s="33" t="n">
        <f>218.4</f>
        <v>218.4</v>
      </c>
      <c r="P308" s="34" t="s">
        <v>69</v>
      </c>
      <c r="Q308" s="33" t="n">
        <f>230</f>
        <v>230.0</v>
      </c>
      <c r="R308" s="34" t="s">
        <v>50</v>
      </c>
      <c r="S308" s="35" t="n">
        <f>228.92</f>
        <v>228.92</v>
      </c>
      <c r="T308" s="32" t="n">
        <f>22680</f>
        <v>22680.0</v>
      </c>
      <c r="U308" s="32" t="str">
        <f>"－"</f>
        <v>－</v>
      </c>
      <c r="V308" s="32" t="n">
        <f>5204708</f>
        <v>5204708.0</v>
      </c>
      <c r="W308" s="32" t="str">
        <f>"－"</f>
        <v>－</v>
      </c>
      <c r="X308" s="36" t="n">
        <f>19</f>
        <v>19.0</v>
      </c>
    </row>
    <row r="309">
      <c r="A309" s="27" t="s">
        <v>42</v>
      </c>
      <c r="B309" s="27" t="s">
        <v>980</v>
      </c>
      <c r="C309" s="27" t="s">
        <v>981</v>
      </c>
      <c r="D309" s="27" t="s">
        <v>982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10.0</v>
      </c>
      <c r="K309" s="33" t="n">
        <f>188.5</f>
        <v>188.5</v>
      </c>
      <c r="L309" s="34" t="s">
        <v>48</v>
      </c>
      <c r="M309" s="33" t="n">
        <f>194</f>
        <v>194.0</v>
      </c>
      <c r="N309" s="34" t="s">
        <v>50</v>
      </c>
      <c r="O309" s="33" t="n">
        <f>185</f>
        <v>185.0</v>
      </c>
      <c r="P309" s="34" t="s">
        <v>69</v>
      </c>
      <c r="Q309" s="33" t="n">
        <f>188.8</f>
        <v>188.8</v>
      </c>
      <c r="R309" s="34" t="s">
        <v>50</v>
      </c>
      <c r="S309" s="35" t="n">
        <f>187.75</f>
        <v>187.75</v>
      </c>
      <c r="T309" s="32" t="n">
        <f>1402000</f>
        <v>1402000.0</v>
      </c>
      <c r="U309" s="32" t="n">
        <f>1394690</f>
        <v>1394690.0</v>
      </c>
      <c r="V309" s="32" t="n">
        <f>266891456</f>
        <v>2.66891456E8</v>
      </c>
      <c r="W309" s="32" t="n">
        <f>265512799</f>
        <v>2.65512799E8</v>
      </c>
      <c r="X309" s="36" t="n">
        <f>19</f>
        <v>19.0</v>
      </c>
    </row>
    <row r="310">
      <c r="A310" s="27" t="s">
        <v>42</v>
      </c>
      <c r="B310" s="27" t="s">
        <v>983</v>
      </c>
      <c r="C310" s="27" t="s">
        <v>984</v>
      </c>
      <c r="D310" s="27" t="s">
        <v>985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707.6</f>
        <v>707.6</v>
      </c>
      <c r="L310" s="34" t="s">
        <v>48</v>
      </c>
      <c r="M310" s="33" t="n">
        <f>739</f>
        <v>739.0</v>
      </c>
      <c r="N310" s="34" t="s">
        <v>86</v>
      </c>
      <c r="O310" s="33" t="n">
        <f>688</f>
        <v>688.0</v>
      </c>
      <c r="P310" s="34" t="s">
        <v>69</v>
      </c>
      <c r="Q310" s="33" t="n">
        <f>697.8</f>
        <v>697.8</v>
      </c>
      <c r="R310" s="34" t="s">
        <v>50</v>
      </c>
      <c r="S310" s="35" t="n">
        <f>697.35</f>
        <v>697.35</v>
      </c>
      <c r="T310" s="32" t="n">
        <f>4520</f>
        <v>4520.0</v>
      </c>
      <c r="U310" s="32" t="str">
        <f>"－"</f>
        <v>－</v>
      </c>
      <c r="V310" s="32" t="n">
        <f>3153507</f>
        <v>3153507.0</v>
      </c>
      <c r="W310" s="32" t="str">
        <f>"－"</f>
        <v>－</v>
      </c>
      <c r="X310" s="36" t="n">
        <f>12</f>
        <v>12.0</v>
      </c>
    </row>
    <row r="311">
      <c r="A311" s="27" t="s">
        <v>42</v>
      </c>
      <c r="B311" s="27" t="s">
        <v>986</v>
      </c>
      <c r="C311" s="27" t="s">
        <v>987</v>
      </c>
      <c r="D311" s="27" t="s">
        <v>988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1232</f>
        <v>1232.0</v>
      </c>
      <c r="L311" s="34" t="s">
        <v>48</v>
      </c>
      <c r="M311" s="33" t="n">
        <f>1244</f>
        <v>1244.0</v>
      </c>
      <c r="N311" s="34" t="s">
        <v>48</v>
      </c>
      <c r="O311" s="33" t="n">
        <f>1165</f>
        <v>1165.0</v>
      </c>
      <c r="P311" s="34" t="s">
        <v>49</v>
      </c>
      <c r="Q311" s="33" t="n">
        <f>1212</f>
        <v>1212.0</v>
      </c>
      <c r="R311" s="34" t="s">
        <v>50</v>
      </c>
      <c r="S311" s="35" t="n">
        <f>1203.9</f>
        <v>1203.9</v>
      </c>
      <c r="T311" s="32" t="n">
        <f>259263</f>
        <v>259263.0</v>
      </c>
      <c r="U311" s="32" t="n">
        <f>1172</f>
        <v>1172.0</v>
      </c>
      <c r="V311" s="32" t="n">
        <f>313458250</f>
        <v>3.1345825E8</v>
      </c>
      <c r="W311" s="32" t="n">
        <f>1395556</f>
        <v>1395556.0</v>
      </c>
      <c r="X311" s="36" t="n">
        <f>20</f>
        <v>20.0</v>
      </c>
    </row>
    <row r="312">
      <c r="A312" s="27" t="s">
        <v>42</v>
      </c>
      <c r="B312" s="27" t="s">
        <v>989</v>
      </c>
      <c r="C312" s="27" t="s">
        <v>990</v>
      </c>
      <c r="D312" s="27" t="s">
        <v>991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962</f>
        <v>962.0</v>
      </c>
      <c r="L312" s="34" t="s">
        <v>48</v>
      </c>
      <c r="M312" s="33" t="n">
        <f>983</f>
        <v>983.0</v>
      </c>
      <c r="N312" s="34" t="s">
        <v>104</v>
      </c>
      <c r="O312" s="33" t="n">
        <f>950</f>
        <v>950.0</v>
      </c>
      <c r="P312" s="34" t="s">
        <v>69</v>
      </c>
      <c r="Q312" s="33" t="n">
        <f>973</f>
        <v>973.0</v>
      </c>
      <c r="R312" s="34" t="s">
        <v>50</v>
      </c>
      <c r="S312" s="35" t="n">
        <f>967.15</f>
        <v>967.15</v>
      </c>
      <c r="T312" s="32" t="n">
        <f>5024</f>
        <v>5024.0</v>
      </c>
      <c r="U312" s="32" t="str">
        <f>"－"</f>
        <v>－</v>
      </c>
      <c r="V312" s="32" t="n">
        <f>4847043</f>
        <v>4847043.0</v>
      </c>
      <c r="W312" s="32" t="str">
        <f>"－"</f>
        <v>－</v>
      </c>
      <c r="X312" s="36" t="n">
        <f>20</f>
        <v>20.0</v>
      </c>
    </row>
    <row r="313">
      <c r="A313" s="27" t="s">
        <v>42</v>
      </c>
      <c r="B313" s="27" t="s">
        <v>992</v>
      </c>
      <c r="C313" s="27" t="s">
        <v>993</v>
      </c>
      <c r="D313" s="27" t="s">
        <v>994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10.0</v>
      </c>
      <c r="K313" s="33" t="n">
        <f>736.7</f>
        <v>736.7</v>
      </c>
      <c r="L313" s="34" t="s">
        <v>48</v>
      </c>
      <c r="M313" s="33" t="n">
        <f>774</f>
        <v>774.0</v>
      </c>
      <c r="N313" s="34" t="s">
        <v>267</v>
      </c>
      <c r="O313" s="33" t="n">
        <f>723.3</f>
        <v>723.3</v>
      </c>
      <c r="P313" s="34" t="s">
        <v>267</v>
      </c>
      <c r="Q313" s="33" t="n">
        <f>728.5</f>
        <v>728.5</v>
      </c>
      <c r="R313" s="34" t="s">
        <v>50</v>
      </c>
      <c r="S313" s="35" t="n">
        <f>732.03</f>
        <v>732.03</v>
      </c>
      <c r="T313" s="32" t="n">
        <f>3694670</f>
        <v>3694670.0</v>
      </c>
      <c r="U313" s="32" t="n">
        <f>3175160</f>
        <v>3175160.0</v>
      </c>
      <c r="V313" s="32" t="n">
        <f>2700405931</f>
        <v>2.700405931E9</v>
      </c>
      <c r="W313" s="32" t="n">
        <f>2319433600</f>
        <v>2.3194336E9</v>
      </c>
      <c r="X313" s="36" t="n">
        <f>20</f>
        <v>20.0</v>
      </c>
    </row>
    <row r="314">
      <c r="A314" s="27" t="s">
        <v>42</v>
      </c>
      <c r="B314" s="27" t="s">
        <v>995</v>
      </c>
      <c r="C314" s="27" t="s">
        <v>996</v>
      </c>
      <c r="D314" s="27" t="s">
        <v>997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10.0</v>
      </c>
      <c r="K314" s="33" t="n">
        <f>719.1</f>
        <v>719.1</v>
      </c>
      <c r="L314" s="34" t="s">
        <v>48</v>
      </c>
      <c r="M314" s="33" t="n">
        <f>719.1</f>
        <v>719.1</v>
      </c>
      <c r="N314" s="34" t="s">
        <v>48</v>
      </c>
      <c r="O314" s="33" t="n">
        <f>694.1</f>
        <v>694.1</v>
      </c>
      <c r="P314" s="34" t="s">
        <v>117</v>
      </c>
      <c r="Q314" s="33" t="n">
        <f>702.9</f>
        <v>702.9</v>
      </c>
      <c r="R314" s="34" t="s">
        <v>50</v>
      </c>
      <c r="S314" s="35" t="n">
        <f>704.7</f>
        <v>704.7</v>
      </c>
      <c r="T314" s="32" t="n">
        <f>2832300</f>
        <v>2832300.0</v>
      </c>
      <c r="U314" s="32" t="n">
        <f>2610810</f>
        <v>2610810.0</v>
      </c>
      <c r="V314" s="32" t="n">
        <f>1997835986</f>
        <v>1.997835986E9</v>
      </c>
      <c r="W314" s="32" t="n">
        <f>1842727806</f>
        <v>1.842727806E9</v>
      </c>
      <c r="X314" s="36" t="n">
        <f>20</f>
        <v>20.0</v>
      </c>
    </row>
    <row r="315">
      <c r="A315" s="27" t="s">
        <v>42</v>
      </c>
      <c r="B315" s="27" t="s">
        <v>998</v>
      </c>
      <c r="C315" s="27" t="s">
        <v>999</v>
      </c>
      <c r="D315" s="27" t="s">
        <v>1000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1114</f>
        <v>1114.0</v>
      </c>
      <c r="L315" s="34" t="s">
        <v>48</v>
      </c>
      <c r="M315" s="33" t="n">
        <f>1144</f>
        <v>1144.0</v>
      </c>
      <c r="N315" s="34" t="s">
        <v>155</v>
      </c>
      <c r="O315" s="33" t="n">
        <f>1107</f>
        <v>1107.0</v>
      </c>
      <c r="P315" s="34" t="s">
        <v>91</v>
      </c>
      <c r="Q315" s="33" t="n">
        <f>1128</f>
        <v>1128.0</v>
      </c>
      <c r="R315" s="34" t="s">
        <v>50</v>
      </c>
      <c r="S315" s="35" t="n">
        <f>1116.2</f>
        <v>1116.2</v>
      </c>
      <c r="T315" s="32" t="n">
        <f>35405</f>
        <v>35405.0</v>
      </c>
      <c r="U315" s="32" t="str">
        <f>"－"</f>
        <v>－</v>
      </c>
      <c r="V315" s="32" t="n">
        <f>39557489</f>
        <v>3.9557489E7</v>
      </c>
      <c r="W315" s="32" t="str">
        <f>"－"</f>
        <v>－</v>
      </c>
      <c r="X315" s="36" t="n">
        <f>20</f>
        <v>20.0</v>
      </c>
    </row>
    <row r="316">
      <c r="A316" s="27" t="s">
        <v>42</v>
      </c>
      <c r="B316" s="27" t="s">
        <v>1001</v>
      </c>
      <c r="C316" s="27" t="s">
        <v>1002</v>
      </c>
      <c r="D316" s="27" t="s">
        <v>1003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10.0</v>
      </c>
      <c r="K316" s="33" t="n">
        <f>2424.5</f>
        <v>2424.5</v>
      </c>
      <c r="L316" s="34" t="s">
        <v>48</v>
      </c>
      <c r="M316" s="33" t="n">
        <f>2453.5</f>
        <v>2453.5</v>
      </c>
      <c r="N316" s="34" t="s">
        <v>86</v>
      </c>
      <c r="O316" s="33" t="n">
        <f>2314.5</f>
        <v>2314.5</v>
      </c>
      <c r="P316" s="34" t="s">
        <v>69</v>
      </c>
      <c r="Q316" s="33" t="n">
        <f>2437.5</f>
        <v>2437.5</v>
      </c>
      <c r="R316" s="34" t="s">
        <v>50</v>
      </c>
      <c r="S316" s="35" t="n">
        <f>2386.63</f>
        <v>2386.63</v>
      </c>
      <c r="T316" s="32" t="n">
        <f>98920</f>
        <v>98920.0</v>
      </c>
      <c r="U316" s="32" t="str">
        <f>"－"</f>
        <v>－</v>
      </c>
      <c r="V316" s="32" t="n">
        <f>240109190</f>
        <v>2.4010919E8</v>
      </c>
      <c r="W316" s="32" t="str">
        <f>"－"</f>
        <v>－</v>
      </c>
      <c r="X316" s="36" t="n">
        <f>20</f>
        <v>20.0</v>
      </c>
    </row>
    <row r="317">
      <c r="A317" s="27" t="s">
        <v>42</v>
      </c>
      <c r="B317" s="27" t="s">
        <v>1004</v>
      </c>
      <c r="C317" s="27" t="s">
        <v>1005</v>
      </c>
      <c r="D317" s="27" t="s">
        <v>1006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10.0</v>
      </c>
      <c r="K317" s="33" t="n">
        <f>2406</f>
        <v>2406.0</v>
      </c>
      <c r="L317" s="34" t="s">
        <v>48</v>
      </c>
      <c r="M317" s="33" t="n">
        <f>2451.5</f>
        <v>2451.5</v>
      </c>
      <c r="N317" s="34" t="s">
        <v>50</v>
      </c>
      <c r="O317" s="33" t="n">
        <f>2288</f>
        <v>2288.0</v>
      </c>
      <c r="P317" s="34" t="s">
        <v>267</v>
      </c>
      <c r="Q317" s="33" t="n">
        <f>2415.5</f>
        <v>2415.5</v>
      </c>
      <c r="R317" s="34" t="s">
        <v>50</v>
      </c>
      <c r="S317" s="35" t="n">
        <f>2361.43</f>
        <v>2361.43</v>
      </c>
      <c r="T317" s="32" t="n">
        <f>167690</f>
        <v>167690.0</v>
      </c>
      <c r="U317" s="32" t="n">
        <f>76500</f>
        <v>76500.0</v>
      </c>
      <c r="V317" s="32" t="n">
        <f>397919445</f>
        <v>3.97919445E8</v>
      </c>
      <c r="W317" s="32" t="n">
        <f>181758160</f>
        <v>1.8175816E8</v>
      </c>
      <c r="X317" s="36" t="n">
        <f>20</f>
        <v>20.0</v>
      </c>
    </row>
    <row r="318">
      <c r="A318" s="27" t="s">
        <v>42</v>
      </c>
      <c r="B318" s="27" t="s">
        <v>1007</v>
      </c>
      <c r="C318" s="27" t="s">
        <v>1008</v>
      </c>
      <c r="D318" s="27" t="s">
        <v>1009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10.0</v>
      </c>
      <c r="K318" s="33" t="n">
        <f>5205</f>
        <v>5205.0</v>
      </c>
      <c r="L318" s="34" t="s">
        <v>48</v>
      </c>
      <c r="M318" s="33" t="n">
        <f>5205</f>
        <v>5205.0</v>
      </c>
      <c r="N318" s="34" t="s">
        <v>48</v>
      </c>
      <c r="O318" s="33" t="n">
        <f>5010</f>
        <v>5010.0</v>
      </c>
      <c r="P318" s="34" t="s">
        <v>117</v>
      </c>
      <c r="Q318" s="33" t="n">
        <f>5010</f>
        <v>5010.0</v>
      </c>
      <c r="R318" s="34" t="s">
        <v>117</v>
      </c>
      <c r="S318" s="35" t="n">
        <f>5135.63</f>
        <v>5135.63</v>
      </c>
      <c r="T318" s="32" t="n">
        <f>110</f>
        <v>110.0</v>
      </c>
      <c r="U318" s="32" t="str">
        <f>"－"</f>
        <v>－</v>
      </c>
      <c r="V318" s="32" t="n">
        <f>565560</f>
        <v>565560.0</v>
      </c>
      <c r="W318" s="32" t="str">
        <f>"－"</f>
        <v>－</v>
      </c>
      <c r="X318" s="36" t="n">
        <f>8</f>
        <v>8.0</v>
      </c>
    </row>
    <row r="319">
      <c r="A319" s="27" t="s">
        <v>42</v>
      </c>
      <c r="B319" s="27" t="s">
        <v>1010</v>
      </c>
      <c r="C319" s="27" t="s">
        <v>1011</v>
      </c>
      <c r="D319" s="27" t="s">
        <v>1012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10.0</v>
      </c>
      <c r="K319" s="33" t="n">
        <f>4380</f>
        <v>4380.0</v>
      </c>
      <c r="L319" s="34" t="s">
        <v>86</v>
      </c>
      <c r="M319" s="33" t="n">
        <f>4380</f>
        <v>4380.0</v>
      </c>
      <c r="N319" s="34" t="s">
        <v>86</v>
      </c>
      <c r="O319" s="33" t="n">
        <f>4260</f>
        <v>4260.0</v>
      </c>
      <c r="P319" s="34" t="s">
        <v>267</v>
      </c>
      <c r="Q319" s="33" t="n">
        <f>4348</f>
        <v>4348.0</v>
      </c>
      <c r="R319" s="34" t="s">
        <v>50</v>
      </c>
      <c r="S319" s="35" t="n">
        <f>4350.25</f>
        <v>4350.25</v>
      </c>
      <c r="T319" s="32" t="n">
        <f>103220</f>
        <v>103220.0</v>
      </c>
      <c r="U319" s="32" t="n">
        <f>103000</f>
        <v>103000.0</v>
      </c>
      <c r="V319" s="32" t="n">
        <f>444909420</f>
        <v>4.4490942E8</v>
      </c>
      <c r="W319" s="32" t="n">
        <f>443951700</f>
        <v>4.439517E8</v>
      </c>
      <c r="X319" s="36" t="n">
        <f>4</f>
        <v>4.0</v>
      </c>
    </row>
    <row r="320">
      <c r="A320" s="27" t="s">
        <v>42</v>
      </c>
      <c r="B320" s="27" t="s">
        <v>1013</v>
      </c>
      <c r="C320" s="27" t="s">
        <v>1014</v>
      </c>
      <c r="D320" s="27" t="s">
        <v>1015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10.0</v>
      </c>
      <c r="K320" s="33" t="n">
        <f>1956.5</f>
        <v>1956.5</v>
      </c>
      <c r="L320" s="34" t="s">
        <v>48</v>
      </c>
      <c r="M320" s="33" t="n">
        <f>1968</f>
        <v>1968.0</v>
      </c>
      <c r="N320" s="34" t="s">
        <v>227</v>
      </c>
      <c r="O320" s="33" t="n">
        <f>1933.5</f>
        <v>1933.5</v>
      </c>
      <c r="P320" s="34" t="s">
        <v>49</v>
      </c>
      <c r="Q320" s="33" t="n">
        <f>1957</f>
        <v>1957.0</v>
      </c>
      <c r="R320" s="34" t="s">
        <v>50</v>
      </c>
      <c r="S320" s="35" t="n">
        <f>1955.46</f>
        <v>1955.46</v>
      </c>
      <c r="T320" s="32" t="n">
        <f>1110</f>
        <v>1110.0</v>
      </c>
      <c r="U320" s="32" t="str">
        <f>"－"</f>
        <v>－</v>
      </c>
      <c r="V320" s="32" t="n">
        <f>2174420</f>
        <v>2174420.0</v>
      </c>
      <c r="W320" s="32" t="str">
        <f>"－"</f>
        <v>－</v>
      </c>
      <c r="X320" s="36" t="n">
        <f>12</f>
        <v>12.0</v>
      </c>
    </row>
    <row r="321">
      <c r="A321" s="27" t="s">
        <v>42</v>
      </c>
      <c r="B321" s="27" t="s">
        <v>1016</v>
      </c>
      <c r="C321" s="27" t="s">
        <v>1017</v>
      </c>
      <c r="D321" s="27" t="s">
        <v>1018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1198</f>
        <v>1198.0</v>
      </c>
      <c r="L321" s="34" t="s">
        <v>48</v>
      </c>
      <c r="M321" s="33" t="n">
        <f>1224</f>
        <v>1224.0</v>
      </c>
      <c r="N321" s="34" t="s">
        <v>70</v>
      </c>
      <c r="O321" s="33" t="n">
        <f>1141</f>
        <v>1141.0</v>
      </c>
      <c r="P321" s="34" t="s">
        <v>159</v>
      </c>
      <c r="Q321" s="33" t="n">
        <f>1174</f>
        <v>1174.0</v>
      </c>
      <c r="R321" s="34" t="s">
        <v>50</v>
      </c>
      <c r="S321" s="35" t="n">
        <f>1178.65</f>
        <v>1178.65</v>
      </c>
      <c r="T321" s="32" t="n">
        <f>7220</f>
        <v>7220.0</v>
      </c>
      <c r="U321" s="32" t="str">
        <f>"－"</f>
        <v>－</v>
      </c>
      <c r="V321" s="32" t="n">
        <f>8482357</f>
        <v>8482357.0</v>
      </c>
      <c r="W321" s="32" t="str">
        <f>"－"</f>
        <v>－</v>
      </c>
      <c r="X321" s="36" t="n">
        <f>20</f>
        <v>20.0</v>
      </c>
    </row>
    <row r="322">
      <c r="A322" s="27" t="s">
        <v>42</v>
      </c>
      <c r="B322" s="27" t="s">
        <v>1019</v>
      </c>
      <c r="C322" s="27" t="s">
        <v>1020</v>
      </c>
      <c r="D322" s="27" t="s">
        <v>1021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1118</f>
        <v>1118.0</v>
      </c>
      <c r="L322" s="34" t="s">
        <v>48</v>
      </c>
      <c r="M322" s="33" t="n">
        <f>1190</f>
        <v>1190.0</v>
      </c>
      <c r="N322" s="34" t="s">
        <v>90</v>
      </c>
      <c r="O322" s="33" t="n">
        <f>1069</f>
        <v>1069.0</v>
      </c>
      <c r="P322" s="34" t="s">
        <v>91</v>
      </c>
      <c r="Q322" s="33" t="n">
        <f>1115</f>
        <v>1115.0</v>
      </c>
      <c r="R322" s="34" t="s">
        <v>50</v>
      </c>
      <c r="S322" s="35" t="n">
        <f>1100.55</f>
        <v>1100.55</v>
      </c>
      <c r="T322" s="32" t="n">
        <f>894148</f>
        <v>894148.0</v>
      </c>
      <c r="U322" s="32" t="n">
        <f>50</f>
        <v>50.0</v>
      </c>
      <c r="V322" s="32" t="n">
        <f>981954919</f>
        <v>9.81954919E8</v>
      </c>
      <c r="W322" s="32" t="n">
        <f>54850</f>
        <v>54850.0</v>
      </c>
      <c r="X322" s="36" t="n">
        <f>20</f>
        <v>20.0</v>
      </c>
    </row>
    <row r="323">
      <c r="A323" s="27" t="s">
        <v>42</v>
      </c>
      <c r="B323" s="27" t="s">
        <v>1022</v>
      </c>
      <c r="C323" s="27" t="s">
        <v>1023</v>
      </c>
      <c r="D323" s="27" t="s">
        <v>1024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934</f>
        <v>934.0</v>
      </c>
      <c r="L323" s="34" t="s">
        <v>48</v>
      </c>
      <c r="M323" s="33" t="n">
        <f>950</f>
        <v>950.0</v>
      </c>
      <c r="N323" s="34" t="s">
        <v>184</v>
      </c>
      <c r="O323" s="33" t="n">
        <f>906</f>
        <v>906.0</v>
      </c>
      <c r="P323" s="34" t="s">
        <v>49</v>
      </c>
      <c r="Q323" s="33" t="n">
        <f>922</f>
        <v>922.0</v>
      </c>
      <c r="R323" s="34" t="s">
        <v>50</v>
      </c>
      <c r="S323" s="35" t="n">
        <f>922.65</f>
        <v>922.65</v>
      </c>
      <c r="T323" s="32" t="n">
        <f>735223</f>
        <v>735223.0</v>
      </c>
      <c r="U323" s="32" t="str">
        <f>"－"</f>
        <v>－</v>
      </c>
      <c r="V323" s="32" t="n">
        <f>677935572</f>
        <v>6.77935572E8</v>
      </c>
      <c r="W323" s="32" t="str">
        <f>"－"</f>
        <v>－</v>
      </c>
      <c r="X323" s="36" t="n">
        <f>20</f>
        <v>20.0</v>
      </c>
    </row>
    <row r="324">
      <c r="A324" s="27" t="s">
        <v>42</v>
      </c>
      <c r="B324" s="27" t="s">
        <v>1025</v>
      </c>
      <c r="C324" s="27" t="s">
        <v>1026</v>
      </c>
      <c r="D324" s="27" t="s">
        <v>1027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1187</f>
        <v>1187.0</v>
      </c>
      <c r="L324" s="34" t="s">
        <v>48</v>
      </c>
      <c r="M324" s="33" t="n">
        <f>1241</f>
        <v>1241.0</v>
      </c>
      <c r="N324" s="34" t="s">
        <v>50</v>
      </c>
      <c r="O324" s="33" t="n">
        <f>1169</f>
        <v>1169.0</v>
      </c>
      <c r="P324" s="34" t="s">
        <v>267</v>
      </c>
      <c r="Q324" s="33" t="n">
        <f>1239</f>
        <v>1239.0</v>
      </c>
      <c r="R324" s="34" t="s">
        <v>50</v>
      </c>
      <c r="S324" s="35" t="n">
        <f>1198.1</f>
        <v>1198.1</v>
      </c>
      <c r="T324" s="32" t="n">
        <f>69839</f>
        <v>69839.0</v>
      </c>
      <c r="U324" s="32" t="str">
        <f>"－"</f>
        <v>－</v>
      </c>
      <c r="V324" s="32" t="n">
        <f>83712593</f>
        <v>8.3712593E7</v>
      </c>
      <c r="W324" s="32" t="str">
        <f>"－"</f>
        <v>－</v>
      </c>
      <c r="X324" s="36" t="n">
        <f>20</f>
        <v>20.0</v>
      </c>
    </row>
    <row r="325">
      <c r="A325" s="27" t="s">
        <v>42</v>
      </c>
      <c r="B325" s="27" t="s">
        <v>1028</v>
      </c>
      <c r="C325" s="27" t="s">
        <v>1029</v>
      </c>
      <c r="D325" s="27" t="s">
        <v>1030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1023</f>
        <v>1023.0</v>
      </c>
      <c r="L325" s="34" t="s">
        <v>48</v>
      </c>
      <c r="M325" s="33" t="n">
        <f>1034</f>
        <v>1034.0</v>
      </c>
      <c r="N325" s="34" t="s">
        <v>90</v>
      </c>
      <c r="O325" s="33" t="n">
        <f>975</f>
        <v>975.0</v>
      </c>
      <c r="P325" s="34" t="s">
        <v>91</v>
      </c>
      <c r="Q325" s="33" t="n">
        <f>1015</f>
        <v>1015.0</v>
      </c>
      <c r="R325" s="34" t="s">
        <v>50</v>
      </c>
      <c r="S325" s="35" t="n">
        <f>1001.9</f>
        <v>1001.9</v>
      </c>
      <c r="T325" s="32" t="n">
        <f>475314</f>
        <v>475314.0</v>
      </c>
      <c r="U325" s="32" t="str">
        <f>"－"</f>
        <v>－</v>
      </c>
      <c r="V325" s="32" t="n">
        <f>477442120</f>
        <v>4.7744212E8</v>
      </c>
      <c r="W325" s="32" t="str">
        <f>"－"</f>
        <v>－</v>
      </c>
      <c r="X325" s="36" t="n">
        <f>20</f>
        <v>20.0</v>
      </c>
    </row>
    <row r="326">
      <c r="A326" s="27" t="s">
        <v>42</v>
      </c>
      <c r="B326" s="27" t="s">
        <v>1031</v>
      </c>
      <c r="C326" s="27" t="s">
        <v>1032</v>
      </c>
      <c r="D326" s="27" t="s">
        <v>1033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30490</f>
        <v>30490.0</v>
      </c>
      <c r="L326" s="34" t="s">
        <v>48</v>
      </c>
      <c r="M326" s="33" t="n">
        <f>32930</f>
        <v>32930.0</v>
      </c>
      <c r="N326" s="34" t="s">
        <v>60</v>
      </c>
      <c r="O326" s="33" t="n">
        <f>29435</f>
        <v>29435.0</v>
      </c>
      <c r="P326" s="34" t="s">
        <v>69</v>
      </c>
      <c r="Q326" s="33" t="n">
        <f>32250</f>
        <v>32250.0</v>
      </c>
      <c r="R326" s="34" t="s">
        <v>50</v>
      </c>
      <c r="S326" s="35" t="n">
        <f>31155</f>
        <v>31155.0</v>
      </c>
      <c r="T326" s="32" t="n">
        <f>306415</f>
        <v>306415.0</v>
      </c>
      <c r="U326" s="32" t="n">
        <f>1</f>
        <v>1.0</v>
      </c>
      <c r="V326" s="32" t="n">
        <f>9610183910</f>
        <v>9.61018391E9</v>
      </c>
      <c r="W326" s="32" t="n">
        <f>29915</f>
        <v>29915.0</v>
      </c>
      <c r="X326" s="36" t="n">
        <f>20</f>
        <v>20.0</v>
      </c>
    </row>
    <row r="327">
      <c r="A327" s="27" t="s">
        <v>42</v>
      </c>
      <c r="B327" s="27" t="s">
        <v>1034</v>
      </c>
      <c r="C327" s="27" t="s">
        <v>1035</v>
      </c>
      <c r="D327" s="27" t="s">
        <v>1036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33860</f>
        <v>33860.0</v>
      </c>
      <c r="L327" s="34" t="s">
        <v>48</v>
      </c>
      <c r="M327" s="33" t="n">
        <f>35100</f>
        <v>35100.0</v>
      </c>
      <c r="N327" s="34" t="s">
        <v>69</v>
      </c>
      <c r="O327" s="33" t="n">
        <f>31270</f>
        <v>31270.0</v>
      </c>
      <c r="P327" s="34" t="s">
        <v>60</v>
      </c>
      <c r="Q327" s="33" t="n">
        <f>31710</f>
        <v>31710.0</v>
      </c>
      <c r="R327" s="34" t="s">
        <v>50</v>
      </c>
      <c r="S327" s="35" t="n">
        <f>33096</f>
        <v>33096.0</v>
      </c>
      <c r="T327" s="32" t="n">
        <f>135234</f>
        <v>135234.0</v>
      </c>
      <c r="U327" s="32" t="str">
        <f>"－"</f>
        <v>－</v>
      </c>
      <c r="V327" s="32" t="n">
        <f>4487107190</f>
        <v>4.48710719E9</v>
      </c>
      <c r="W327" s="32" t="str">
        <f>"－"</f>
        <v>－</v>
      </c>
      <c r="X327" s="36" t="n">
        <f>20</f>
        <v>20.0</v>
      </c>
    </row>
    <row r="328">
      <c r="A328" s="27" t="s">
        <v>42</v>
      </c>
      <c r="B328" s="27" t="s">
        <v>1037</v>
      </c>
      <c r="C328" s="27" t="s">
        <v>1038</v>
      </c>
      <c r="D328" s="27" t="s">
        <v>1039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122400</f>
        <v>122400.0</v>
      </c>
      <c r="L328" s="34" t="s">
        <v>48</v>
      </c>
      <c r="M328" s="33" t="n">
        <f>122500</f>
        <v>122500.0</v>
      </c>
      <c r="N328" s="34" t="s">
        <v>48</v>
      </c>
      <c r="O328" s="33" t="n">
        <f>115800</f>
        <v>115800.0</v>
      </c>
      <c r="P328" s="34" t="s">
        <v>117</v>
      </c>
      <c r="Q328" s="33" t="n">
        <f>116200</f>
        <v>116200.0</v>
      </c>
      <c r="R328" s="34" t="s">
        <v>50</v>
      </c>
      <c r="S328" s="35" t="n">
        <f>120425</f>
        <v>120425.0</v>
      </c>
      <c r="T328" s="32" t="n">
        <f>21859</f>
        <v>21859.0</v>
      </c>
      <c r="U328" s="32" t="n">
        <f>1964</f>
        <v>1964.0</v>
      </c>
      <c r="V328" s="32" t="n">
        <f>2619450542</f>
        <v>2.619450542E9</v>
      </c>
      <c r="W328" s="32" t="n">
        <f>235782142</f>
        <v>2.35782142E8</v>
      </c>
      <c r="X328" s="36" t="n">
        <f>20</f>
        <v>20.0</v>
      </c>
    </row>
    <row r="329">
      <c r="A329" s="27" t="s">
        <v>42</v>
      </c>
      <c r="B329" s="27" t="s">
        <v>1040</v>
      </c>
      <c r="C329" s="27" t="s">
        <v>1041</v>
      </c>
      <c r="D329" s="27" t="s">
        <v>1042</v>
      </c>
      <c r="E329" s="28" t="s">
        <v>46</v>
      </c>
      <c r="F329" s="29" t="s">
        <v>46</v>
      </c>
      <c r="G329" s="30" t="s">
        <v>46</v>
      </c>
      <c r="H329" s="31"/>
      <c r="I329" s="31" t="s">
        <v>583</v>
      </c>
      <c r="J329" s="32" t="n">
        <v>1.0</v>
      </c>
      <c r="K329" s="33" t="n">
        <f>90800</f>
        <v>90800.0</v>
      </c>
      <c r="L329" s="34" t="s">
        <v>48</v>
      </c>
      <c r="M329" s="33" t="n">
        <f>96300</f>
        <v>96300.0</v>
      </c>
      <c r="N329" s="34" t="s">
        <v>104</v>
      </c>
      <c r="O329" s="33" t="n">
        <f>90100</f>
        <v>90100.0</v>
      </c>
      <c r="P329" s="34" t="s">
        <v>48</v>
      </c>
      <c r="Q329" s="33" t="n">
        <f>94800</f>
        <v>94800.0</v>
      </c>
      <c r="R329" s="34" t="s">
        <v>50</v>
      </c>
      <c r="S329" s="35" t="n">
        <f>93295</f>
        <v>93295.0</v>
      </c>
      <c r="T329" s="32" t="n">
        <f>42713</f>
        <v>42713.0</v>
      </c>
      <c r="U329" s="32" t="n">
        <f>8522</f>
        <v>8522.0</v>
      </c>
      <c r="V329" s="32" t="n">
        <f>3993364362</f>
        <v>3.993364362E9</v>
      </c>
      <c r="W329" s="32" t="n">
        <f>796915062</f>
        <v>7.96915062E8</v>
      </c>
      <c r="X329" s="36" t="n">
        <f>20</f>
        <v>20.0</v>
      </c>
    </row>
    <row r="330">
      <c r="A330" s="27" t="s">
        <v>42</v>
      </c>
      <c r="B330" s="27" t="s">
        <v>1043</v>
      </c>
      <c r="C330" s="27" t="s">
        <v>1044</v>
      </c>
      <c r="D330" s="27" t="s">
        <v>1045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131400</f>
        <v>131400.0</v>
      </c>
      <c r="L330" s="34" t="s">
        <v>48</v>
      </c>
      <c r="M330" s="33" t="n">
        <f>132900</f>
        <v>132900.0</v>
      </c>
      <c r="N330" s="34" t="s">
        <v>86</v>
      </c>
      <c r="O330" s="33" t="n">
        <f>127300</f>
        <v>127300.0</v>
      </c>
      <c r="P330" s="34" t="s">
        <v>117</v>
      </c>
      <c r="Q330" s="33" t="n">
        <f>128500</f>
        <v>128500.0</v>
      </c>
      <c r="R330" s="34" t="s">
        <v>50</v>
      </c>
      <c r="S330" s="35" t="n">
        <f>130000</f>
        <v>130000.0</v>
      </c>
      <c r="T330" s="32" t="n">
        <f>32473</f>
        <v>32473.0</v>
      </c>
      <c r="U330" s="32" t="n">
        <f>5036</f>
        <v>5036.0</v>
      </c>
      <c r="V330" s="32" t="n">
        <f>4217285834</f>
        <v>4.217285834E9</v>
      </c>
      <c r="W330" s="32" t="n">
        <f>654073134</f>
        <v>6.54073134E8</v>
      </c>
      <c r="X330" s="36" t="n">
        <f>20</f>
        <v>20.0</v>
      </c>
    </row>
    <row r="331">
      <c r="A331" s="27" t="s">
        <v>42</v>
      </c>
      <c r="B331" s="27" t="s">
        <v>1046</v>
      </c>
      <c r="C331" s="27" t="s">
        <v>1047</v>
      </c>
      <c r="D331" s="27" t="s">
        <v>1048</v>
      </c>
      <c r="E331" s="28" t="s">
        <v>46</v>
      </c>
      <c r="F331" s="29" t="s">
        <v>46</v>
      </c>
      <c r="G331" s="30" t="s">
        <v>46</v>
      </c>
      <c r="H331" s="31"/>
      <c r="I331" s="31" t="s">
        <v>583</v>
      </c>
      <c r="J331" s="32" t="n">
        <v>1.0</v>
      </c>
      <c r="K331" s="33" t="n">
        <f>125100</f>
        <v>125100.0</v>
      </c>
      <c r="L331" s="34" t="s">
        <v>48</v>
      </c>
      <c r="M331" s="33" t="n">
        <f>128400</f>
        <v>128400.0</v>
      </c>
      <c r="N331" s="34" t="s">
        <v>69</v>
      </c>
      <c r="O331" s="33" t="n">
        <f>118900</f>
        <v>118900.0</v>
      </c>
      <c r="P331" s="34" t="s">
        <v>117</v>
      </c>
      <c r="Q331" s="33" t="n">
        <f>120400</f>
        <v>120400.0</v>
      </c>
      <c r="R331" s="34" t="s">
        <v>50</v>
      </c>
      <c r="S331" s="35" t="n">
        <f>125095</f>
        <v>125095.0</v>
      </c>
      <c r="T331" s="32" t="n">
        <f>46251</f>
        <v>46251.0</v>
      </c>
      <c r="U331" s="32" t="n">
        <f>7560</f>
        <v>7560.0</v>
      </c>
      <c r="V331" s="32" t="n">
        <f>5702239585</f>
        <v>5.702239585E9</v>
      </c>
      <c r="W331" s="32" t="n">
        <f>918875585</f>
        <v>9.18875585E8</v>
      </c>
      <c r="X331" s="36" t="n">
        <f>20</f>
        <v>20.0</v>
      </c>
    </row>
    <row r="332">
      <c r="A332" s="27" t="s">
        <v>42</v>
      </c>
      <c r="B332" s="27" t="s">
        <v>1049</v>
      </c>
      <c r="C332" s="27" t="s">
        <v>1050</v>
      </c>
      <c r="D332" s="27" t="s">
        <v>1051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651000</f>
        <v>651000.0</v>
      </c>
      <c r="L332" s="34" t="s">
        <v>48</v>
      </c>
      <c r="M332" s="33" t="n">
        <f>684000</f>
        <v>684000.0</v>
      </c>
      <c r="N332" s="34" t="s">
        <v>104</v>
      </c>
      <c r="O332" s="33" t="n">
        <f>641000</f>
        <v>641000.0</v>
      </c>
      <c r="P332" s="34" t="s">
        <v>49</v>
      </c>
      <c r="Q332" s="33" t="n">
        <f>674000</f>
        <v>674000.0</v>
      </c>
      <c r="R332" s="34" t="s">
        <v>50</v>
      </c>
      <c r="S332" s="35" t="n">
        <f>657850</f>
        <v>657850.0</v>
      </c>
      <c r="T332" s="32" t="n">
        <f>28205</f>
        <v>28205.0</v>
      </c>
      <c r="U332" s="32" t="n">
        <f>6787</f>
        <v>6787.0</v>
      </c>
      <c r="V332" s="32" t="n">
        <f>18604607194</f>
        <v>1.8604607194E10</v>
      </c>
      <c r="W332" s="32" t="n">
        <f>4479741194</f>
        <v>4.479741194E9</v>
      </c>
      <c r="X332" s="36" t="n">
        <f>20</f>
        <v>20.0</v>
      </c>
    </row>
    <row r="333">
      <c r="A333" s="27" t="s">
        <v>42</v>
      </c>
      <c r="B333" s="27" t="s">
        <v>1052</v>
      </c>
      <c r="C333" s="27" t="s">
        <v>1053</v>
      </c>
      <c r="D333" s="27" t="s">
        <v>1054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148200</f>
        <v>148200.0</v>
      </c>
      <c r="L333" s="34" t="s">
        <v>48</v>
      </c>
      <c r="M333" s="33" t="n">
        <f>149900</f>
        <v>149900.0</v>
      </c>
      <c r="N333" s="34" t="s">
        <v>159</v>
      </c>
      <c r="O333" s="33" t="n">
        <f>142600</f>
        <v>142600.0</v>
      </c>
      <c r="P333" s="34" t="s">
        <v>117</v>
      </c>
      <c r="Q333" s="33" t="n">
        <f>144700</f>
        <v>144700.0</v>
      </c>
      <c r="R333" s="34" t="s">
        <v>50</v>
      </c>
      <c r="S333" s="35" t="n">
        <f>147360</f>
        <v>147360.0</v>
      </c>
      <c r="T333" s="32" t="n">
        <f>113706</f>
        <v>113706.0</v>
      </c>
      <c r="U333" s="32" t="n">
        <f>27599</f>
        <v>27599.0</v>
      </c>
      <c r="V333" s="32" t="n">
        <f>16729108764</f>
        <v>1.6729108764E10</v>
      </c>
      <c r="W333" s="32" t="n">
        <f>4069824264</f>
        <v>4.069824264E9</v>
      </c>
      <c r="X333" s="36" t="n">
        <f>20</f>
        <v>20.0</v>
      </c>
    </row>
    <row r="334">
      <c r="A334" s="27" t="s">
        <v>42</v>
      </c>
      <c r="B334" s="27" t="s">
        <v>1055</v>
      </c>
      <c r="C334" s="27" t="s">
        <v>1056</v>
      </c>
      <c r="D334" s="27" t="s">
        <v>1057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152100</f>
        <v>152100.0</v>
      </c>
      <c r="L334" s="34" t="s">
        <v>48</v>
      </c>
      <c r="M334" s="33" t="n">
        <f>154800</f>
        <v>154800.0</v>
      </c>
      <c r="N334" s="34" t="s">
        <v>104</v>
      </c>
      <c r="O334" s="33" t="n">
        <f>147100</f>
        <v>147100.0</v>
      </c>
      <c r="P334" s="34" t="s">
        <v>64</v>
      </c>
      <c r="Q334" s="33" t="n">
        <f>148800</f>
        <v>148800.0</v>
      </c>
      <c r="R334" s="34" t="s">
        <v>50</v>
      </c>
      <c r="S334" s="35" t="n">
        <f>151095</f>
        <v>151095.0</v>
      </c>
      <c r="T334" s="32" t="n">
        <f>168341</f>
        <v>168341.0</v>
      </c>
      <c r="U334" s="32" t="n">
        <f>41508</f>
        <v>41508.0</v>
      </c>
      <c r="V334" s="32" t="n">
        <f>25404194866</f>
        <v>2.5404194866E10</v>
      </c>
      <c r="W334" s="32" t="n">
        <f>6252925366</f>
        <v>6.252925366E9</v>
      </c>
      <c r="X334" s="36" t="n">
        <f>20</f>
        <v>20.0</v>
      </c>
    </row>
    <row r="335">
      <c r="A335" s="27" t="s">
        <v>42</v>
      </c>
      <c r="B335" s="27" t="s">
        <v>1058</v>
      </c>
      <c r="C335" s="27" t="s">
        <v>1059</v>
      </c>
      <c r="D335" s="27" t="s">
        <v>1060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348000</f>
        <v>348000.0</v>
      </c>
      <c r="L335" s="34" t="s">
        <v>48</v>
      </c>
      <c r="M335" s="33" t="n">
        <f>368500</f>
        <v>368500.0</v>
      </c>
      <c r="N335" s="34" t="s">
        <v>104</v>
      </c>
      <c r="O335" s="33" t="n">
        <f>331000</f>
        <v>331000.0</v>
      </c>
      <c r="P335" s="34" t="s">
        <v>69</v>
      </c>
      <c r="Q335" s="33" t="n">
        <f>346500</f>
        <v>346500.0</v>
      </c>
      <c r="R335" s="34" t="s">
        <v>50</v>
      </c>
      <c r="S335" s="35" t="n">
        <f>345475</f>
        <v>345475.0</v>
      </c>
      <c r="T335" s="32" t="n">
        <f>155421</f>
        <v>155421.0</v>
      </c>
      <c r="U335" s="32" t="n">
        <f>45583</f>
        <v>45583.0</v>
      </c>
      <c r="V335" s="32" t="n">
        <f>53943590718</f>
        <v>5.3943590718E10</v>
      </c>
      <c r="W335" s="32" t="n">
        <f>15804413718</f>
        <v>1.5804413718E10</v>
      </c>
      <c r="X335" s="36" t="n">
        <f>20</f>
        <v>20.0</v>
      </c>
    </row>
    <row r="336">
      <c r="A336" s="27" t="s">
        <v>42</v>
      </c>
      <c r="B336" s="27" t="s">
        <v>1061</v>
      </c>
      <c r="C336" s="27" t="s">
        <v>1062</v>
      </c>
      <c r="D336" s="27" t="s">
        <v>1063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233800</f>
        <v>233800.0</v>
      </c>
      <c r="L336" s="34" t="s">
        <v>48</v>
      </c>
      <c r="M336" s="33" t="n">
        <f>238200</f>
        <v>238200.0</v>
      </c>
      <c r="N336" s="34" t="s">
        <v>90</v>
      </c>
      <c r="O336" s="33" t="n">
        <f>216600</f>
        <v>216600.0</v>
      </c>
      <c r="P336" s="34" t="s">
        <v>117</v>
      </c>
      <c r="Q336" s="33" t="n">
        <f>222500</f>
        <v>222500.0</v>
      </c>
      <c r="R336" s="34" t="s">
        <v>50</v>
      </c>
      <c r="S336" s="35" t="n">
        <f>227655</f>
        <v>227655.0</v>
      </c>
      <c r="T336" s="32" t="n">
        <f>105025</f>
        <v>105025.0</v>
      </c>
      <c r="U336" s="32" t="n">
        <f>25702</f>
        <v>25702.0</v>
      </c>
      <c r="V336" s="32" t="n">
        <f>23841894784</f>
        <v>2.3841894784E10</v>
      </c>
      <c r="W336" s="32" t="n">
        <f>5853057584</f>
        <v>5.853057584E9</v>
      </c>
      <c r="X336" s="36" t="n">
        <f>20</f>
        <v>20.0</v>
      </c>
    </row>
    <row r="337">
      <c r="A337" s="27" t="s">
        <v>42</v>
      </c>
      <c r="B337" s="27" t="s">
        <v>1064</v>
      </c>
      <c r="C337" s="27" t="s">
        <v>1065</v>
      </c>
      <c r="D337" s="27" t="s">
        <v>1066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404000</f>
        <v>404000.0</v>
      </c>
      <c r="L337" s="34" t="s">
        <v>48</v>
      </c>
      <c r="M337" s="33" t="n">
        <f>424000</f>
        <v>424000.0</v>
      </c>
      <c r="N337" s="34" t="s">
        <v>513</v>
      </c>
      <c r="O337" s="33" t="n">
        <f>396000</f>
        <v>396000.0</v>
      </c>
      <c r="P337" s="34" t="s">
        <v>69</v>
      </c>
      <c r="Q337" s="33" t="n">
        <f>414000</f>
        <v>414000.0</v>
      </c>
      <c r="R337" s="34" t="s">
        <v>50</v>
      </c>
      <c r="S337" s="35" t="n">
        <f>410950</f>
        <v>410950.0</v>
      </c>
      <c r="T337" s="32" t="n">
        <f>43603</f>
        <v>43603.0</v>
      </c>
      <c r="U337" s="32" t="n">
        <f>10227</f>
        <v>10227.0</v>
      </c>
      <c r="V337" s="32" t="n">
        <f>17918822613</f>
        <v>1.7918822613E10</v>
      </c>
      <c r="W337" s="32" t="n">
        <f>4197199113</f>
        <v>4.197199113E9</v>
      </c>
      <c r="X337" s="36" t="n">
        <f>20</f>
        <v>20.0</v>
      </c>
    </row>
    <row r="338">
      <c r="A338" s="27" t="s">
        <v>42</v>
      </c>
      <c r="B338" s="27" t="s">
        <v>1067</v>
      </c>
      <c r="C338" s="27" t="s">
        <v>1068</v>
      </c>
      <c r="D338" s="27" t="s">
        <v>1069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142700</f>
        <v>142700.0</v>
      </c>
      <c r="L338" s="34" t="s">
        <v>48</v>
      </c>
      <c r="M338" s="33" t="n">
        <f>144000</f>
        <v>144000.0</v>
      </c>
      <c r="N338" s="34" t="s">
        <v>48</v>
      </c>
      <c r="O338" s="33" t="n">
        <f>137200</f>
        <v>137200.0</v>
      </c>
      <c r="P338" s="34" t="s">
        <v>64</v>
      </c>
      <c r="Q338" s="33" t="n">
        <f>140100</f>
        <v>140100.0</v>
      </c>
      <c r="R338" s="34" t="s">
        <v>50</v>
      </c>
      <c r="S338" s="35" t="n">
        <f>140440</f>
        <v>140440.0</v>
      </c>
      <c r="T338" s="32" t="n">
        <f>357090</f>
        <v>357090.0</v>
      </c>
      <c r="U338" s="32" t="n">
        <f>84218</f>
        <v>84218.0</v>
      </c>
      <c r="V338" s="32" t="n">
        <f>50113945105</f>
        <v>5.0113945105E10</v>
      </c>
      <c r="W338" s="32" t="n">
        <f>11824104605</f>
        <v>1.1824104605E10</v>
      </c>
      <c r="X338" s="36" t="n">
        <f>20</f>
        <v>20.0</v>
      </c>
    </row>
    <row r="339">
      <c r="A339" s="27" t="s">
        <v>42</v>
      </c>
      <c r="B339" s="27" t="s">
        <v>1070</v>
      </c>
      <c r="C339" s="27" t="s">
        <v>1071</v>
      </c>
      <c r="D339" s="27" t="s">
        <v>1072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348500</f>
        <v>348500.0</v>
      </c>
      <c r="L339" s="34" t="s">
        <v>48</v>
      </c>
      <c r="M339" s="33" t="n">
        <f>358500</f>
        <v>358500.0</v>
      </c>
      <c r="N339" s="34" t="s">
        <v>104</v>
      </c>
      <c r="O339" s="33" t="n">
        <f>337000</f>
        <v>337000.0</v>
      </c>
      <c r="P339" s="34" t="s">
        <v>117</v>
      </c>
      <c r="Q339" s="33" t="n">
        <f>340500</f>
        <v>340500.0</v>
      </c>
      <c r="R339" s="34" t="s">
        <v>50</v>
      </c>
      <c r="S339" s="35" t="n">
        <f>348925</f>
        <v>348925.0</v>
      </c>
      <c r="T339" s="32" t="n">
        <f>45177</f>
        <v>45177.0</v>
      </c>
      <c r="U339" s="32" t="n">
        <f>9303</f>
        <v>9303.0</v>
      </c>
      <c r="V339" s="32" t="n">
        <f>15770174290</f>
        <v>1.577017429E10</v>
      </c>
      <c r="W339" s="32" t="n">
        <f>3244516790</f>
        <v>3.24451679E9</v>
      </c>
      <c r="X339" s="36" t="n">
        <f>20</f>
        <v>20.0</v>
      </c>
    </row>
    <row r="340">
      <c r="A340" s="27" t="s">
        <v>42</v>
      </c>
      <c r="B340" s="27" t="s">
        <v>1073</v>
      </c>
      <c r="C340" s="27" t="s">
        <v>1074</v>
      </c>
      <c r="D340" s="27" t="s">
        <v>1075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291300</f>
        <v>291300.0</v>
      </c>
      <c r="L340" s="34" t="s">
        <v>48</v>
      </c>
      <c r="M340" s="33" t="n">
        <f>302000</f>
        <v>302000.0</v>
      </c>
      <c r="N340" s="34" t="s">
        <v>90</v>
      </c>
      <c r="O340" s="33" t="n">
        <f>285500</f>
        <v>285500.0</v>
      </c>
      <c r="P340" s="34" t="s">
        <v>69</v>
      </c>
      <c r="Q340" s="33" t="n">
        <f>290700</f>
        <v>290700.0</v>
      </c>
      <c r="R340" s="34" t="s">
        <v>50</v>
      </c>
      <c r="S340" s="35" t="n">
        <f>294130</f>
        <v>294130.0</v>
      </c>
      <c r="T340" s="32" t="n">
        <f>157354</f>
        <v>157354.0</v>
      </c>
      <c r="U340" s="32" t="n">
        <f>31352</f>
        <v>31352.0</v>
      </c>
      <c r="V340" s="32" t="n">
        <f>46247153805</f>
        <v>4.6247153805E10</v>
      </c>
      <c r="W340" s="32" t="n">
        <f>9204834805</f>
        <v>9.204834805E9</v>
      </c>
      <c r="X340" s="36" t="n">
        <f>20</f>
        <v>20.0</v>
      </c>
    </row>
    <row r="341">
      <c r="A341" s="27" t="s">
        <v>42</v>
      </c>
      <c r="B341" s="27" t="s">
        <v>1076</v>
      </c>
      <c r="C341" s="27" t="s">
        <v>1077</v>
      </c>
      <c r="D341" s="27" t="s">
        <v>1078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616000</f>
        <v>616000.0</v>
      </c>
      <c r="L341" s="34" t="s">
        <v>48</v>
      </c>
      <c r="M341" s="33" t="n">
        <f>652000</f>
        <v>652000.0</v>
      </c>
      <c r="N341" s="34" t="s">
        <v>301</v>
      </c>
      <c r="O341" s="33" t="n">
        <f>599000</f>
        <v>599000.0</v>
      </c>
      <c r="P341" s="34" t="s">
        <v>184</v>
      </c>
      <c r="Q341" s="33" t="n">
        <f>623000</f>
        <v>623000.0</v>
      </c>
      <c r="R341" s="34" t="s">
        <v>50</v>
      </c>
      <c r="S341" s="35" t="n">
        <f>628550</f>
        <v>628550.0</v>
      </c>
      <c r="T341" s="32" t="n">
        <f>34096</f>
        <v>34096.0</v>
      </c>
      <c r="U341" s="32" t="n">
        <f>8624</f>
        <v>8624.0</v>
      </c>
      <c r="V341" s="32" t="n">
        <f>21416357151</f>
        <v>2.1416357151E10</v>
      </c>
      <c r="W341" s="32" t="n">
        <f>5413957151</f>
        <v>5.413957151E9</v>
      </c>
      <c r="X341" s="36" t="n">
        <f>20</f>
        <v>20.0</v>
      </c>
    </row>
    <row r="342">
      <c r="A342" s="27" t="s">
        <v>42</v>
      </c>
      <c r="B342" s="27" t="s">
        <v>1079</v>
      </c>
      <c r="C342" s="27" t="s">
        <v>1080</v>
      </c>
      <c r="D342" s="27" t="s">
        <v>1081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250000</f>
        <v>250000.0</v>
      </c>
      <c r="L342" s="34" t="s">
        <v>48</v>
      </c>
      <c r="M342" s="33" t="n">
        <f>262600</f>
        <v>262600.0</v>
      </c>
      <c r="N342" s="34" t="s">
        <v>70</v>
      </c>
      <c r="O342" s="33" t="n">
        <f>247100</f>
        <v>247100.0</v>
      </c>
      <c r="P342" s="34" t="s">
        <v>184</v>
      </c>
      <c r="Q342" s="33" t="n">
        <f>259300</f>
        <v>259300.0</v>
      </c>
      <c r="R342" s="34" t="s">
        <v>50</v>
      </c>
      <c r="S342" s="35" t="n">
        <f>254610</f>
        <v>254610.0</v>
      </c>
      <c r="T342" s="32" t="n">
        <f>21680</f>
        <v>21680.0</v>
      </c>
      <c r="U342" s="32" t="n">
        <f>4644</f>
        <v>4644.0</v>
      </c>
      <c r="V342" s="32" t="n">
        <f>5518965553</f>
        <v>5.518965553E9</v>
      </c>
      <c r="W342" s="32" t="n">
        <f>1182931553</f>
        <v>1.182931553E9</v>
      </c>
      <c r="X342" s="36" t="n">
        <f>20</f>
        <v>20.0</v>
      </c>
    </row>
    <row r="343">
      <c r="A343" s="27" t="s">
        <v>42</v>
      </c>
      <c r="B343" s="27" t="s">
        <v>1082</v>
      </c>
      <c r="C343" s="27" t="s">
        <v>1083</v>
      </c>
      <c r="D343" s="27" t="s">
        <v>1084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155500</f>
        <v>155500.0</v>
      </c>
      <c r="L343" s="34" t="s">
        <v>48</v>
      </c>
      <c r="M343" s="33" t="n">
        <f>157000</f>
        <v>157000.0</v>
      </c>
      <c r="N343" s="34" t="s">
        <v>104</v>
      </c>
      <c r="O343" s="33" t="n">
        <f>148300</f>
        <v>148300.0</v>
      </c>
      <c r="P343" s="34" t="s">
        <v>117</v>
      </c>
      <c r="Q343" s="33" t="n">
        <f>149700</f>
        <v>149700.0</v>
      </c>
      <c r="R343" s="34" t="s">
        <v>50</v>
      </c>
      <c r="S343" s="35" t="n">
        <f>153140</f>
        <v>153140.0</v>
      </c>
      <c r="T343" s="32" t="n">
        <f>190431</f>
        <v>190431.0</v>
      </c>
      <c r="U343" s="32" t="n">
        <f>61576</f>
        <v>61576.0</v>
      </c>
      <c r="V343" s="32" t="n">
        <f>28988448809</f>
        <v>2.8988448809E10</v>
      </c>
      <c r="W343" s="32" t="n">
        <f>9342327309</f>
        <v>9.342327309E9</v>
      </c>
      <c r="X343" s="36" t="n">
        <f>20</f>
        <v>20.0</v>
      </c>
    </row>
    <row r="344">
      <c r="A344" s="27" t="s">
        <v>42</v>
      </c>
      <c r="B344" s="27" t="s">
        <v>1085</v>
      </c>
      <c r="C344" s="27" t="s">
        <v>1086</v>
      </c>
      <c r="D344" s="27" t="s">
        <v>1087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161600</f>
        <v>161600.0</v>
      </c>
      <c r="L344" s="34" t="s">
        <v>48</v>
      </c>
      <c r="M344" s="33" t="n">
        <f>166800</f>
        <v>166800.0</v>
      </c>
      <c r="N344" s="34" t="s">
        <v>104</v>
      </c>
      <c r="O344" s="33" t="n">
        <f>159500</f>
        <v>159500.0</v>
      </c>
      <c r="P344" s="34" t="s">
        <v>184</v>
      </c>
      <c r="Q344" s="33" t="n">
        <f>165000</f>
        <v>165000.0</v>
      </c>
      <c r="R344" s="34" t="s">
        <v>50</v>
      </c>
      <c r="S344" s="35" t="n">
        <f>162870</f>
        <v>162870.0</v>
      </c>
      <c r="T344" s="32" t="n">
        <f>62741</f>
        <v>62741.0</v>
      </c>
      <c r="U344" s="32" t="n">
        <f>11486</f>
        <v>11486.0</v>
      </c>
      <c r="V344" s="32" t="n">
        <f>10216065213</f>
        <v>1.0216065213E10</v>
      </c>
      <c r="W344" s="32" t="n">
        <f>1866002813</f>
        <v>1.866002813E9</v>
      </c>
      <c r="X344" s="36" t="n">
        <f>20</f>
        <v>20.0</v>
      </c>
    </row>
    <row r="345">
      <c r="A345" s="27" t="s">
        <v>42</v>
      </c>
      <c r="B345" s="27" t="s">
        <v>1088</v>
      </c>
      <c r="C345" s="27" t="s">
        <v>1089</v>
      </c>
      <c r="D345" s="27" t="s">
        <v>1090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343000</f>
        <v>343000.0</v>
      </c>
      <c r="L345" s="34" t="s">
        <v>48</v>
      </c>
      <c r="M345" s="33" t="n">
        <f>351000</f>
        <v>351000.0</v>
      </c>
      <c r="N345" s="34" t="s">
        <v>184</v>
      </c>
      <c r="O345" s="33" t="n">
        <f>336500</f>
        <v>336500.0</v>
      </c>
      <c r="P345" s="34" t="s">
        <v>117</v>
      </c>
      <c r="Q345" s="33" t="n">
        <f>338500</f>
        <v>338500.0</v>
      </c>
      <c r="R345" s="34" t="s">
        <v>50</v>
      </c>
      <c r="S345" s="35" t="n">
        <f>343400</f>
        <v>343400.0</v>
      </c>
      <c r="T345" s="32" t="n">
        <f>30221</f>
        <v>30221.0</v>
      </c>
      <c r="U345" s="32" t="n">
        <f>6754</f>
        <v>6754.0</v>
      </c>
      <c r="V345" s="32" t="n">
        <f>10365424621</f>
        <v>1.0365424621E10</v>
      </c>
      <c r="W345" s="32" t="n">
        <f>2303172621</f>
        <v>2.303172621E9</v>
      </c>
      <c r="X345" s="36" t="n">
        <f>20</f>
        <v>20.0</v>
      </c>
    </row>
    <row r="346">
      <c r="A346" s="27" t="s">
        <v>42</v>
      </c>
      <c r="B346" s="27" t="s">
        <v>1091</v>
      </c>
      <c r="C346" s="27" t="s">
        <v>1092</v>
      </c>
      <c r="D346" s="27" t="s">
        <v>1093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84000</f>
        <v>84000.0</v>
      </c>
      <c r="L346" s="34" t="s">
        <v>48</v>
      </c>
      <c r="M346" s="33" t="n">
        <f>87300</f>
        <v>87300.0</v>
      </c>
      <c r="N346" s="34" t="s">
        <v>68</v>
      </c>
      <c r="O346" s="33" t="n">
        <f>82100</f>
        <v>82100.0</v>
      </c>
      <c r="P346" s="34" t="s">
        <v>117</v>
      </c>
      <c r="Q346" s="33" t="n">
        <f>84400</f>
        <v>84400.0</v>
      </c>
      <c r="R346" s="34" t="s">
        <v>50</v>
      </c>
      <c r="S346" s="35" t="n">
        <f>84560</f>
        <v>84560.0</v>
      </c>
      <c r="T346" s="32" t="n">
        <f>265083</f>
        <v>265083.0</v>
      </c>
      <c r="U346" s="32" t="n">
        <f>66738</f>
        <v>66738.0</v>
      </c>
      <c r="V346" s="32" t="n">
        <f>22381753089</f>
        <v>2.2381753089E10</v>
      </c>
      <c r="W346" s="32" t="n">
        <f>5638727389</f>
        <v>5.638727389E9</v>
      </c>
      <c r="X346" s="36" t="n">
        <f>20</f>
        <v>20.0</v>
      </c>
    </row>
    <row r="347">
      <c r="A347" s="27" t="s">
        <v>42</v>
      </c>
      <c r="B347" s="27" t="s">
        <v>1094</v>
      </c>
      <c r="C347" s="27" t="s">
        <v>1095</v>
      </c>
      <c r="D347" s="27" t="s">
        <v>1096</v>
      </c>
      <c r="E347" s="28" t="s">
        <v>46</v>
      </c>
      <c r="F347" s="29" t="s">
        <v>46</v>
      </c>
      <c r="G347" s="30" t="s">
        <v>46</v>
      </c>
      <c r="H347" s="31"/>
      <c r="I347" s="31" t="s">
        <v>583</v>
      </c>
      <c r="J347" s="32" t="n">
        <v>1.0</v>
      </c>
      <c r="K347" s="33" t="n">
        <f>133300</f>
        <v>133300.0</v>
      </c>
      <c r="L347" s="34" t="s">
        <v>48</v>
      </c>
      <c r="M347" s="33" t="n">
        <f>137900</f>
        <v>137900.0</v>
      </c>
      <c r="N347" s="34" t="s">
        <v>50</v>
      </c>
      <c r="O347" s="33" t="n">
        <f>132800</f>
        <v>132800.0</v>
      </c>
      <c r="P347" s="34" t="s">
        <v>69</v>
      </c>
      <c r="Q347" s="33" t="n">
        <f>135900</f>
        <v>135900.0</v>
      </c>
      <c r="R347" s="34" t="s">
        <v>50</v>
      </c>
      <c r="S347" s="35" t="n">
        <f>135110</f>
        <v>135110.0</v>
      </c>
      <c r="T347" s="32" t="n">
        <f>27914</f>
        <v>27914.0</v>
      </c>
      <c r="U347" s="32" t="n">
        <f>6028</f>
        <v>6028.0</v>
      </c>
      <c r="V347" s="32" t="n">
        <f>3785260707</f>
        <v>3.785260707E9</v>
      </c>
      <c r="W347" s="32" t="n">
        <f>822421607</f>
        <v>8.22421607E8</v>
      </c>
      <c r="X347" s="36" t="n">
        <f>20</f>
        <v>20.0</v>
      </c>
    </row>
    <row r="348">
      <c r="A348" s="27" t="s">
        <v>42</v>
      </c>
      <c r="B348" s="27" t="s">
        <v>1097</v>
      </c>
      <c r="C348" s="27" t="s">
        <v>1098</v>
      </c>
      <c r="D348" s="27" t="s">
        <v>1099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290400</f>
        <v>290400.0</v>
      </c>
      <c r="L348" s="34" t="s">
        <v>48</v>
      </c>
      <c r="M348" s="33" t="n">
        <f>299000</f>
        <v>299000.0</v>
      </c>
      <c r="N348" s="34" t="s">
        <v>90</v>
      </c>
      <c r="O348" s="33" t="n">
        <f>272400</f>
        <v>272400.0</v>
      </c>
      <c r="P348" s="34" t="s">
        <v>227</v>
      </c>
      <c r="Q348" s="33" t="n">
        <f>278300</f>
        <v>278300.0</v>
      </c>
      <c r="R348" s="34" t="s">
        <v>50</v>
      </c>
      <c r="S348" s="35" t="n">
        <f>285450</f>
        <v>285450.0</v>
      </c>
      <c r="T348" s="32" t="n">
        <f>76913</f>
        <v>76913.0</v>
      </c>
      <c r="U348" s="32" t="n">
        <f>15202</f>
        <v>15202.0</v>
      </c>
      <c r="V348" s="32" t="n">
        <f>22035473037</f>
        <v>2.2035473037E10</v>
      </c>
      <c r="W348" s="32" t="n">
        <f>4361813937</f>
        <v>4.361813937E9</v>
      </c>
      <c r="X348" s="36" t="n">
        <f>20</f>
        <v>20.0</v>
      </c>
    </row>
    <row r="349">
      <c r="A349" s="27" t="s">
        <v>42</v>
      </c>
      <c r="B349" s="27" t="s">
        <v>1100</v>
      </c>
      <c r="C349" s="27" t="s">
        <v>1101</v>
      </c>
      <c r="D349" s="27" t="s">
        <v>1102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163000</f>
        <v>163000.0</v>
      </c>
      <c r="L349" s="34" t="s">
        <v>48</v>
      </c>
      <c r="M349" s="33" t="n">
        <f>163800</f>
        <v>163800.0</v>
      </c>
      <c r="N349" s="34" t="s">
        <v>48</v>
      </c>
      <c r="O349" s="33" t="n">
        <f>151700</f>
        <v>151700.0</v>
      </c>
      <c r="P349" s="34" t="s">
        <v>117</v>
      </c>
      <c r="Q349" s="33" t="n">
        <f>153200</f>
        <v>153200.0</v>
      </c>
      <c r="R349" s="34" t="s">
        <v>50</v>
      </c>
      <c r="S349" s="35" t="n">
        <f>158860</f>
        <v>158860.0</v>
      </c>
      <c r="T349" s="32" t="n">
        <f>26338</f>
        <v>26338.0</v>
      </c>
      <c r="U349" s="32" t="n">
        <f>4123</f>
        <v>4123.0</v>
      </c>
      <c r="V349" s="32" t="n">
        <f>4165376093</f>
        <v>4.165376093E9</v>
      </c>
      <c r="W349" s="32" t="n">
        <f>654150493</f>
        <v>6.54150493E8</v>
      </c>
      <c r="X349" s="36" t="n">
        <f>20</f>
        <v>20.0</v>
      </c>
    </row>
    <row r="350">
      <c r="A350" s="27" t="s">
        <v>42</v>
      </c>
      <c r="B350" s="27" t="s">
        <v>1103</v>
      </c>
      <c r="C350" s="27" t="s">
        <v>1104</v>
      </c>
      <c r="D350" s="27" t="s">
        <v>1105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120300</f>
        <v>120300.0</v>
      </c>
      <c r="L350" s="34" t="s">
        <v>48</v>
      </c>
      <c r="M350" s="33" t="n">
        <f>121800</f>
        <v>121800.0</v>
      </c>
      <c r="N350" s="34" t="s">
        <v>70</v>
      </c>
      <c r="O350" s="33" t="n">
        <f>115700</f>
        <v>115700.0</v>
      </c>
      <c r="P350" s="34" t="s">
        <v>117</v>
      </c>
      <c r="Q350" s="33" t="n">
        <f>116500</f>
        <v>116500.0</v>
      </c>
      <c r="R350" s="34" t="s">
        <v>50</v>
      </c>
      <c r="S350" s="35" t="n">
        <f>119710</f>
        <v>119710.0</v>
      </c>
      <c r="T350" s="32" t="n">
        <f>31163</f>
        <v>31163.0</v>
      </c>
      <c r="U350" s="32" t="n">
        <f>6586</f>
        <v>6586.0</v>
      </c>
      <c r="V350" s="32" t="n">
        <f>3697310302</f>
        <v>3.697310302E9</v>
      </c>
      <c r="W350" s="32" t="n">
        <f>775436902</f>
        <v>7.75436902E8</v>
      </c>
      <c r="X350" s="36" t="n">
        <f>20</f>
        <v>20.0</v>
      </c>
    </row>
    <row r="351">
      <c r="A351" s="27" t="s">
        <v>42</v>
      </c>
      <c r="B351" s="27" t="s">
        <v>1106</v>
      </c>
      <c r="C351" s="27" t="s">
        <v>1107</v>
      </c>
      <c r="D351" s="27" t="s">
        <v>1108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166500</f>
        <v>166500.0</v>
      </c>
      <c r="L351" s="34" t="s">
        <v>48</v>
      </c>
      <c r="M351" s="33" t="n">
        <f>170200</f>
        <v>170200.0</v>
      </c>
      <c r="N351" s="34" t="s">
        <v>50</v>
      </c>
      <c r="O351" s="33" t="n">
        <f>159900</f>
        <v>159900.0</v>
      </c>
      <c r="P351" s="34" t="s">
        <v>64</v>
      </c>
      <c r="Q351" s="33" t="n">
        <f>169200</f>
        <v>169200.0</v>
      </c>
      <c r="R351" s="34" t="s">
        <v>50</v>
      </c>
      <c r="S351" s="35" t="n">
        <f>163280</f>
        <v>163280.0</v>
      </c>
      <c r="T351" s="32" t="n">
        <f>255669</f>
        <v>255669.0</v>
      </c>
      <c r="U351" s="32" t="n">
        <f>49957</f>
        <v>49957.0</v>
      </c>
      <c r="V351" s="32" t="n">
        <f>41775761720</f>
        <v>4.177576172E10</v>
      </c>
      <c r="W351" s="32" t="n">
        <f>8159375020</f>
        <v>8.15937502E9</v>
      </c>
      <c r="X351" s="36" t="n">
        <f>20</f>
        <v>20.0</v>
      </c>
    </row>
    <row r="352">
      <c r="A352" s="27" t="s">
        <v>42</v>
      </c>
      <c r="B352" s="27" t="s">
        <v>1109</v>
      </c>
      <c r="C352" s="27" t="s">
        <v>1110</v>
      </c>
      <c r="D352" s="27" t="s">
        <v>1111</v>
      </c>
      <c r="E352" s="28" t="s">
        <v>46</v>
      </c>
      <c r="F352" s="29" t="s">
        <v>46</v>
      </c>
      <c r="G352" s="30" t="s">
        <v>46</v>
      </c>
      <c r="H352" s="31"/>
      <c r="I352" s="31" t="s">
        <v>583</v>
      </c>
      <c r="J352" s="32" t="n">
        <v>1.0</v>
      </c>
      <c r="K352" s="33" t="n">
        <f>104400</f>
        <v>104400.0</v>
      </c>
      <c r="L352" s="34" t="s">
        <v>48</v>
      </c>
      <c r="M352" s="33" t="n">
        <f>112600</f>
        <v>112600.0</v>
      </c>
      <c r="N352" s="34" t="s">
        <v>104</v>
      </c>
      <c r="O352" s="33" t="n">
        <f>101300</f>
        <v>101300.0</v>
      </c>
      <c r="P352" s="34" t="s">
        <v>64</v>
      </c>
      <c r="Q352" s="33" t="n">
        <f>108400</f>
        <v>108400.0</v>
      </c>
      <c r="R352" s="34" t="s">
        <v>50</v>
      </c>
      <c r="S352" s="35" t="n">
        <f>105445</f>
        <v>105445.0</v>
      </c>
      <c r="T352" s="32" t="n">
        <f>29553</f>
        <v>29553.0</v>
      </c>
      <c r="U352" s="32" t="n">
        <f>2736</f>
        <v>2736.0</v>
      </c>
      <c r="V352" s="32" t="n">
        <f>3157857318</f>
        <v>3.157857318E9</v>
      </c>
      <c r="W352" s="32" t="n">
        <f>287639218</f>
        <v>2.87639218E8</v>
      </c>
      <c r="X352" s="36" t="n">
        <f>20</f>
        <v>20.0</v>
      </c>
    </row>
    <row r="353">
      <c r="A353" s="27" t="s">
        <v>42</v>
      </c>
      <c r="B353" s="27" t="s">
        <v>1112</v>
      </c>
      <c r="C353" s="27" t="s">
        <v>1113</v>
      </c>
      <c r="D353" s="27" t="s">
        <v>1114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152000</f>
        <v>152000.0</v>
      </c>
      <c r="L353" s="34" t="s">
        <v>48</v>
      </c>
      <c r="M353" s="33" t="n">
        <f>157400</f>
        <v>157400.0</v>
      </c>
      <c r="N353" s="34" t="s">
        <v>90</v>
      </c>
      <c r="O353" s="33" t="n">
        <f>151200</f>
        <v>151200.0</v>
      </c>
      <c r="P353" s="34" t="s">
        <v>50</v>
      </c>
      <c r="Q353" s="33" t="n">
        <f>152100</f>
        <v>152100.0</v>
      </c>
      <c r="R353" s="34" t="s">
        <v>50</v>
      </c>
      <c r="S353" s="35" t="n">
        <f>153605</f>
        <v>153605.0</v>
      </c>
      <c r="T353" s="32" t="n">
        <f>208104</f>
        <v>208104.0</v>
      </c>
      <c r="U353" s="32" t="n">
        <f>44517</f>
        <v>44517.0</v>
      </c>
      <c r="V353" s="32" t="n">
        <f>32069705488</f>
        <v>3.2069705488E10</v>
      </c>
      <c r="W353" s="32" t="n">
        <f>6874129788</f>
        <v>6.874129788E9</v>
      </c>
      <c r="X353" s="36" t="n">
        <f>20</f>
        <v>20.0</v>
      </c>
    </row>
    <row r="354">
      <c r="A354" s="27" t="s">
        <v>42</v>
      </c>
      <c r="B354" s="27" t="s">
        <v>1115</v>
      </c>
      <c r="C354" s="27" t="s">
        <v>1116</v>
      </c>
      <c r="D354" s="27" t="s">
        <v>1117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59400</f>
        <v>59400.0</v>
      </c>
      <c r="L354" s="34" t="s">
        <v>48</v>
      </c>
      <c r="M354" s="33" t="n">
        <f>59700</f>
        <v>59700.0</v>
      </c>
      <c r="N354" s="34" t="s">
        <v>48</v>
      </c>
      <c r="O354" s="33" t="n">
        <f>56500</f>
        <v>56500.0</v>
      </c>
      <c r="P354" s="34" t="s">
        <v>117</v>
      </c>
      <c r="Q354" s="33" t="n">
        <f>57500</f>
        <v>57500.0</v>
      </c>
      <c r="R354" s="34" t="s">
        <v>50</v>
      </c>
      <c r="S354" s="35" t="n">
        <f>58540</f>
        <v>58540.0</v>
      </c>
      <c r="T354" s="32" t="n">
        <f>115462</f>
        <v>115462.0</v>
      </c>
      <c r="U354" s="32" t="n">
        <f>25579</f>
        <v>25579.0</v>
      </c>
      <c r="V354" s="32" t="n">
        <f>6745215526</f>
        <v>6.745215526E9</v>
      </c>
      <c r="W354" s="32" t="n">
        <f>1491965326</f>
        <v>1.491965326E9</v>
      </c>
      <c r="X354" s="36" t="n">
        <f>20</f>
        <v>20.0</v>
      </c>
    </row>
    <row r="355">
      <c r="A355" s="27" t="s">
        <v>42</v>
      </c>
      <c r="B355" s="27" t="s">
        <v>1118</v>
      </c>
      <c r="C355" s="27" t="s">
        <v>1119</v>
      </c>
      <c r="D355" s="27" t="s">
        <v>1120</v>
      </c>
      <c r="E355" s="28" t="s">
        <v>46</v>
      </c>
      <c r="F355" s="29" t="s">
        <v>46</v>
      </c>
      <c r="G355" s="30" t="s">
        <v>46</v>
      </c>
      <c r="H355" s="31"/>
      <c r="I355" s="31" t="s">
        <v>583</v>
      </c>
      <c r="J355" s="32" t="n">
        <v>1.0</v>
      </c>
      <c r="K355" s="33" t="n">
        <f>128200</f>
        <v>128200.0</v>
      </c>
      <c r="L355" s="34" t="s">
        <v>48</v>
      </c>
      <c r="M355" s="33" t="n">
        <f>129700</f>
        <v>129700.0</v>
      </c>
      <c r="N355" s="34" t="s">
        <v>155</v>
      </c>
      <c r="O355" s="33" t="n">
        <f>127400</f>
        <v>127400.0</v>
      </c>
      <c r="P355" s="34" t="s">
        <v>48</v>
      </c>
      <c r="Q355" s="33" t="n">
        <f>128600</f>
        <v>128600.0</v>
      </c>
      <c r="R355" s="34" t="s">
        <v>50</v>
      </c>
      <c r="S355" s="35" t="n">
        <f>128435</f>
        <v>128435.0</v>
      </c>
      <c r="T355" s="32" t="n">
        <f>19821</f>
        <v>19821.0</v>
      </c>
      <c r="U355" s="32" t="n">
        <f>3287</f>
        <v>3287.0</v>
      </c>
      <c r="V355" s="32" t="n">
        <f>2546421084</f>
        <v>2.546421084E9</v>
      </c>
      <c r="W355" s="32" t="n">
        <f>422360284</f>
        <v>4.22360284E8</v>
      </c>
      <c r="X355" s="36" t="n">
        <f>20</f>
        <v>20.0</v>
      </c>
    </row>
    <row r="356">
      <c r="A356" s="27" t="s">
        <v>42</v>
      </c>
      <c r="B356" s="27" t="s">
        <v>1121</v>
      </c>
      <c r="C356" s="27" t="s">
        <v>1122</v>
      </c>
      <c r="D356" s="27" t="s">
        <v>1123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505000</f>
        <v>505000.0</v>
      </c>
      <c r="L356" s="34" t="s">
        <v>48</v>
      </c>
      <c r="M356" s="33" t="n">
        <f>515000</f>
        <v>515000.0</v>
      </c>
      <c r="N356" s="34" t="s">
        <v>513</v>
      </c>
      <c r="O356" s="33" t="n">
        <f>485000</f>
        <v>485000.0</v>
      </c>
      <c r="P356" s="34" t="s">
        <v>49</v>
      </c>
      <c r="Q356" s="33" t="n">
        <f>506000</f>
        <v>506000.0</v>
      </c>
      <c r="R356" s="34" t="s">
        <v>50</v>
      </c>
      <c r="S356" s="35" t="n">
        <f>501350</f>
        <v>501350.0</v>
      </c>
      <c r="T356" s="32" t="n">
        <f>39097</f>
        <v>39097.0</v>
      </c>
      <c r="U356" s="32" t="n">
        <f>7323</f>
        <v>7323.0</v>
      </c>
      <c r="V356" s="32" t="n">
        <f>19630805332</f>
        <v>1.9630805332E10</v>
      </c>
      <c r="W356" s="32" t="n">
        <f>3674404332</f>
        <v>3.674404332E9</v>
      </c>
      <c r="X356" s="36" t="n">
        <f>20</f>
        <v>20.0</v>
      </c>
    </row>
    <row r="357">
      <c r="A357" s="27" t="s">
        <v>42</v>
      </c>
      <c r="B357" s="27" t="s">
        <v>1124</v>
      </c>
      <c r="C357" s="27" t="s">
        <v>1125</v>
      </c>
      <c r="D357" s="27" t="s">
        <v>1126</v>
      </c>
      <c r="E357" s="28" t="s">
        <v>46</v>
      </c>
      <c r="F357" s="29" t="s">
        <v>46</v>
      </c>
      <c r="G357" s="30" t="s">
        <v>46</v>
      </c>
      <c r="H357" s="31"/>
      <c r="I357" s="31" t="s">
        <v>583</v>
      </c>
      <c r="J357" s="32" t="n">
        <v>1.0</v>
      </c>
      <c r="K357" s="33" t="n">
        <f>64800</f>
        <v>64800.0</v>
      </c>
      <c r="L357" s="34" t="s">
        <v>48</v>
      </c>
      <c r="M357" s="33" t="n">
        <f>66200</f>
        <v>66200.0</v>
      </c>
      <c r="N357" s="34" t="s">
        <v>104</v>
      </c>
      <c r="O357" s="33" t="n">
        <f>62300</f>
        <v>62300.0</v>
      </c>
      <c r="P357" s="34" t="s">
        <v>64</v>
      </c>
      <c r="Q357" s="33" t="n">
        <f>65700</f>
        <v>65700.0</v>
      </c>
      <c r="R357" s="34" t="s">
        <v>50</v>
      </c>
      <c r="S357" s="35" t="n">
        <f>64260</f>
        <v>64260.0</v>
      </c>
      <c r="T357" s="32" t="n">
        <f>25128</f>
        <v>25128.0</v>
      </c>
      <c r="U357" s="32" t="n">
        <f>4926</f>
        <v>4926.0</v>
      </c>
      <c r="V357" s="32" t="n">
        <f>1624176907</f>
        <v>1.624176907E9</v>
      </c>
      <c r="W357" s="32" t="n">
        <f>319548507</f>
        <v>3.19548507E8</v>
      </c>
      <c r="X357" s="36" t="n">
        <f>20</f>
        <v>20.0</v>
      </c>
    </row>
    <row r="358">
      <c r="A358" s="27" t="s">
        <v>42</v>
      </c>
      <c r="B358" s="27" t="s">
        <v>1127</v>
      </c>
      <c r="C358" s="27" t="s">
        <v>1128</v>
      </c>
      <c r="D358" s="27" t="s">
        <v>1129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46150</f>
        <v>46150.0</v>
      </c>
      <c r="L358" s="34" t="s">
        <v>48</v>
      </c>
      <c r="M358" s="33" t="n">
        <f>46800</f>
        <v>46800.0</v>
      </c>
      <c r="N358" s="34" t="s">
        <v>155</v>
      </c>
      <c r="O358" s="33" t="n">
        <f>45600</f>
        <v>45600.0</v>
      </c>
      <c r="P358" s="34" t="s">
        <v>117</v>
      </c>
      <c r="Q358" s="33" t="n">
        <f>45850</f>
        <v>45850.0</v>
      </c>
      <c r="R358" s="34" t="s">
        <v>50</v>
      </c>
      <c r="S358" s="35" t="n">
        <f>46257.5</f>
        <v>46257.5</v>
      </c>
      <c r="T358" s="32" t="n">
        <f>143918</f>
        <v>143918.0</v>
      </c>
      <c r="U358" s="32" t="n">
        <f>37310</f>
        <v>37310.0</v>
      </c>
      <c r="V358" s="32" t="n">
        <f>6649966323</f>
        <v>6.649966323E9</v>
      </c>
      <c r="W358" s="32" t="n">
        <f>1722837073</f>
        <v>1.722837073E9</v>
      </c>
      <c r="X358" s="36" t="n">
        <f>20</f>
        <v>20.0</v>
      </c>
    </row>
    <row r="359">
      <c r="A359" s="27" t="s">
        <v>42</v>
      </c>
      <c r="B359" s="27" t="s">
        <v>1130</v>
      </c>
      <c r="C359" s="27" t="s">
        <v>1131</v>
      </c>
      <c r="D359" s="27" t="s">
        <v>1132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415000</f>
        <v>415000.0</v>
      </c>
      <c r="L359" s="34" t="s">
        <v>48</v>
      </c>
      <c r="M359" s="33" t="n">
        <f>416500</f>
        <v>416500.0</v>
      </c>
      <c r="N359" s="34" t="s">
        <v>48</v>
      </c>
      <c r="O359" s="33" t="n">
        <f>401000</f>
        <v>401000.0</v>
      </c>
      <c r="P359" s="34" t="s">
        <v>49</v>
      </c>
      <c r="Q359" s="33" t="n">
        <f>407000</f>
        <v>407000.0</v>
      </c>
      <c r="R359" s="34" t="s">
        <v>50</v>
      </c>
      <c r="S359" s="35" t="n">
        <f>406850</f>
        <v>406850.0</v>
      </c>
      <c r="T359" s="32" t="n">
        <f>35866</f>
        <v>35866.0</v>
      </c>
      <c r="U359" s="32" t="n">
        <f>8038</f>
        <v>8038.0</v>
      </c>
      <c r="V359" s="32" t="n">
        <f>14603117235</f>
        <v>1.4603117235E10</v>
      </c>
      <c r="W359" s="32" t="n">
        <f>3272928235</f>
        <v>3.272928235E9</v>
      </c>
      <c r="X359" s="36" t="n">
        <f>20</f>
        <v>20.0</v>
      </c>
    </row>
    <row r="360">
      <c r="A360" s="27" t="s">
        <v>42</v>
      </c>
      <c r="B360" s="27" t="s">
        <v>1133</v>
      </c>
      <c r="C360" s="27" t="s">
        <v>1134</v>
      </c>
      <c r="D360" s="27" t="s">
        <v>1135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178300</f>
        <v>178300.0</v>
      </c>
      <c r="L360" s="34" t="s">
        <v>48</v>
      </c>
      <c r="M360" s="33" t="n">
        <f>182700</f>
        <v>182700.0</v>
      </c>
      <c r="N360" s="34" t="s">
        <v>60</v>
      </c>
      <c r="O360" s="33" t="n">
        <f>175100</f>
        <v>175100.0</v>
      </c>
      <c r="P360" s="34" t="s">
        <v>117</v>
      </c>
      <c r="Q360" s="33" t="n">
        <f>175500</f>
        <v>175500.0</v>
      </c>
      <c r="R360" s="34" t="s">
        <v>50</v>
      </c>
      <c r="S360" s="35" t="n">
        <f>178610</f>
        <v>178610.0</v>
      </c>
      <c r="T360" s="32" t="n">
        <f>42508</f>
        <v>42508.0</v>
      </c>
      <c r="U360" s="32" t="n">
        <f>7485</f>
        <v>7485.0</v>
      </c>
      <c r="V360" s="32" t="n">
        <f>7589143880</f>
        <v>7.58914388E9</v>
      </c>
      <c r="W360" s="32" t="n">
        <f>1335184380</f>
        <v>1.33518438E9</v>
      </c>
      <c r="X360" s="36" t="n">
        <f>20</f>
        <v>20.0</v>
      </c>
    </row>
    <row r="361">
      <c r="A361" s="27" t="s">
        <v>42</v>
      </c>
      <c r="B361" s="27" t="s">
        <v>1136</v>
      </c>
      <c r="C361" s="27" t="s">
        <v>1137</v>
      </c>
      <c r="D361" s="27" t="s">
        <v>1138</v>
      </c>
      <c r="E361" s="28" t="s">
        <v>46</v>
      </c>
      <c r="F361" s="29" t="s">
        <v>46</v>
      </c>
      <c r="G361" s="30" t="s">
        <v>46</v>
      </c>
      <c r="H361" s="31"/>
      <c r="I361" s="31" t="s">
        <v>583</v>
      </c>
      <c r="J361" s="32" t="n">
        <v>1.0</v>
      </c>
      <c r="K361" s="33" t="n">
        <f>115700</f>
        <v>115700.0</v>
      </c>
      <c r="L361" s="34" t="s">
        <v>48</v>
      </c>
      <c r="M361" s="33" t="n">
        <f>118300</f>
        <v>118300.0</v>
      </c>
      <c r="N361" s="34" t="s">
        <v>50</v>
      </c>
      <c r="O361" s="33" t="n">
        <f>113900</f>
        <v>113900.0</v>
      </c>
      <c r="P361" s="34" t="s">
        <v>227</v>
      </c>
      <c r="Q361" s="33" t="n">
        <f>117700</f>
        <v>117700.0</v>
      </c>
      <c r="R361" s="34" t="s">
        <v>50</v>
      </c>
      <c r="S361" s="35" t="n">
        <f>115660</f>
        <v>115660.0</v>
      </c>
      <c r="T361" s="32" t="n">
        <f>14601</f>
        <v>14601.0</v>
      </c>
      <c r="U361" s="32" t="n">
        <f>1579</f>
        <v>1579.0</v>
      </c>
      <c r="V361" s="32" t="n">
        <f>1690303316</f>
        <v>1.690303316E9</v>
      </c>
      <c r="W361" s="32" t="n">
        <f>182878716</f>
        <v>1.82878716E8</v>
      </c>
      <c r="X361" s="36" t="n">
        <f>20</f>
        <v>20.0</v>
      </c>
    </row>
    <row r="362">
      <c r="A362" s="27" t="s">
        <v>42</v>
      </c>
      <c r="B362" s="27" t="s">
        <v>1139</v>
      </c>
      <c r="C362" s="27" t="s">
        <v>1140</v>
      </c>
      <c r="D362" s="27" t="s">
        <v>1141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96700</f>
        <v>96700.0</v>
      </c>
      <c r="L362" s="34" t="s">
        <v>48</v>
      </c>
      <c r="M362" s="33" t="n">
        <f>98000</f>
        <v>98000.0</v>
      </c>
      <c r="N362" s="34" t="s">
        <v>50</v>
      </c>
      <c r="O362" s="33" t="n">
        <f>95100</f>
        <v>95100.0</v>
      </c>
      <c r="P362" s="34" t="s">
        <v>267</v>
      </c>
      <c r="Q362" s="33" t="n">
        <f>97400</f>
        <v>97400.0</v>
      </c>
      <c r="R362" s="34" t="s">
        <v>50</v>
      </c>
      <c r="S362" s="35" t="n">
        <f>96640</f>
        <v>96640.0</v>
      </c>
      <c r="T362" s="32" t="n">
        <f>60844</f>
        <v>60844.0</v>
      </c>
      <c r="U362" s="32" t="n">
        <f>7227</f>
        <v>7227.0</v>
      </c>
      <c r="V362" s="32" t="n">
        <f>5877865713</f>
        <v>5.877865713E9</v>
      </c>
      <c r="W362" s="32" t="n">
        <f>699158513</f>
        <v>6.99158513E8</v>
      </c>
      <c r="X362" s="36" t="n">
        <f>20</f>
        <v>20.0</v>
      </c>
    </row>
    <row r="363">
      <c r="A363" s="27" t="s">
        <v>42</v>
      </c>
      <c r="B363" s="27" t="s">
        <v>1142</v>
      </c>
      <c r="C363" s="27" t="s">
        <v>1143</v>
      </c>
      <c r="D363" s="27" t="s">
        <v>1144</v>
      </c>
      <c r="E363" s="28" t="s">
        <v>46</v>
      </c>
      <c r="F363" s="29" t="s">
        <v>46</v>
      </c>
      <c r="G363" s="30" t="s">
        <v>46</v>
      </c>
      <c r="H363" s="31"/>
      <c r="I363" s="31" t="s">
        <v>583</v>
      </c>
      <c r="J363" s="32" t="n">
        <v>1.0</v>
      </c>
      <c r="K363" s="33" t="n">
        <f>134600</f>
        <v>134600.0</v>
      </c>
      <c r="L363" s="34" t="s">
        <v>48</v>
      </c>
      <c r="M363" s="33" t="n">
        <f>135700</f>
        <v>135700.0</v>
      </c>
      <c r="N363" s="34" t="s">
        <v>86</v>
      </c>
      <c r="O363" s="33" t="n">
        <f>131500</f>
        <v>131500.0</v>
      </c>
      <c r="P363" s="34" t="s">
        <v>117</v>
      </c>
      <c r="Q363" s="33" t="n">
        <f>132000</f>
        <v>132000.0</v>
      </c>
      <c r="R363" s="34" t="s">
        <v>50</v>
      </c>
      <c r="S363" s="35" t="n">
        <f>133585</f>
        <v>133585.0</v>
      </c>
      <c r="T363" s="32" t="n">
        <f>26281</f>
        <v>26281.0</v>
      </c>
      <c r="U363" s="32" t="n">
        <f>4787</f>
        <v>4787.0</v>
      </c>
      <c r="V363" s="32" t="n">
        <f>3508326375</f>
        <v>3.508326375E9</v>
      </c>
      <c r="W363" s="32" t="n">
        <f>639262675</f>
        <v>6.39262675E8</v>
      </c>
      <c r="X363" s="36" t="n">
        <f>20</f>
        <v>20.0</v>
      </c>
    </row>
    <row r="364">
      <c r="A364" s="27" t="s">
        <v>42</v>
      </c>
      <c r="B364" s="27" t="s">
        <v>1145</v>
      </c>
      <c r="C364" s="27" t="s">
        <v>1146</v>
      </c>
      <c r="D364" s="27" t="s">
        <v>1147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575000</f>
        <v>575000.0</v>
      </c>
      <c r="L364" s="34" t="s">
        <v>48</v>
      </c>
      <c r="M364" s="33" t="n">
        <f>632000</f>
        <v>632000.0</v>
      </c>
      <c r="N364" s="34" t="s">
        <v>104</v>
      </c>
      <c r="O364" s="33" t="n">
        <f>571000</f>
        <v>571000.0</v>
      </c>
      <c r="P364" s="34" t="s">
        <v>48</v>
      </c>
      <c r="Q364" s="33" t="n">
        <f>596000</f>
        <v>596000.0</v>
      </c>
      <c r="R364" s="34" t="s">
        <v>50</v>
      </c>
      <c r="S364" s="35" t="n">
        <f>600900</f>
        <v>600900.0</v>
      </c>
      <c r="T364" s="32" t="n">
        <f>145968</f>
        <v>145968.0</v>
      </c>
      <c r="U364" s="32" t="n">
        <f>32764</f>
        <v>32764.0</v>
      </c>
      <c r="V364" s="32" t="n">
        <f>87839402342</f>
        <v>8.7839402342E10</v>
      </c>
      <c r="W364" s="32" t="n">
        <f>19668822342</f>
        <v>1.9668822342E10</v>
      </c>
      <c r="X364" s="36" t="n">
        <f>20</f>
        <v>20.0</v>
      </c>
    </row>
    <row r="365">
      <c r="A365" s="27" t="s">
        <v>42</v>
      </c>
      <c r="B365" s="27" t="s">
        <v>1148</v>
      </c>
      <c r="C365" s="27" t="s">
        <v>1149</v>
      </c>
      <c r="D365" s="27" t="s">
        <v>1150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554000</f>
        <v>554000.0</v>
      </c>
      <c r="L365" s="34" t="s">
        <v>48</v>
      </c>
      <c r="M365" s="33" t="n">
        <f>595000</f>
        <v>595000.0</v>
      </c>
      <c r="N365" s="34" t="s">
        <v>104</v>
      </c>
      <c r="O365" s="33" t="n">
        <f>546000</f>
        <v>546000.0</v>
      </c>
      <c r="P365" s="34" t="s">
        <v>69</v>
      </c>
      <c r="Q365" s="33" t="n">
        <f>572000</f>
        <v>572000.0</v>
      </c>
      <c r="R365" s="34" t="s">
        <v>50</v>
      </c>
      <c r="S365" s="35" t="n">
        <f>565400</f>
        <v>565400.0</v>
      </c>
      <c r="T365" s="32" t="n">
        <f>104867</f>
        <v>104867.0</v>
      </c>
      <c r="U365" s="32" t="n">
        <f>19671</f>
        <v>19671.0</v>
      </c>
      <c r="V365" s="32" t="n">
        <f>59442574080</f>
        <v>5.944257408E10</v>
      </c>
      <c r="W365" s="32" t="n">
        <f>11159029080</f>
        <v>1.115902908E10</v>
      </c>
      <c r="X365" s="36" t="n">
        <f>20</f>
        <v>20.0</v>
      </c>
    </row>
    <row r="366">
      <c r="A366" s="27" t="s">
        <v>42</v>
      </c>
      <c r="B366" s="27" t="s">
        <v>1151</v>
      </c>
      <c r="C366" s="27" t="s">
        <v>1152</v>
      </c>
      <c r="D366" s="27" t="s">
        <v>1153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96100</f>
        <v>96100.0</v>
      </c>
      <c r="L366" s="34" t="s">
        <v>48</v>
      </c>
      <c r="M366" s="33" t="n">
        <f>98300</f>
        <v>98300.0</v>
      </c>
      <c r="N366" s="34" t="s">
        <v>267</v>
      </c>
      <c r="O366" s="33" t="n">
        <f>94600</f>
        <v>94600.0</v>
      </c>
      <c r="P366" s="34" t="s">
        <v>117</v>
      </c>
      <c r="Q366" s="33" t="n">
        <f>97500</f>
        <v>97500.0</v>
      </c>
      <c r="R366" s="34" t="s">
        <v>50</v>
      </c>
      <c r="S366" s="35" t="n">
        <f>96345</f>
        <v>96345.0</v>
      </c>
      <c r="T366" s="32" t="n">
        <f>707204</f>
        <v>707204.0</v>
      </c>
      <c r="U366" s="32" t="n">
        <f>240893</f>
        <v>240893.0</v>
      </c>
      <c r="V366" s="32" t="n">
        <f>68081278203</f>
        <v>6.8081278203E10</v>
      </c>
      <c r="W366" s="32" t="n">
        <f>23199287903</f>
        <v>2.3199287903E10</v>
      </c>
      <c r="X366" s="36" t="n">
        <f>20</f>
        <v>20.0</v>
      </c>
    </row>
    <row r="367">
      <c r="A367" s="27" t="s">
        <v>42</v>
      </c>
      <c r="B367" s="27" t="s">
        <v>1154</v>
      </c>
      <c r="C367" s="27" t="s">
        <v>1155</v>
      </c>
      <c r="D367" s="27" t="s">
        <v>1156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177400</f>
        <v>177400.0</v>
      </c>
      <c r="L367" s="34" t="s">
        <v>48</v>
      </c>
      <c r="M367" s="33" t="n">
        <f>183200</f>
        <v>183200.0</v>
      </c>
      <c r="N367" s="34" t="s">
        <v>104</v>
      </c>
      <c r="O367" s="33" t="n">
        <f>171200</f>
        <v>171200.0</v>
      </c>
      <c r="P367" s="34" t="s">
        <v>69</v>
      </c>
      <c r="Q367" s="33" t="n">
        <f>180900</f>
        <v>180900.0</v>
      </c>
      <c r="R367" s="34" t="s">
        <v>50</v>
      </c>
      <c r="S367" s="35" t="n">
        <f>177045</f>
        <v>177045.0</v>
      </c>
      <c r="T367" s="32" t="n">
        <f>152566</f>
        <v>152566.0</v>
      </c>
      <c r="U367" s="32" t="n">
        <f>31951</f>
        <v>31951.0</v>
      </c>
      <c r="V367" s="32" t="n">
        <f>26998875141</f>
        <v>2.6998875141E10</v>
      </c>
      <c r="W367" s="32" t="n">
        <f>5647630641</f>
        <v>5.647630641E9</v>
      </c>
      <c r="X367" s="36" t="n">
        <f>20</f>
        <v>20.0</v>
      </c>
    </row>
    <row r="368">
      <c r="A368" s="27" t="s">
        <v>42</v>
      </c>
      <c r="B368" s="27" t="s">
        <v>1157</v>
      </c>
      <c r="C368" s="27" t="s">
        <v>1158</v>
      </c>
      <c r="D368" s="27" t="s">
        <v>1159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351500</f>
        <v>351500.0</v>
      </c>
      <c r="L368" s="34" t="s">
        <v>48</v>
      </c>
      <c r="M368" s="33" t="n">
        <f>358000</f>
        <v>358000.0</v>
      </c>
      <c r="N368" s="34" t="s">
        <v>159</v>
      </c>
      <c r="O368" s="33" t="n">
        <f>343000</f>
        <v>343000.0</v>
      </c>
      <c r="P368" s="34" t="s">
        <v>267</v>
      </c>
      <c r="Q368" s="33" t="n">
        <f>354000</f>
        <v>354000.0</v>
      </c>
      <c r="R368" s="34" t="s">
        <v>50</v>
      </c>
      <c r="S368" s="35" t="n">
        <f>353275</f>
        <v>353275.0</v>
      </c>
      <c r="T368" s="32" t="n">
        <f>45592</f>
        <v>45592.0</v>
      </c>
      <c r="U368" s="32" t="n">
        <f>11770</f>
        <v>11770.0</v>
      </c>
      <c r="V368" s="32" t="n">
        <f>16088081061</f>
        <v>1.6088081061E10</v>
      </c>
      <c r="W368" s="32" t="n">
        <f>4154279561</f>
        <v>4.154279561E9</v>
      </c>
      <c r="X368" s="36" t="n">
        <f>20</f>
        <v>20.0</v>
      </c>
    </row>
    <row r="369">
      <c r="A369" s="27" t="s">
        <v>42</v>
      </c>
      <c r="B369" s="27" t="s">
        <v>1160</v>
      </c>
      <c r="C369" s="27" t="s">
        <v>1161</v>
      </c>
      <c r="D369" s="27" t="s">
        <v>1162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135200</f>
        <v>135200.0</v>
      </c>
      <c r="L369" s="34" t="s">
        <v>48</v>
      </c>
      <c r="M369" s="33" t="n">
        <f>138200</f>
        <v>138200.0</v>
      </c>
      <c r="N369" s="34" t="s">
        <v>68</v>
      </c>
      <c r="O369" s="33" t="n">
        <f>132400</f>
        <v>132400.0</v>
      </c>
      <c r="P369" s="34" t="s">
        <v>69</v>
      </c>
      <c r="Q369" s="33" t="n">
        <f>134900</f>
        <v>134900.0</v>
      </c>
      <c r="R369" s="34" t="s">
        <v>50</v>
      </c>
      <c r="S369" s="35" t="n">
        <f>134970</f>
        <v>134970.0</v>
      </c>
      <c r="T369" s="32" t="n">
        <f>64055</f>
        <v>64055.0</v>
      </c>
      <c r="U369" s="32" t="n">
        <f>14826</f>
        <v>14826.0</v>
      </c>
      <c r="V369" s="32" t="n">
        <f>8644859753</f>
        <v>8.644859753E9</v>
      </c>
      <c r="W369" s="32" t="n">
        <f>1998840153</f>
        <v>1.998840153E9</v>
      </c>
      <c r="X369" s="36" t="n">
        <f>20</f>
        <v>20.0</v>
      </c>
    </row>
    <row r="370">
      <c r="A370" s="27" t="s">
        <v>42</v>
      </c>
      <c r="B370" s="27" t="s">
        <v>1163</v>
      </c>
      <c r="C370" s="27" t="s">
        <v>1164</v>
      </c>
      <c r="D370" s="27" t="s">
        <v>1165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192400</f>
        <v>192400.0</v>
      </c>
      <c r="L370" s="34" t="s">
        <v>48</v>
      </c>
      <c r="M370" s="33" t="n">
        <f>197000</f>
        <v>197000.0</v>
      </c>
      <c r="N370" s="34" t="s">
        <v>104</v>
      </c>
      <c r="O370" s="33" t="n">
        <f>185100</f>
        <v>185100.0</v>
      </c>
      <c r="P370" s="34" t="s">
        <v>117</v>
      </c>
      <c r="Q370" s="33" t="n">
        <f>188100</f>
        <v>188100.0</v>
      </c>
      <c r="R370" s="34" t="s">
        <v>50</v>
      </c>
      <c r="S370" s="35" t="n">
        <f>190750</f>
        <v>190750.0</v>
      </c>
      <c r="T370" s="32" t="n">
        <f>65929</f>
        <v>65929.0</v>
      </c>
      <c r="U370" s="32" t="n">
        <f>24992</f>
        <v>24992.0</v>
      </c>
      <c r="V370" s="32" t="n">
        <f>12616532068</f>
        <v>1.2616532068E10</v>
      </c>
      <c r="W370" s="32" t="n">
        <f>4788893368</f>
        <v>4.788893368E9</v>
      </c>
      <c r="X370" s="36" t="n">
        <f>20</f>
        <v>20.0</v>
      </c>
    </row>
    <row r="371">
      <c r="A371" s="27" t="s">
        <v>42</v>
      </c>
      <c r="B371" s="27" t="s">
        <v>1166</v>
      </c>
      <c r="C371" s="27" t="s">
        <v>1167</v>
      </c>
      <c r="D371" s="27" t="s">
        <v>1168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114400</f>
        <v>114400.0</v>
      </c>
      <c r="L371" s="34" t="s">
        <v>48</v>
      </c>
      <c r="M371" s="33" t="n">
        <f>120000</f>
        <v>120000.0</v>
      </c>
      <c r="N371" s="34" t="s">
        <v>50</v>
      </c>
      <c r="O371" s="33" t="n">
        <f>113500</f>
        <v>113500.0</v>
      </c>
      <c r="P371" s="34" t="s">
        <v>69</v>
      </c>
      <c r="Q371" s="33" t="n">
        <f>117500</f>
        <v>117500.0</v>
      </c>
      <c r="R371" s="34" t="s">
        <v>50</v>
      </c>
      <c r="S371" s="35" t="n">
        <f>116250</f>
        <v>116250.0</v>
      </c>
      <c r="T371" s="32" t="n">
        <f>68961</f>
        <v>68961.0</v>
      </c>
      <c r="U371" s="32" t="n">
        <f>13658</f>
        <v>13658.0</v>
      </c>
      <c r="V371" s="32" t="n">
        <f>8037220514</f>
        <v>8.037220514E9</v>
      </c>
      <c r="W371" s="32" t="n">
        <f>1589801614</f>
        <v>1.589801614E9</v>
      </c>
      <c r="X371" s="36" t="n">
        <f>20</f>
        <v>20.0</v>
      </c>
    </row>
    <row r="372">
      <c r="A372" s="27" t="s">
        <v>42</v>
      </c>
      <c r="B372" s="27" t="s">
        <v>1169</v>
      </c>
      <c r="C372" s="27" t="s">
        <v>1170</v>
      </c>
      <c r="D372" s="27" t="s">
        <v>1171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145500</f>
        <v>145500.0</v>
      </c>
      <c r="L372" s="34" t="s">
        <v>48</v>
      </c>
      <c r="M372" s="33" t="n">
        <f>157900</f>
        <v>157900.0</v>
      </c>
      <c r="N372" s="34" t="s">
        <v>104</v>
      </c>
      <c r="O372" s="33" t="n">
        <f>142600</f>
        <v>142600.0</v>
      </c>
      <c r="P372" s="34" t="s">
        <v>90</v>
      </c>
      <c r="Q372" s="33" t="n">
        <f>153500</f>
        <v>153500.0</v>
      </c>
      <c r="R372" s="34" t="s">
        <v>50</v>
      </c>
      <c r="S372" s="35" t="n">
        <f>149105</f>
        <v>149105.0</v>
      </c>
      <c r="T372" s="32" t="n">
        <f>205860</f>
        <v>205860.0</v>
      </c>
      <c r="U372" s="32" t="n">
        <f>49089</f>
        <v>49089.0</v>
      </c>
      <c r="V372" s="32" t="n">
        <f>30845060280</f>
        <v>3.084506028E10</v>
      </c>
      <c r="W372" s="32" t="n">
        <f>7322929680</f>
        <v>7.32292968E9</v>
      </c>
      <c r="X372" s="36" t="n">
        <f>20</f>
        <v>20.0</v>
      </c>
    </row>
    <row r="373">
      <c r="A373" s="27" t="s">
        <v>42</v>
      </c>
      <c r="B373" s="27" t="s">
        <v>1172</v>
      </c>
      <c r="C373" s="27" t="s">
        <v>1173</v>
      </c>
      <c r="D373" s="27" t="s">
        <v>1174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72300</f>
        <v>72300.0</v>
      </c>
      <c r="L373" s="34" t="s">
        <v>48</v>
      </c>
      <c r="M373" s="33" t="n">
        <f>73900</f>
        <v>73900.0</v>
      </c>
      <c r="N373" s="34" t="s">
        <v>50</v>
      </c>
      <c r="O373" s="33" t="n">
        <f>70700</f>
        <v>70700.0</v>
      </c>
      <c r="P373" s="34" t="s">
        <v>267</v>
      </c>
      <c r="Q373" s="33" t="n">
        <f>73300</f>
        <v>73300.0</v>
      </c>
      <c r="R373" s="34" t="s">
        <v>50</v>
      </c>
      <c r="S373" s="35" t="n">
        <f>71870</f>
        <v>71870.0</v>
      </c>
      <c r="T373" s="32" t="n">
        <f>198223</f>
        <v>198223.0</v>
      </c>
      <c r="U373" s="32" t="n">
        <f>62763</f>
        <v>62763.0</v>
      </c>
      <c r="V373" s="32" t="n">
        <f>14310175388</f>
        <v>1.4310175388E10</v>
      </c>
      <c r="W373" s="32" t="n">
        <f>4537983988</f>
        <v>4.537983988E9</v>
      </c>
      <c r="X373" s="36" t="n">
        <f>20</f>
        <v>20.0</v>
      </c>
    </row>
    <row r="374">
      <c r="A374" s="27" t="s">
        <v>42</v>
      </c>
      <c r="B374" s="27" t="s">
        <v>1175</v>
      </c>
      <c r="C374" s="27" t="s">
        <v>1176</v>
      </c>
      <c r="D374" s="27" t="s">
        <v>1177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57400</f>
        <v>57400.0</v>
      </c>
      <c r="L374" s="34" t="s">
        <v>48</v>
      </c>
      <c r="M374" s="33" t="n">
        <f>59500</f>
        <v>59500.0</v>
      </c>
      <c r="N374" s="34" t="s">
        <v>50</v>
      </c>
      <c r="O374" s="33" t="n">
        <f>53800</f>
        <v>53800.0</v>
      </c>
      <c r="P374" s="34" t="s">
        <v>155</v>
      </c>
      <c r="Q374" s="33" t="n">
        <f>58900</f>
        <v>58900.0</v>
      </c>
      <c r="R374" s="34" t="s">
        <v>50</v>
      </c>
      <c r="S374" s="35" t="n">
        <f>56085</f>
        <v>56085.0</v>
      </c>
      <c r="T374" s="32" t="n">
        <f>1267659</f>
        <v>1267659.0</v>
      </c>
      <c r="U374" s="32" t="n">
        <f>283977</f>
        <v>283977.0</v>
      </c>
      <c r="V374" s="32" t="n">
        <f>72023737228</f>
        <v>7.2023737228E10</v>
      </c>
      <c r="W374" s="32" t="n">
        <f>16245361928</f>
        <v>1.6245361928E10</v>
      </c>
      <c r="X374" s="36" t="n">
        <f>20</f>
        <v>20.0</v>
      </c>
    </row>
    <row r="375">
      <c r="A375" s="27" t="s">
        <v>42</v>
      </c>
      <c r="B375" s="27" t="s">
        <v>1178</v>
      </c>
      <c r="C375" s="27" t="s">
        <v>1179</v>
      </c>
      <c r="D375" s="27" t="s">
        <v>1180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470000</f>
        <v>470000.0</v>
      </c>
      <c r="L375" s="34" t="s">
        <v>48</v>
      </c>
      <c r="M375" s="33" t="n">
        <f>478500</f>
        <v>478500.0</v>
      </c>
      <c r="N375" s="34" t="s">
        <v>155</v>
      </c>
      <c r="O375" s="33" t="n">
        <f>464000</f>
        <v>464000.0</v>
      </c>
      <c r="P375" s="34" t="s">
        <v>48</v>
      </c>
      <c r="Q375" s="33" t="n">
        <f>472500</f>
        <v>472500.0</v>
      </c>
      <c r="R375" s="34" t="s">
        <v>50</v>
      </c>
      <c r="S375" s="35" t="n">
        <f>472325</f>
        <v>472325.0</v>
      </c>
      <c r="T375" s="32" t="n">
        <f>37731</f>
        <v>37731.0</v>
      </c>
      <c r="U375" s="32" t="n">
        <f>11058</f>
        <v>11058.0</v>
      </c>
      <c r="V375" s="32" t="n">
        <f>17794224580</f>
        <v>1.779422458E10</v>
      </c>
      <c r="W375" s="32" t="n">
        <f>5203578080</f>
        <v>5.20357808E9</v>
      </c>
      <c r="X375" s="36" t="n">
        <f>20</f>
        <v>20.0</v>
      </c>
    </row>
    <row r="376">
      <c r="A376" s="27" t="s">
        <v>42</v>
      </c>
      <c r="B376" s="27" t="s">
        <v>1181</v>
      </c>
      <c r="C376" s="27" t="s">
        <v>1182</v>
      </c>
      <c r="D376" s="27" t="s">
        <v>1183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146900</f>
        <v>146900.0</v>
      </c>
      <c r="L376" s="34" t="s">
        <v>48</v>
      </c>
      <c r="M376" s="33" t="n">
        <f>147800</f>
        <v>147800.0</v>
      </c>
      <c r="N376" s="34" t="s">
        <v>86</v>
      </c>
      <c r="O376" s="33" t="n">
        <f>142000</f>
        <v>142000.0</v>
      </c>
      <c r="P376" s="34" t="s">
        <v>60</v>
      </c>
      <c r="Q376" s="33" t="n">
        <f>145100</f>
        <v>145100.0</v>
      </c>
      <c r="R376" s="34" t="s">
        <v>50</v>
      </c>
      <c r="S376" s="35" t="n">
        <f>145100</f>
        <v>145100.0</v>
      </c>
      <c r="T376" s="32" t="n">
        <f>96444</f>
        <v>96444.0</v>
      </c>
      <c r="U376" s="32" t="n">
        <f>28912</f>
        <v>28912.0</v>
      </c>
      <c r="V376" s="32" t="n">
        <f>13993543468</f>
        <v>1.3993543468E10</v>
      </c>
      <c r="W376" s="32" t="n">
        <f>4199416868</f>
        <v>4.199416868E9</v>
      </c>
      <c r="X376" s="36" t="n">
        <f>20</f>
        <v>20.0</v>
      </c>
    </row>
    <row r="377">
      <c r="A377" s="27" t="s">
        <v>42</v>
      </c>
      <c r="B377" s="27" t="s">
        <v>1184</v>
      </c>
      <c r="C377" s="27" t="s">
        <v>1185</v>
      </c>
      <c r="D377" s="27" t="s">
        <v>1186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314000</f>
        <v>314000.0</v>
      </c>
      <c r="L377" s="34" t="s">
        <v>48</v>
      </c>
      <c r="M377" s="33" t="n">
        <f>315000</f>
        <v>315000.0</v>
      </c>
      <c r="N377" s="34" t="s">
        <v>48</v>
      </c>
      <c r="O377" s="33" t="n">
        <f>298400</f>
        <v>298400.0</v>
      </c>
      <c r="P377" s="34" t="s">
        <v>117</v>
      </c>
      <c r="Q377" s="33" t="n">
        <f>300500</f>
        <v>300500.0</v>
      </c>
      <c r="R377" s="34" t="s">
        <v>50</v>
      </c>
      <c r="S377" s="35" t="n">
        <f>307075</f>
        <v>307075.0</v>
      </c>
      <c r="T377" s="32" t="n">
        <f>83130</f>
        <v>83130.0</v>
      </c>
      <c r="U377" s="32" t="n">
        <f>29530</f>
        <v>29530.0</v>
      </c>
      <c r="V377" s="32" t="n">
        <f>25386862845</f>
        <v>2.5386862845E10</v>
      </c>
      <c r="W377" s="32" t="n">
        <f>9001357545</f>
        <v>9.001357545E9</v>
      </c>
      <c r="X377" s="36" t="n">
        <f>20</f>
        <v>20.0</v>
      </c>
    </row>
    <row r="378">
      <c r="A378" s="27" t="s">
        <v>42</v>
      </c>
      <c r="B378" s="27" t="s">
        <v>1187</v>
      </c>
      <c r="C378" s="27" t="s">
        <v>1188</v>
      </c>
      <c r="D378" s="27" t="s">
        <v>1189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166400</f>
        <v>166400.0</v>
      </c>
      <c r="L378" s="34" t="s">
        <v>48</v>
      </c>
      <c r="M378" s="33" t="n">
        <f>168400</f>
        <v>168400.0</v>
      </c>
      <c r="N378" s="34" t="s">
        <v>50</v>
      </c>
      <c r="O378" s="33" t="n">
        <f>162600</f>
        <v>162600.0</v>
      </c>
      <c r="P378" s="34" t="s">
        <v>267</v>
      </c>
      <c r="Q378" s="33" t="n">
        <f>166500</f>
        <v>166500.0</v>
      </c>
      <c r="R378" s="34" t="s">
        <v>50</v>
      </c>
      <c r="S378" s="35" t="n">
        <f>165370</f>
        <v>165370.0</v>
      </c>
      <c r="T378" s="32" t="n">
        <f>31399</f>
        <v>31399.0</v>
      </c>
      <c r="U378" s="32" t="n">
        <f>6297</f>
        <v>6297.0</v>
      </c>
      <c r="V378" s="32" t="n">
        <f>5201862002</f>
        <v>5.201862002E9</v>
      </c>
      <c r="W378" s="32" t="n">
        <f>1040649402</f>
        <v>1.040649402E9</v>
      </c>
      <c r="X378" s="36" t="n">
        <f>20</f>
        <v>20.0</v>
      </c>
    </row>
    <row r="379">
      <c r="A379" s="27" t="s">
        <v>42</v>
      </c>
      <c r="B379" s="27" t="s">
        <v>1190</v>
      </c>
      <c r="C379" s="27" t="s">
        <v>1191</v>
      </c>
      <c r="D379" s="27" t="s">
        <v>1192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348500</f>
        <v>348500.0</v>
      </c>
      <c r="L379" s="34" t="s">
        <v>48</v>
      </c>
      <c r="M379" s="33" t="n">
        <f>358000</f>
        <v>358000.0</v>
      </c>
      <c r="N379" s="34" t="s">
        <v>184</v>
      </c>
      <c r="O379" s="33" t="n">
        <f>324000</f>
        <v>324000.0</v>
      </c>
      <c r="P379" s="34" t="s">
        <v>227</v>
      </c>
      <c r="Q379" s="33" t="n">
        <f>338000</f>
        <v>338000.0</v>
      </c>
      <c r="R379" s="34" t="s">
        <v>50</v>
      </c>
      <c r="S379" s="35" t="n">
        <f>342025</f>
        <v>342025.0</v>
      </c>
      <c r="T379" s="32" t="n">
        <f>152210</f>
        <v>152210.0</v>
      </c>
      <c r="U379" s="32" t="n">
        <f>51742</f>
        <v>51742.0</v>
      </c>
      <c r="V379" s="32" t="n">
        <f>52173019937</f>
        <v>5.2173019937E10</v>
      </c>
      <c r="W379" s="32" t="n">
        <f>17790457937</f>
        <v>1.7790457937E10</v>
      </c>
      <c r="X379" s="36" t="n">
        <f>20</f>
        <v>20.0</v>
      </c>
    </row>
    <row r="380">
      <c r="A380" s="27" t="s">
        <v>42</v>
      </c>
      <c r="B380" s="27" t="s">
        <v>1193</v>
      </c>
      <c r="C380" s="27" t="s">
        <v>1194</v>
      </c>
      <c r="D380" s="27" t="s">
        <v>1195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90200</f>
        <v>90200.0</v>
      </c>
      <c r="L380" s="34" t="s">
        <v>48</v>
      </c>
      <c r="M380" s="33" t="n">
        <f>90800</f>
        <v>90800.0</v>
      </c>
      <c r="N380" s="34" t="s">
        <v>159</v>
      </c>
      <c r="O380" s="33" t="n">
        <f>87400</f>
        <v>87400.0</v>
      </c>
      <c r="P380" s="34" t="s">
        <v>117</v>
      </c>
      <c r="Q380" s="33" t="n">
        <f>88600</f>
        <v>88600.0</v>
      </c>
      <c r="R380" s="34" t="s">
        <v>50</v>
      </c>
      <c r="S380" s="35" t="n">
        <f>89180</f>
        <v>89180.0</v>
      </c>
      <c r="T380" s="32" t="n">
        <f>103082</f>
        <v>103082.0</v>
      </c>
      <c r="U380" s="32" t="n">
        <f>18523</f>
        <v>18523.0</v>
      </c>
      <c r="V380" s="32" t="n">
        <f>9199895625</f>
        <v>9.199895625E9</v>
      </c>
      <c r="W380" s="32" t="n">
        <f>1651945425</f>
        <v>1.651945425E9</v>
      </c>
      <c r="X380" s="36" t="n">
        <f>20</f>
        <v>20.0</v>
      </c>
    </row>
    <row r="381">
      <c r="A381" s="27" t="s">
        <v>42</v>
      </c>
      <c r="B381" s="27" t="s">
        <v>1196</v>
      </c>
      <c r="C381" s="27" t="s">
        <v>1197</v>
      </c>
      <c r="D381" s="27" t="s">
        <v>1198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636000</f>
        <v>636000.0</v>
      </c>
      <c r="L381" s="34" t="s">
        <v>48</v>
      </c>
      <c r="M381" s="33" t="n">
        <f>646000</f>
        <v>646000.0</v>
      </c>
      <c r="N381" s="34" t="s">
        <v>68</v>
      </c>
      <c r="O381" s="33" t="n">
        <f>619000</f>
        <v>619000.0</v>
      </c>
      <c r="P381" s="34" t="s">
        <v>117</v>
      </c>
      <c r="Q381" s="33" t="n">
        <f>626000</f>
        <v>626000.0</v>
      </c>
      <c r="R381" s="34" t="s">
        <v>50</v>
      </c>
      <c r="S381" s="35" t="n">
        <f>634600</f>
        <v>634600.0</v>
      </c>
      <c r="T381" s="32" t="n">
        <f>39210</f>
        <v>39210.0</v>
      </c>
      <c r="U381" s="32" t="n">
        <f>11253</f>
        <v>11253.0</v>
      </c>
      <c r="V381" s="32" t="n">
        <f>24875077019</f>
        <v>2.4875077019E10</v>
      </c>
      <c r="W381" s="32" t="n">
        <f>7135946019</f>
        <v>7.135946019E9</v>
      </c>
      <c r="X381" s="36" t="n">
        <f>20</f>
        <v>20.0</v>
      </c>
    </row>
    <row r="382">
      <c r="A382" s="27" t="s">
        <v>42</v>
      </c>
      <c r="B382" s="27" t="s">
        <v>1199</v>
      </c>
      <c r="C382" s="27" t="s">
        <v>1200</v>
      </c>
      <c r="D382" s="27" t="s">
        <v>1201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144800</f>
        <v>144800.0</v>
      </c>
      <c r="L382" s="34" t="s">
        <v>48</v>
      </c>
      <c r="M382" s="33" t="n">
        <f>146800</f>
        <v>146800.0</v>
      </c>
      <c r="N382" s="34" t="s">
        <v>155</v>
      </c>
      <c r="O382" s="33" t="n">
        <f>140600</f>
        <v>140600.0</v>
      </c>
      <c r="P382" s="34" t="s">
        <v>69</v>
      </c>
      <c r="Q382" s="33" t="n">
        <f>142100</f>
        <v>142100.0</v>
      </c>
      <c r="R382" s="34" t="s">
        <v>50</v>
      </c>
      <c r="S382" s="35" t="n">
        <f>144055</f>
        <v>144055.0</v>
      </c>
      <c r="T382" s="32" t="n">
        <f>54751</f>
        <v>54751.0</v>
      </c>
      <c r="U382" s="32" t="n">
        <f>13928</f>
        <v>13928.0</v>
      </c>
      <c r="V382" s="32" t="n">
        <f>7868105147</f>
        <v>7.868105147E9</v>
      </c>
      <c r="W382" s="32" t="n">
        <f>2000649147</f>
        <v>2.000649147E9</v>
      </c>
      <c r="X382" s="36" t="n">
        <f>20</f>
        <v>20.0</v>
      </c>
    </row>
    <row r="383">
      <c r="A383" s="27" t="s">
        <v>42</v>
      </c>
      <c r="B383" s="27" t="s">
        <v>1202</v>
      </c>
      <c r="C383" s="27" t="s">
        <v>1203</v>
      </c>
      <c r="D383" s="27" t="s">
        <v>1204</v>
      </c>
      <c r="E383" s="28" t="s">
        <v>46</v>
      </c>
      <c r="F383" s="29" t="s">
        <v>46</v>
      </c>
      <c r="G383" s="30" t="s">
        <v>46</v>
      </c>
      <c r="H383" s="31"/>
      <c r="I383" s="31" t="s">
        <v>583</v>
      </c>
      <c r="J383" s="32" t="n">
        <v>1.0</v>
      </c>
      <c r="K383" s="33" t="n">
        <f>231900</f>
        <v>231900.0</v>
      </c>
      <c r="L383" s="34" t="s">
        <v>48</v>
      </c>
      <c r="M383" s="33" t="n">
        <f>232900</f>
        <v>232900.0</v>
      </c>
      <c r="N383" s="34" t="s">
        <v>48</v>
      </c>
      <c r="O383" s="33" t="n">
        <f>219100</f>
        <v>219100.0</v>
      </c>
      <c r="P383" s="34" t="s">
        <v>117</v>
      </c>
      <c r="Q383" s="33" t="n">
        <f>224800</f>
        <v>224800.0</v>
      </c>
      <c r="R383" s="34" t="s">
        <v>50</v>
      </c>
      <c r="S383" s="35" t="n">
        <f>224280</f>
        <v>224280.0</v>
      </c>
      <c r="T383" s="32" t="n">
        <f>13681</f>
        <v>13681.0</v>
      </c>
      <c r="U383" s="32" t="n">
        <f>2129</f>
        <v>2129.0</v>
      </c>
      <c r="V383" s="32" t="n">
        <f>3071428049</f>
        <v>3.071428049E9</v>
      </c>
      <c r="W383" s="32" t="n">
        <f>479025349</f>
        <v>4.79025349E8</v>
      </c>
      <c r="X383" s="36" t="n">
        <f>20</f>
        <v>20.0</v>
      </c>
    </row>
    <row r="384">
      <c r="A384" s="27" t="s">
        <v>42</v>
      </c>
      <c r="B384" s="27" t="s">
        <v>1205</v>
      </c>
      <c r="C384" s="27" t="s">
        <v>1206</v>
      </c>
      <c r="D384" s="27" t="s">
        <v>1207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276300</f>
        <v>276300.0</v>
      </c>
      <c r="L384" s="34" t="s">
        <v>48</v>
      </c>
      <c r="M384" s="33" t="n">
        <f>283800</f>
        <v>283800.0</v>
      </c>
      <c r="N384" s="34" t="s">
        <v>155</v>
      </c>
      <c r="O384" s="33" t="n">
        <f>273200</f>
        <v>273200.0</v>
      </c>
      <c r="P384" s="34" t="s">
        <v>69</v>
      </c>
      <c r="Q384" s="33" t="n">
        <f>280000</f>
        <v>280000.0</v>
      </c>
      <c r="R384" s="34" t="s">
        <v>50</v>
      </c>
      <c r="S384" s="35" t="n">
        <f>279085</f>
        <v>279085.0</v>
      </c>
      <c r="T384" s="32" t="n">
        <f>112504</f>
        <v>112504.0</v>
      </c>
      <c r="U384" s="32" t="n">
        <f>27755</f>
        <v>27755.0</v>
      </c>
      <c r="V384" s="32" t="n">
        <f>31401832041</f>
        <v>3.1401832041E10</v>
      </c>
      <c r="W384" s="32" t="n">
        <f>7729117841</f>
        <v>7.729117841E9</v>
      </c>
      <c r="X384" s="36" t="n">
        <f>20</f>
        <v>20.0</v>
      </c>
    </row>
    <row r="385">
      <c r="A385" s="27" t="s">
        <v>42</v>
      </c>
      <c r="B385" s="27" t="s">
        <v>1208</v>
      </c>
      <c r="C385" s="27" t="s">
        <v>1209</v>
      </c>
      <c r="D385" s="27" t="s">
        <v>1210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74000</f>
        <v>74000.0</v>
      </c>
      <c r="L385" s="34" t="s">
        <v>48</v>
      </c>
      <c r="M385" s="33" t="n">
        <f>75600</f>
        <v>75600.0</v>
      </c>
      <c r="N385" s="34" t="s">
        <v>86</v>
      </c>
      <c r="O385" s="33" t="n">
        <f>68500</f>
        <v>68500.0</v>
      </c>
      <c r="P385" s="34" t="s">
        <v>117</v>
      </c>
      <c r="Q385" s="33" t="n">
        <f>70600</f>
        <v>70600.0</v>
      </c>
      <c r="R385" s="34" t="s">
        <v>50</v>
      </c>
      <c r="S385" s="35" t="n">
        <f>72290</f>
        <v>72290.0</v>
      </c>
      <c r="T385" s="32" t="n">
        <f>712039</f>
        <v>712039.0</v>
      </c>
      <c r="U385" s="32" t="n">
        <f>250151</f>
        <v>250151.0</v>
      </c>
      <c r="V385" s="32" t="n">
        <f>50953621947</f>
        <v>5.0953621947E10</v>
      </c>
      <c r="W385" s="32" t="n">
        <f>17815695747</f>
        <v>1.7815695747E10</v>
      </c>
      <c r="X385" s="36" t="n">
        <f>20</f>
        <v>20.0</v>
      </c>
    </row>
    <row r="386">
      <c r="A386" s="27" t="s">
        <v>42</v>
      </c>
      <c r="B386" s="27" t="s">
        <v>1211</v>
      </c>
      <c r="C386" s="27" t="s">
        <v>1212</v>
      </c>
      <c r="D386" s="27" t="s">
        <v>1213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114500</f>
        <v>114500.0</v>
      </c>
      <c r="L386" s="34" t="s">
        <v>48</v>
      </c>
      <c r="M386" s="33" t="n">
        <f>117200</f>
        <v>117200.0</v>
      </c>
      <c r="N386" s="34" t="s">
        <v>104</v>
      </c>
      <c r="O386" s="33" t="n">
        <f>113200</f>
        <v>113200.0</v>
      </c>
      <c r="P386" s="34" t="s">
        <v>117</v>
      </c>
      <c r="Q386" s="33" t="n">
        <f>113900</f>
        <v>113900.0</v>
      </c>
      <c r="R386" s="34" t="s">
        <v>50</v>
      </c>
      <c r="S386" s="35" t="n">
        <f>115000</f>
        <v>115000.0</v>
      </c>
      <c r="T386" s="32" t="n">
        <f>90122</f>
        <v>90122.0</v>
      </c>
      <c r="U386" s="32" t="n">
        <f>24820</f>
        <v>24820.0</v>
      </c>
      <c r="V386" s="32" t="n">
        <f>10354623363</f>
        <v>1.0354623363E10</v>
      </c>
      <c r="W386" s="32" t="n">
        <f>2851028863</f>
        <v>2.851028863E9</v>
      </c>
      <c r="X386" s="36" t="n">
        <f>20</f>
        <v>20.0</v>
      </c>
    </row>
    <row r="387">
      <c r="A387" s="27" t="s">
        <v>42</v>
      </c>
      <c r="B387" s="27" t="s">
        <v>1214</v>
      </c>
      <c r="C387" s="27" t="s">
        <v>1215</v>
      </c>
      <c r="D387" s="27" t="s">
        <v>1216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125000</f>
        <v>125000.0</v>
      </c>
      <c r="L387" s="34" t="s">
        <v>48</v>
      </c>
      <c r="M387" s="33" t="n">
        <f>136700</f>
        <v>136700.0</v>
      </c>
      <c r="N387" s="34" t="s">
        <v>104</v>
      </c>
      <c r="O387" s="33" t="n">
        <f>124400</f>
        <v>124400.0</v>
      </c>
      <c r="P387" s="34" t="s">
        <v>48</v>
      </c>
      <c r="Q387" s="33" t="n">
        <f>131900</f>
        <v>131900.0</v>
      </c>
      <c r="R387" s="34" t="s">
        <v>50</v>
      </c>
      <c r="S387" s="35" t="n">
        <f>131205</f>
        <v>131205.0</v>
      </c>
      <c r="T387" s="32" t="n">
        <f>134029</f>
        <v>134029.0</v>
      </c>
      <c r="U387" s="32" t="n">
        <f>38378</f>
        <v>38378.0</v>
      </c>
      <c r="V387" s="32" t="n">
        <f>17683001996</f>
        <v>1.7683001996E10</v>
      </c>
      <c r="W387" s="32" t="n">
        <f>5096563396</f>
        <v>5.096563396E9</v>
      </c>
      <c r="X387" s="36" t="n">
        <f>20</f>
        <v>20.0</v>
      </c>
    </row>
    <row r="388">
      <c r="A388" s="27" t="s">
        <v>42</v>
      </c>
      <c r="B388" s="27" t="s">
        <v>1217</v>
      </c>
      <c r="C388" s="27" t="s">
        <v>1218</v>
      </c>
      <c r="D388" s="27" t="s">
        <v>1219</v>
      </c>
      <c r="E388" s="28" t="s">
        <v>46</v>
      </c>
      <c r="F388" s="29" t="s">
        <v>46</v>
      </c>
      <c r="G388" s="30" t="s">
        <v>46</v>
      </c>
      <c r="H388" s="31"/>
      <c r="I388" s="31" t="s">
        <v>583</v>
      </c>
      <c r="J388" s="32" t="n">
        <v>1.0</v>
      </c>
      <c r="K388" s="33" t="n">
        <f>72400</f>
        <v>72400.0</v>
      </c>
      <c r="L388" s="34" t="s">
        <v>48</v>
      </c>
      <c r="M388" s="33" t="n">
        <f>74700</f>
        <v>74700.0</v>
      </c>
      <c r="N388" s="34" t="s">
        <v>267</v>
      </c>
      <c r="O388" s="33" t="n">
        <f>70000</f>
        <v>70000.0</v>
      </c>
      <c r="P388" s="34" t="s">
        <v>50</v>
      </c>
      <c r="Q388" s="33" t="n">
        <f>71300</f>
        <v>71300.0</v>
      </c>
      <c r="R388" s="34" t="s">
        <v>50</v>
      </c>
      <c r="S388" s="35" t="n">
        <f>71970</f>
        <v>71970.0</v>
      </c>
      <c r="T388" s="32" t="n">
        <f>2825</f>
        <v>2825.0</v>
      </c>
      <c r="U388" s="32" t="n">
        <f>16</f>
        <v>16.0</v>
      </c>
      <c r="V388" s="32" t="n">
        <f>203162900</f>
        <v>2.031629E8</v>
      </c>
      <c r="W388" s="32" t="n">
        <f>1149800</f>
        <v>1149800.0</v>
      </c>
      <c r="X388" s="36" t="n">
        <f>20</f>
        <v>20.0</v>
      </c>
    </row>
    <row r="389">
      <c r="A389" s="27" t="s">
        <v>42</v>
      </c>
      <c r="B389" s="27" t="s">
        <v>1220</v>
      </c>
      <c r="C389" s="27" t="s">
        <v>1221</v>
      </c>
      <c r="D389" s="27" t="s">
        <v>1222</v>
      </c>
      <c r="E389" s="28" t="s">
        <v>46</v>
      </c>
      <c r="F389" s="29" t="s">
        <v>46</v>
      </c>
      <c r="G389" s="30" t="s">
        <v>46</v>
      </c>
      <c r="H389" s="31"/>
      <c r="I389" s="31" t="s">
        <v>583</v>
      </c>
      <c r="J389" s="32" t="n">
        <v>1.0</v>
      </c>
      <c r="K389" s="33" t="n">
        <f>121300</f>
        <v>121300.0</v>
      </c>
      <c r="L389" s="34" t="s">
        <v>48</v>
      </c>
      <c r="M389" s="33" t="n">
        <f>121400</f>
        <v>121400.0</v>
      </c>
      <c r="N389" s="34" t="s">
        <v>48</v>
      </c>
      <c r="O389" s="33" t="n">
        <f>117700</f>
        <v>117700.0</v>
      </c>
      <c r="P389" s="34" t="s">
        <v>49</v>
      </c>
      <c r="Q389" s="33" t="n">
        <f>118700</f>
        <v>118700.0</v>
      </c>
      <c r="R389" s="34" t="s">
        <v>50</v>
      </c>
      <c r="S389" s="35" t="n">
        <f>119100</f>
        <v>119100.0</v>
      </c>
      <c r="T389" s="32" t="n">
        <f>31452</f>
        <v>31452.0</v>
      </c>
      <c r="U389" s="32" t="n">
        <f>603</f>
        <v>603.0</v>
      </c>
      <c r="V389" s="32" t="n">
        <f>3730600118</f>
        <v>3.730600118E9</v>
      </c>
      <c r="W389" s="32" t="n">
        <f>71454018</f>
        <v>7.1454018E7</v>
      </c>
      <c r="X389" s="36" t="n">
        <f>20</f>
        <v>20.0</v>
      </c>
    </row>
    <row r="390">
      <c r="A390" s="27" t="s">
        <v>42</v>
      </c>
      <c r="B390" s="27" t="s">
        <v>1223</v>
      </c>
      <c r="C390" s="27" t="s">
        <v>1224</v>
      </c>
      <c r="D390" s="27" t="s">
        <v>1225</v>
      </c>
      <c r="E390" s="28" t="s">
        <v>46</v>
      </c>
      <c r="F390" s="29" t="s">
        <v>46</v>
      </c>
      <c r="G390" s="30" t="s">
        <v>46</v>
      </c>
      <c r="H390" s="31"/>
      <c r="I390" s="31" t="s">
        <v>583</v>
      </c>
      <c r="J390" s="32" t="n">
        <v>1.0</v>
      </c>
      <c r="K390" s="33" t="n">
        <f>92000</f>
        <v>92000.0</v>
      </c>
      <c r="L390" s="34" t="s">
        <v>48</v>
      </c>
      <c r="M390" s="33" t="n">
        <f>92000</f>
        <v>92000.0</v>
      </c>
      <c r="N390" s="34" t="s">
        <v>48</v>
      </c>
      <c r="O390" s="33" t="n">
        <f>91100</f>
        <v>91100.0</v>
      </c>
      <c r="P390" s="34" t="s">
        <v>64</v>
      </c>
      <c r="Q390" s="33" t="n">
        <f>91500</f>
        <v>91500.0</v>
      </c>
      <c r="R390" s="34" t="s">
        <v>50</v>
      </c>
      <c r="S390" s="35" t="n">
        <f>91415</f>
        <v>91415.0</v>
      </c>
      <c r="T390" s="32" t="n">
        <f>4985</f>
        <v>4985.0</v>
      </c>
      <c r="U390" s="32" t="n">
        <f>34</f>
        <v>34.0</v>
      </c>
      <c r="V390" s="32" t="n">
        <f>455843300</f>
        <v>4.558433E8</v>
      </c>
      <c r="W390" s="32" t="n">
        <f>3107000</f>
        <v>3107000.0</v>
      </c>
      <c r="X390" s="36" t="n">
        <f>20</f>
        <v>20.0</v>
      </c>
    </row>
    <row r="391">
      <c r="A391" s="27" t="s">
        <v>42</v>
      </c>
      <c r="B391" s="27" t="s">
        <v>1226</v>
      </c>
      <c r="C391" s="27" t="s">
        <v>1227</v>
      </c>
      <c r="D391" s="27" t="s">
        <v>1228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89500</f>
        <v>89500.0</v>
      </c>
      <c r="L391" s="34" t="s">
        <v>48</v>
      </c>
      <c r="M391" s="33" t="n">
        <f>89700</f>
        <v>89700.0</v>
      </c>
      <c r="N391" s="34" t="s">
        <v>227</v>
      </c>
      <c r="O391" s="33" t="n">
        <f>89200</f>
        <v>89200.0</v>
      </c>
      <c r="P391" s="34" t="s">
        <v>91</v>
      </c>
      <c r="Q391" s="33" t="n">
        <f>89300</f>
        <v>89300.0</v>
      </c>
      <c r="R391" s="34" t="s">
        <v>50</v>
      </c>
      <c r="S391" s="35" t="n">
        <f>89395</f>
        <v>89395.0</v>
      </c>
      <c r="T391" s="32" t="n">
        <f>55449</f>
        <v>55449.0</v>
      </c>
      <c r="U391" s="32" t="n">
        <f>234</f>
        <v>234.0</v>
      </c>
      <c r="V391" s="32" t="n">
        <f>4958726854</f>
        <v>4.958726854E9</v>
      </c>
      <c r="W391" s="32" t="n">
        <f>21061454</f>
        <v>2.1061454E7</v>
      </c>
      <c r="X391" s="36" t="n">
        <f>20</f>
        <v>20.0</v>
      </c>
    </row>
    <row r="392">
      <c r="A392" s="27" t="s">
        <v>42</v>
      </c>
      <c r="B392" s="27" t="s">
        <v>1229</v>
      </c>
      <c r="C392" s="27" t="s">
        <v>1230</v>
      </c>
      <c r="D392" s="27" t="s">
        <v>1231</v>
      </c>
      <c r="E392" s="28" t="s">
        <v>46</v>
      </c>
      <c r="F392" s="29" t="s">
        <v>46</v>
      </c>
      <c r="G392" s="30" t="s">
        <v>46</v>
      </c>
      <c r="H392" s="31"/>
      <c r="I392" s="31" t="s">
        <v>583</v>
      </c>
      <c r="J392" s="32" t="n">
        <v>1.0</v>
      </c>
      <c r="K392" s="33" t="n">
        <f>90300</f>
        <v>90300.0</v>
      </c>
      <c r="L392" s="34" t="s">
        <v>48</v>
      </c>
      <c r="M392" s="33" t="n">
        <f>90700</f>
        <v>90700.0</v>
      </c>
      <c r="N392" s="34" t="s">
        <v>184</v>
      </c>
      <c r="O392" s="33" t="n">
        <f>90100</f>
        <v>90100.0</v>
      </c>
      <c r="P392" s="34" t="s">
        <v>48</v>
      </c>
      <c r="Q392" s="33" t="n">
        <f>90300</f>
        <v>90300.0</v>
      </c>
      <c r="R392" s="34" t="s">
        <v>50</v>
      </c>
      <c r="S392" s="35" t="n">
        <f>90380</f>
        <v>90380.0</v>
      </c>
      <c r="T392" s="32" t="n">
        <f>8839</f>
        <v>8839.0</v>
      </c>
      <c r="U392" s="32" t="n">
        <f>1806</f>
        <v>1806.0</v>
      </c>
      <c r="V392" s="32" t="n">
        <f>799144130</f>
        <v>7.9914413E8</v>
      </c>
      <c r="W392" s="32" t="n">
        <f>163652930</f>
        <v>1.6365293E8</v>
      </c>
      <c r="X392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