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4" sheetId="1" r:id="rId1"/>
  </sheets>
  <definedNames>
    <definedName name="_xlnm.Print_Titles" localSheetId="0">BO_EM0004!$1:$6</definedName>
  </definedNames>
  <calcPr calcId="145621"/>
</workbook>
</file>

<file path=xl/sharedStrings.xml><?xml version="1.0" encoding="utf-8"?>
<sst xmlns="http://schemas.openxmlformats.org/spreadsheetml/2006/main" count="5333" uniqueCount="1386">
  <si>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</si>
  <si>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sb="0" eb="1">
      <t>トウ</t>
    </rPh>
    <rPh sb="2" eb="3">
      <t>シン</t>
    </rPh>
    <rPh sb="4" eb="5">
      <t>トウ</t>
    </rPh>
    <rPh sb="6" eb="7">
      <t>ソウ</t>
    </rPh>
    <rPh sb="8" eb="9">
      <t>バ</t>
    </rPh>
    <rPh sb="10" eb="11">
      <t>ヒョウ</t>
    </rPh>
    <phoneticPr fontId="3"/>
  </si>
  <si>
    <t>Investment Trust Quotations</t>
    <phoneticPr fontId="3"/>
  </si>
  <si>
    <t>年月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</si>
  <si>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</si>
  <si>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</si>
  <si>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</si>
  <si>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</si>
  <si>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</si>
  <si>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sb="0" eb="2">
      <t>ヒヅケ</t>
    </rPh>
    <phoneticPr fontId="3"/>
  </si>
  <si>
    <t>区分</t>
  </si>
  <si>
    <t>信用・貸借</t>
    <rPh sb="0" eb="2">
      <t>シンヨウ</t>
    </rPh>
    <rPh sb="3" eb="5">
      <t>タイシャク</t>
    </rPh>
    <phoneticPr fontId="3"/>
  </si>
  <si>
    <t>売買単位</t>
    <rPh sb="0" eb="2">
      <t>バイバイ</t>
    </rPh>
    <rPh sb="2" eb="4">
      <t>タンイ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</si>
  <si>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</si>
  <si>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</si>
  <si>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</si>
  <si>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</si>
  <si>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</si>
  <si>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売買高</t>
    <rPh sb="0" eb="3">
      <t>バイバイダカ</t>
    </rPh>
    <phoneticPr fontId="3"/>
  </si>
  <si>
    <t>うちToSTNeT売買高</t>
  </si>
  <si>
    <t>売買代金</t>
    <rPh sb="0" eb="2">
      <t>バイバイ</t>
    </rPh>
    <rPh sb="2" eb="4">
      <t>ダイキン</t>
    </rPh>
    <phoneticPr fontId="3"/>
  </si>
  <si>
    <t>うちToSTNeT売買代金</t>
  </si>
  <si>
    <t>値付日数</t>
    <rPh sb="0" eb="2">
      <t>ネツ</t>
    </rPh>
    <rPh sb="2" eb="4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</si>
  <si>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</si>
  <si>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</si>
  <si>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</si>
  <si>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</si>
  <si>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</si>
  <si>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</si>
  <si>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</si>
  <si>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</si>
  <si>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</si>
  <si>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</si>
  <si>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</si>
  <si>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</si>
  <si>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</si>
  <si>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</si>
  <si>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</si>
  <si>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</si>
  <si>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</si>
  <si>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</si>
  <si>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</si>
  <si>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2025/02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</si>
  <si>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</si>
  <si>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</si>
  <si>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</si>
  <si>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</si>
  <si>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</si>
  <si>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3</t>
  </si>
  <si>
    <t>18</t>
  </si>
  <si>
    <t>28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</si>
  <si>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</si>
  <si>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</si>
  <si>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</si>
  <si>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</si>
  <si>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</si>
  <si>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Listed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</si>
  <si>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</si>
  <si>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</si>
  <si>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</si>
  <si>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17</t>
  </si>
  <si>
    <t>6</t>
  </si>
  <si>
    <t>1311</t>
  </si>
  <si>
    <t>ＮＥＸＴ　ＦＵＮＤＳ　ＴＯＰＩＸ　Ｃｏｒｅ　３０連動型上場投信　受益証券</t>
  </si>
  <si>
    <t>NEXT FUNDS TOPIX Core 30 Exchange Traded Fund</t>
  </si>
  <si>
    <t>1319</t>
  </si>
  <si>
    <t>ＮＥＸＴ　ＦＵＮＤＳ　日経３００株価指数連動型上場投信　受益証券</t>
  </si>
  <si>
    <t>NEXT FUNDS Nikkei 300 Index Exchange Traded Fund</t>
  </si>
  <si>
    <t>4</t>
  </si>
  <si>
    <t>13</t>
  </si>
  <si>
    <t>1320</t>
  </si>
  <si>
    <t>ｉＦｒｅｅＥＴＦ　日経２２５（年１回決算型）　受益証券</t>
  </si>
  <si>
    <t>iFreeETF Nikkei225 (Yearly Dividend Type)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</si>
  <si>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</si>
  <si>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</si>
  <si>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</si>
  <si>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</si>
  <si>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</si>
  <si>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</si>
  <si>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14</t>
  </si>
  <si>
    <t>1325</t>
  </si>
  <si>
    <t>ＮＥＸＴ　ＦＵＮＤＳ　ブラジル株式指数・ボベスパ連動型上場投信　受益証券</t>
  </si>
  <si>
    <t>NEXT FUNDS Ibovespa Linked Exchange Traded Fund</t>
  </si>
  <si>
    <t>20</t>
  </si>
  <si>
    <t>1326</t>
  </si>
  <si>
    <t>ＳＰＤＲゴールド・シェア　受益証券</t>
  </si>
  <si>
    <t>SPDR Gold Shares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</si>
  <si>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</si>
  <si>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</si>
  <si>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</si>
  <si>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</si>
  <si>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</si>
  <si>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</si>
  <si>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</si>
  <si>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</si>
  <si>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Listed Index Fund 225</t>
  </si>
  <si>
    <t>133A</t>
  </si>
  <si>
    <t>グローバルＸ　超短期米国債　ＥＴＦ　受益証券</t>
  </si>
  <si>
    <t>Global X Ultra Short-Term T-Bill ETF</t>
  </si>
  <si>
    <t>26</t>
  </si>
  <si>
    <t>1343</t>
  </si>
  <si>
    <t>ＮＥＸＴ　ＦＵＮＤＳ　東証ＲＥＩＴ　指数連動型上場投信　受益証券</t>
  </si>
  <si>
    <t>NEXT FUNDS REIT INDEX ETF</t>
  </si>
  <si>
    <t>10</t>
  </si>
  <si>
    <t>1345</t>
  </si>
  <si>
    <t>上場インデックスファンドＪリート（東証ＲＥＩＴ指数）隔月分配型　受益証券</t>
  </si>
  <si>
    <t>Listed Index Fund J-REIT (Tokyo Stock Exchange REIT Index)Bi-Monthly Dividend Payment Type</t>
  </si>
  <si>
    <t>1346</t>
  </si>
  <si>
    <t>ＭＡＸＩＳ　日経２２５上場投信　受益証券</t>
  </si>
  <si>
    <t>MAXIS NIKKEI 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</si>
  <si>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</si>
  <si>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</si>
  <si>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</si>
  <si>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</si>
  <si>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</si>
  <si>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</si>
  <si>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5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</si>
  <si>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</si>
  <si>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</si>
  <si>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</si>
  <si>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</si>
  <si>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</si>
  <si>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Exchange Traded Fund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</si>
  <si>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</si>
  <si>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</si>
  <si>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</si>
  <si>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</si>
  <si>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</si>
  <si>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</si>
  <si>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</si>
  <si>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</si>
  <si>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</si>
  <si>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</si>
  <si>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</si>
  <si>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</si>
  <si>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</si>
  <si>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</si>
  <si>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</si>
  <si>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</si>
  <si>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</si>
  <si>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</si>
  <si>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</si>
  <si>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</si>
  <si>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</si>
  <si>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</si>
  <si>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</si>
  <si>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</si>
  <si>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</si>
  <si>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</si>
  <si>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</si>
  <si>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</si>
  <si>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</si>
  <si>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</si>
  <si>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</si>
  <si>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</si>
  <si>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</si>
  <si>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21</t>
  </si>
  <si>
    <t>25</t>
  </si>
  <si>
    <t>140A</t>
  </si>
  <si>
    <t>ｉＦｒｅｅＥＴＦ　米国１０年国債先物インバース　受益証券</t>
  </si>
  <si>
    <t>iFreeETF 10-Year U.S. Treasury Note Futures Inverse</t>
  </si>
  <si>
    <t>7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</si>
  <si>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</si>
  <si>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</si>
  <si>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</si>
  <si>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</si>
  <si>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</si>
  <si>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</si>
  <si>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</si>
  <si>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</si>
  <si>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</si>
  <si>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</si>
  <si>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</si>
  <si>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</si>
  <si>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1466</t>
  </si>
  <si>
    <t>ｉＦｒｅｅＥＴＦ　ＪＰＸ日経４００ダブルインバース・インデックス　受益証券</t>
  </si>
  <si>
    <t>iFreeETF JPX-Nikkei400 Double Inverse (-2x) Index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</si>
  <si>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</si>
  <si>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</si>
  <si>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</si>
  <si>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</si>
  <si>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</si>
  <si>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</si>
  <si>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</si>
  <si>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</si>
  <si>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</si>
  <si>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</si>
  <si>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</si>
  <si>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</si>
  <si>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</si>
  <si>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</si>
  <si>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</si>
  <si>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</si>
  <si>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</si>
  <si>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</si>
  <si>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</si>
  <si>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</si>
  <si>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</si>
  <si>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</si>
  <si>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</si>
  <si>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</si>
  <si>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</si>
  <si>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ｉＦｒｅｅＥＴＦ　ＭＳＣＩ日本株人材設備投資指数　受益証券</t>
  </si>
  <si>
    <t>iFreeETF MSCI Japan Human and Physical Investment Index</t>
  </si>
  <si>
    <t>27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</si>
  <si>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</si>
  <si>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</si>
  <si>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</si>
  <si>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</si>
  <si>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</si>
  <si>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</si>
  <si>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</si>
  <si>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</si>
  <si>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</si>
  <si>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</si>
  <si>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</si>
  <si>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</si>
  <si>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</si>
  <si>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</si>
  <si>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</si>
  <si>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</si>
  <si>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</si>
  <si>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</si>
  <si>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</si>
  <si>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</si>
  <si>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</si>
  <si>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</si>
  <si>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</si>
  <si>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</si>
  <si>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</si>
  <si>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ｉＦｒｅｅＥＴＦ　東証ＲＥＩＴ指数　受益証券</t>
  </si>
  <si>
    <t>iFreeETF Tokyo Stock Exchange REIT Index</t>
  </si>
  <si>
    <t>12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</si>
  <si>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</si>
  <si>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</si>
  <si>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</si>
  <si>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19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</si>
  <si>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</si>
  <si>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</si>
  <si>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</si>
  <si>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</si>
  <si>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</si>
  <si>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</si>
  <si>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</si>
  <si>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</si>
  <si>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</si>
  <si>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</si>
  <si>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</si>
  <si>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</si>
  <si>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</si>
  <si>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</si>
  <si>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</si>
  <si>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</si>
  <si>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</si>
  <si>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</si>
  <si>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</si>
  <si>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</si>
  <si>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</si>
  <si>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</si>
  <si>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</si>
  <si>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</si>
  <si>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</si>
  <si>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</si>
  <si>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</si>
  <si>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</si>
  <si>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</si>
  <si>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</si>
  <si>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</si>
  <si>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</si>
  <si>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</si>
  <si>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</si>
  <si>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</si>
  <si>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</si>
  <si>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</si>
  <si>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</si>
  <si>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</si>
  <si>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</si>
  <si>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</si>
  <si>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</si>
  <si>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</si>
  <si>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</si>
  <si>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</si>
  <si>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</si>
  <si>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</si>
  <si>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</si>
  <si>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</si>
  <si>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</si>
  <si>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</si>
  <si>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</si>
  <si>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</si>
  <si>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</si>
  <si>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</si>
  <si>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Ａ－ＲＥＩＴ）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</si>
  <si>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</si>
  <si>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</si>
  <si>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</si>
  <si>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</si>
  <si>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</si>
  <si>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</si>
  <si>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</si>
  <si>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</si>
  <si>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</si>
  <si>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</si>
  <si>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</si>
  <si>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</si>
  <si>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</si>
  <si>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</si>
  <si>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</si>
  <si>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</si>
  <si>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</si>
  <si>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</si>
  <si>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</si>
  <si>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</si>
  <si>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</si>
  <si>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</si>
  <si>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</si>
  <si>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</si>
  <si>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</si>
  <si>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</si>
  <si>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</si>
  <si>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</si>
  <si>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</si>
  <si>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</si>
  <si>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</si>
  <si>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</si>
  <si>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</si>
  <si>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</si>
  <si>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</si>
  <si>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</si>
  <si>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Exchange Traded Fund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</si>
  <si>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</si>
  <si>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</si>
  <si>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</si>
  <si>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</si>
  <si>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</si>
  <si>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</si>
  <si>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</si>
  <si>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</si>
  <si>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</si>
  <si>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</si>
  <si>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</si>
  <si>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</si>
  <si>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</si>
  <si>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</si>
  <si>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</si>
  <si>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</si>
  <si>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</si>
  <si>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</si>
  <si>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</si>
  <si>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</si>
  <si>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</si>
  <si>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</si>
  <si>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</si>
  <si>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</si>
  <si>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</si>
  <si>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</si>
  <si>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</si>
  <si>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</si>
  <si>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</si>
  <si>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</si>
  <si>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</si>
  <si>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</si>
  <si>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</si>
  <si>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</si>
  <si>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</si>
  <si>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</si>
  <si>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159A</t>
  </si>
  <si>
    <t>ＮＥＸＴ　ＦＵＮＤＳ　ＪＰＸプライム１５０指数連動型上場投信　受益証券</t>
  </si>
  <si>
    <t>NEXT FUNDS JPX Prime 150 Index Exchange Traded Fund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</si>
  <si>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</si>
  <si>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</si>
  <si>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</si>
  <si>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</si>
  <si>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</si>
  <si>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</si>
  <si>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</si>
  <si>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</si>
  <si>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</si>
  <si>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</si>
  <si>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</si>
  <si>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</si>
  <si>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</si>
  <si>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</si>
  <si>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</si>
  <si>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</si>
  <si>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</si>
  <si>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</si>
  <si>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</si>
  <si>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</si>
  <si>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</si>
  <si>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</si>
  <si>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</si>
  <si>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</si>
  <si>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</si>
  <si>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</si>
  <si>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</si>
  <si>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</si>
  <si>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</si>
  <si>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</si>
  <si>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</si>
  <si>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</si>
  <si>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</si>
  <si>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</si>
  <si>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</si>
  <si>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</si>
  <si>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</si>
  <si>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</si>
  <si>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</si>
  <si>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</si>
  <si>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</si>
  <si>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</si>
  <si>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162A</t>
  </si>
  <si>
    <t>ＡＩセレクトメガトレンド　日本株（ネットリターン）ＥＴＮ　受益証券</t>
  </si>
  <si>
    <t>AI Select Megatrend Japan Equity Net Return ETN</t>
  </si>
  <si>
    <t>信用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</si>
  <si>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</si>
  <si>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</si>
  <si>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</si>
  <si>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</si>
  <si>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</si>
  <si>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</si>
  <si>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</si>
  <si>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</si>
  <si>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</si>
  <si>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</si>
  <si>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</si>
  <si>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</si>
  <si>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163A</t>
  </si>
  <si>
    <t>半導体フォーカス　日本株（ネットリターン）ＥＴＮ　受益証券</t>
  </si>
  <si>
    <t>Semiconductor Focus Japan Equity Net Return ETN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</si>
  <si>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</si>
  <si>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</si>
  <si>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</si>
  <si>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</si>
  <si>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</si>
  <si>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</si>
  <si>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</si>
  <si>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</si>
  <si>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</si>
  <si>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</si>
  <si>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Ｂｌｏｓｓｏｍ　Ｊａｐａｎ　Ｉｎｄｅｘ　受益証券</t>
  </si>
  <si>
    <t>iFreeETF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</si>
  <si>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</si>
  <si>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</si>
  <si>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</si>
  <si>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</si>
  <si>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</si>
  <si>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</si>
  <si>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</si>
  <si>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</si>
  <si>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</si>
  <si>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</si>
  <si>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</si>
  <si>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</si>
  <si>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</si>
  <si>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</si>
  <si>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</si>
  <si>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</si>
  <si>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</si>
  <si>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</si>
  <si>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</si>
  <si>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</si>
  <si>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</si>
  <si>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</si>
  <si>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</si>
  <si>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</si>
  <si>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</si>
  <si>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</si>
  <si>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</si>
  <si>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</si>
  <si>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</si>
  <si>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</si>
  <si>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</si>
  <si>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</si>
  <si>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</si>
  <si>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</si>
  <si>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</si>
  <si>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</si>
  <si>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</si>
  <si>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</si>
  <si>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</si>
  <si>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</si>
  <si>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　連動型上場投信　受益証券</t>
  </si>
  <si>
    <t>NEXT FUNDS Nifty 50 Linked Exchange Traded Fund</t>
  </si>
  <si>
    <t>1679</t>
  </si>
  <si>
    <t>Ｓｉｍｐｌｅ－Ｘ　ＮＹ　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</si>
  <si>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</si>
  <si>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</si>
  <si>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</si>
  <si>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 (MSCI-KOKUSAI)</t>
  </si>
  <si>
    <t>1681</t>
  </si>
  <si>
    <t>上場インデックスファンド海外新興国株式（ＭＳＣＩ　エマージング）　受益証券</t>
  </si>
  <si>
    <t>Listed Index Fund International Emerging Countries Equity (MSCI EMERGING)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</si>
  <si>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</si>
  <si>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</si>
  <si>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</si>
  <si>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</si>
  <si>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</si>
  <si>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</si>
  <si>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</si>
  <si>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</si>
  <si>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</si>
  <si>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</si>
  <si>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</si>
  <si>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</si>
  <si>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</si>
  <si>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</si>
  <si>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</si>
  <si>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</si>
  <si>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</si>
  <si>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</si>
  <si>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</si>
  <si>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</si>
  <si>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</si>
  <si>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</si>
  <si>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</si>
  <si>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</si>
  <si>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</si>
  <si>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</si>
  <si>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</si>
  <si>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</si>
  <si>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</si>
  <si>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</si>
  <si>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</si>
  <si>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</si>
  <si>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</si>
  <si>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</si>
  <si>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</si>
  <si>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</si>
  <si>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</si>
  <si>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</si>
  <si>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</si>
  <si>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</si>
  <si>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</si>
  <si>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</si>
  <si>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</si>
  <si>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</si>
  <si>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 (TSE Dividend Focus 100)</t>
  </si>
  <si>
    <t>1699</t>
  </si>
  <si>
    <t>ＮＥＸＴ　ＦＵＮＤＳ　ＮＯＭＵＲＡ　原油インデックス連動型上場投信　受益証券</t>
  </si>
  <si>
    <t>NEXT FUNDS NOMURA Crude Oil Long Index Linked Exchange Traded Fund</t>
  </si>
  <si>
    <t>170A</t>
  </si>
  <si>
    <t>ＳＭＴ　ＥＴＦ日本好配当株アクティブ　受益証券</t>
  </si>
  <si>
    <t>SMT ETF Japan Equity Income Strategy Active</t>
  </si>
  <si>
    <t>178A</t>
  </si>
  <si>
    <t>グローバルＸ　革新的優良企業　ＥＴＦ　受益証券</t>
  </si>
  <si>
    <t>Global X Innovative Bluechip Top 10+ ETF</t>
  </si>
  <si>
    <t>179A</t>
  </si>
  <si>
    <t>グローバルＸ　超長期米国債　ＥＴＦ（為替ヘッジあり）　受益証券</t>
  </si>
  <si>
    <t>Global X 25+ Year T-Bond ETF (JPY Hedged)</t>
  </si>
  <si>
    <t>180A</t>
  </si>
  <si>
    <t>グローバルＸ　超長期米国債　ＥＴＦ　受益証券</t>
  </si>
  <si>
    <t>Global X 25+ Year T-Bond ETF</t>
  </si>
  <si>
    <t>181A</t>
  </si>
  <si>
    <t>ＭＡＸＩＳ米国国債１－３年上場投信（為替ヘッジなし）　受益証券</t>
  </si>
  <si>
    <t>MAXIS US Treasury Bond 1-3 Year ETF (Unhedged)</t>
  </si>
  <si>
    <t>182A</t>
  </si>
  <si>
    <t>ＭＡＸＩＳ米国国債２０年超上場投信（為替ヘッジなし）　受益証券</t>
  </si>
  <si>
    <t>MAXIS US Treasury Bond 20+ Year ETF (Unhedged)</t>
  </si>
  <si>
    <t>183A</t>
  </si>
  <si>
    <t>ＭＡＸＩＳ米国国債２０年超上場投信（為替ヘッジあり）　受益証券</t>
  </si>
  <si>
    <t>MAXIS US Treasury Bond 20+ Year ETF (JPY Hedged)</t>
  </si>
  <si>
    <t>188A</t>
  </si>
  <si>
    <t>グローバルＸ　インド・トップ１０＋　ＥＴＦ　受益証券</t>
  </si>
  <si>
    <t>Global X India Top 10+ ETF</t>
  </si>
  <si>
    <t>200A</t>
  </si>
  <si>
    <t>ＮＥＸＴ　ＦＵＮＤＳ　日経半導体株指数連動型上場投信　受益証券</t>
  </si>
  <si>
    <t>NEXT FUNDS Nikkei Semiconductor Stock Index Exchange Traded Fund</t>
  </si>
  <si>
    <t>2011</t>
  </si>
  <si>
    <t>ＳＭＤＡＭ　Ａｃｔｉｖｅ　ＥＴＦ　日本高配当株式　受益証券</t>
  </si>
  <si>
    <t>SMDAM Active ETF Japan High Dividend Equity</t>
  </si>
  <si>
    <t>2012</t>
  </si>
  <si>
    <t>ｉシェアーズ　米国債０－３ヶ月　ＥＴＦ　受益証券</t>
  </si>
  <si>
    <t>iShares 0-3 Month US Treasury Bond ETF</t>
  </si>
  <si>
    <t>2013</t>
  </si>
  <si>
    <t>ｉシェアーズ　米国高配当株　ＥＴＦ　受益証券</t>
  </si>
  <si>
    <t>iShares US High Dividend ETF</t>
  </si>
  <si>
    <t>2014</t>
  </si>
  <si>
    <t>ｉシェアーズ　米国連続増配株　ＥＴＦ　受益証券</t>
  </si>
  <si>
    <t>iShares US Dividend Growth ETF</t>
  </si>
  <si>
    <t>2015</t>
  </si>
  <si>
    <t>ｉＦｒｅｅＥＴＦ　米国国債７－１０年（為替ヘッジなし）　受益証券</t>
  </si>
  <si>
    <t>iFreeETF US Treasury Bond 7-10 Year (NON HEDGED)</t>
  </si>
  <si>
    <t>2016</t>
  </si>
  <si>
    <t>ｉＦｒｅｅＥＴＦ　米国国債７－１０年（為替ヘッジあり）　受益証券</t>
  </si>
  <si>
    <t>iFreeETF US Treasury Bond 7-10 Year (JPY HEDGED)</t>
  </si>
  <si>
    <t>2017</t>
  </si>
  <si>
    <t>ｉＦｒｅｅＥＴＦ　ＪＰＸプライム１５０　受益証券</t>
  </si>
  <si>
    <t>iFreeETF JPX Prime 150</t>
  </si>
  <si>
    <t>2018</t>
  </si>
  <si>
    <t>グローバルＸ　ＵＳ　ＲＥＩＴ・トップ２０　ＥＴＦ　受益証券</t>
  </si>
  <si>
    <t>Global X US REIT Top 20 ETF</t>
  </si>
  <si>
    <t>2019</t>
  </si>
  <si>
    <t>グローバルＸ　米国優先証券　ＥＴＦ（隔月分配型）　受益証券</t>
  </si>
  <si>
    <t>Global X U.S. Preferred Security ETF (Bi-monthly dividend type)</t>
  </si>
  <si>
    <t>201A</t>
  </si>
  <si>
    <t>ｉシェアーズ　Ｎｉｆｔｙ　５０　インド株　ＥＴＦ　受益証券</t>
  </si>
  <si>
    <t>iShares Nifty 50 ETF</t>
  </si>
  <si>
    <t>2031</t>
  </si>
  <si>
    <t>ＮＥＸＴ　ＮＯＴＥＳ　香港ハンセン・ダブル・ブル　ＥＴＮ　受益証券</t>
  </si>
  <si>
    <t>NEXT NOTES HSI Leveraged ETN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</si>
  <si>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</si>
  <si>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</si>
  <si>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</si>
  <si>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</si>
  <si>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</si>
  <si>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</si>
  <si>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</si>
  <si>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</si>
  <si>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</si>
  <si>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</si>
  <si>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</si>
  <si>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</si>
  <si>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</si>
  <si>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</si>
  <si>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</si>
  <si>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</si>
  <si>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</si>
  <si>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</si>
  <si>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</si>
  <si>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</si>
  <si>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</si>
  <si>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</si>
  <si>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</si>
  <si>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</si>
  <si>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</si>
  <si>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</si>
  <si>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</si>
  <si>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</si>
  <si>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東証グロース市場２５０　ＥＴＮ　受益証券</t>
  </si>
  <si>
    <t>NEXT NOTES Tokyo Stock Exchange Growth Market 250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</si>
  <si>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</si>
  <si>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</si>
  <si>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</si>
  <si>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</si>
  <si>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</si>
  <si>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</si>
  <si>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</si>
  <si>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</si>
  <si>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</si>
  <si>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</si>
  <si>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</si>
  <si>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</si>
  <si>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</si>
  <si>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</si>
  <si>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</si>
  <si>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</si>
  <si>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</si>
  <si>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</si>
  <si>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</si>
  <si>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</si>
  <si>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</si>
  <si>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</si>
  <si>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</si>
  <si>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</si>
  <si>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</si>
  <si>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</si>
  <si>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</si>
  <si>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</si>
  <si>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</si>
  <si>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</si>
  <si>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</si>
  <si>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</si>
  <si>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</si>
  <si>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</si>
  <si>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</si>
  <si>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</si>
  <si>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</si>
  <si>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</si>
  <si>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</si>
  <si>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</si>
  <si>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</si>
  <si>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</si>
  <si>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</si>
  <si>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</si>
  <si>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</si>
  <si>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</si>
  <si>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</si>
  <si>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</si>
  <si>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2080</t>
  </si>
  <si>
    <t>ＰＢＲ１倍割れ解消推進ＥＴＦ　受益証券</t>
  </si>
  <si>
    <t>PBR Improvement over 1x ETF</t>
  </si>
  <si>
    <t>2081</t>
  </si>
  <si>
    <t>政策保有解消推進ＥＴＦ　受益証券</t>
  </si>
  <si>
    <t>Strategic Shareholding Disposal Promotion ETF</t>
  </si>
  <si>
    <t>2082</t>
  </si>
  <si>
    <t>投資家経営者一心同体ＥＴＦ　受益証券</t>
  </si>
  <si>
    <t>Investor-Management Unite as One ETF</t>
  </si>
  <si>
    <t>2083</t>
  </si>
  <si>
    <t>ＮＥＸＴ　ＦＵＮＤＳ　日本成長株アクティブ上場投信　受益証券</t>
  </si>
  <si>
    <t>NEXT FUNDS Japan Growth Equity Active Exchange Traded Fund</t>
  </si>
  <si>
    <t>2084</t>
  </si>
  <si>
    <t>ＮＥＸＴ　ＦＵＮＤＳ　日本高配当株アクティブ上場投信　受益証券</t>
  </si>
  <si>
    <t>NEXT FUNDS Japan High Dividend Equity Active Exchange Traded Fund</t>
  </si>
  <si>
    <t>2085</t>
  </si>
  <si>
    <t>ＭＡＸＩＳ高配当日本株アクティブ上場投信　受益証券</t>
  </si>
  <si>
    <t>MAXIS High Dividend Japan Equity Actively Managed ETF</t>
  </si>
  <si>
    <t>2086</t>
  </si>
  <si>
    <t>ＮＺＡＭ　上場投信　Ｓ＆Ｐ５００（為替ヘッジあり）　受益証券</t>
  </si>
  <si>
    <t>NZAM ETF S&amp;P500 (JPY Hedged)</t>
  </si>
  <si>
    <t>2087</t>
  </si>
  <si>
    <t>ＮＺＡＭ　上場投信　ＮＡＳＤＡＱ１００（為替ヘッジあり）　受益証券</t>
  </si>
  <si>
    <t>NZAM ETF NASDAQ100 (JPY Hedged)</t>
  </si>
  <si>
    <t>2088</t>
  </si>
  <si>
    <t>ＮＺＡＭ　上場投信　ＮＹダウ３０（為替ヘッジあり）　受益証券</t>
  </si>
  <si>
    <t>NZAM ETF NY Dow30 (JPY Hedged)</t>
  </si>
  <si>
    <t>2089</t>
  </si>
  <si>
    <t>ＮＺＡＭ　上場投信　ＤＡＸ（為替ヘッジあり）　受益証券</t>
  </si>
  <si>
    <t>NZAM ETF DAX (JPY Hedged)</t>
  </si>
  <si>
    <t>2090</t>
  </si>
  <si>
    <t>ＮＺＡＭ　上場投信　米国国債７－１０年（為替ヘッジあり）　受益証券</t>
  </si>
  <si>
    <t>NZAM ETF US Treasury 7-10Y (JPY Hedged)</t>
  </si>
  <si>
    <t>2091</t>
  </si>
  <si>
    <t>ＮＺＡＭ　上場投信　ドイツ国債７－１０年（為替ヘッジあり）　受益証券</t>
  </si>
  <si>
    <t>NZAM ETF German Government Bond 7-10Y (JPY Hedged)</t>
  </si>
  <si>
    <t>2092</t>
  </si>
  <si>
    <t>ＮＺＡＭ　上場投信　フランス国債７－１０年（為替ヘッジあり）　受益証券</t>
  </si>
  <si>
    <t>NZAM ETF France Government Bond 7-10Y (JPY Hedged)</t>
  </si>
  <si>
    <t>2093</t>
  </si>
  <si>
    <t>上場Ｔｒａｃｅｒｓ　米国債０－２年ラダー（為替ヘッジなし）　受益証券</t>
  </si>
  <si>
    <t>Listed Tracers US Government Bond 0-2years Ladder (No Currency Hedge)</t>
  </si>
  <si>
    <t>2094</t>
  </si>
  <si>
    <t>東証ＲＥＩＴインバースＥＴＦ　受益証券</t>
  </si>
  <si>
    <t>TSE REIT Inverse ETF</t>
  </si>
  <si>
    <t>2095</t>
  </si>
  <si>
    <t>グローバルＸ　Ｓ＆Ｐ５００配当貴族　ＥＴＦ（為替ヘッジあり）　受益証券</t>
  </si>
  <si>
    <t>Global X S&amp;P 500 Dividend Aristocrats ETF (JPY Hedged)</t>
  </si>
  <si>
    <t>2096</t>
  </si>
  <si>
    <t>グローバルＸ　オフィス・Ｊ－ＲＥＩＴ　ＥＴＦ　受益証券</t>
  </si>
  <si>
    <t>Global X Office J-REIT ETF</t>
  </si>
  <si>
    <t>2097</t>
  </si>
  <si>
    <t>グローバルＸ　レジデンシャル・Ｊ－ＲＥＩＴ　ＥＴＦ　受益証券</t>
  </si>
  <si>
    <t>Global X Residential J-REIT ETF</t>
  </si>
  <si>
    <t>2098</t>
  </si>
  <si>
    <t>グローバルＸ　ホテル＆リテール・Ｊ－ＲＥＩＴ　ＥＴＦ　受益証券</t>
  </si>
  <si>
    <t>Global X Hotel &amp; Retail J-REIT ETF</t>
  </si>
  <si>
    <t>210A</t>
  </si>
  <si>
    <t>ｉＦｒｅｅＥＴＦ　日経高利回りＲＥＩＴ指数　受益証券</t>
  </si>
  <si>
    <t>iFreeETF Nikkei High Yield REIT Index</t>
  </si>
  <si>
    <t>213A</t>
  </si>
  <si>
    <t>上場インデックスファンド日経半導体株　受益証券</t>
  </si>
  <si>
    <t>Listed Index Fund Nikkei Semiconductor Stock</t>
  </si>
  <si>
    <t>221A</t>
  </si>
  <si>
    <t>ＭＡＸＩＳ日経半導体株上場投信　受益証券</t>
  </si>
  <si>
    <t>MAXIS Nikkei Semiconductor Stock (Japan) ETF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</si>
  <si>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</si>
  <si>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</si>
  <si>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</si>
  <si>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</si>
  <si>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</si>
  <si>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</si>
  <si>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</si>
  <si>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</si>
  <si>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</si>
  <si>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</si>
  <si>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</si>
  <si>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</si>
  <si>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</si>
  <si>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</si>
  <si>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</si>
  <si>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223A</t>
  </si>
  <si>
    <t>グローバルＸ　ＡＩ＆ビッグデータ　ＥＴＦ　受益証券</t>
  </si>
  <si>
    <t>Global X Artificial Intelligence &amp; Technology ETF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</si>
  <si>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</si>
  <si>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</si>
  <si>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</si>
  <si>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</si>
  <si>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</si>
  <si>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</si>
  <si>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</si>
  <si>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</si>
  <si>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</si>
  <si>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</si>
  <si>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</si>
  <si>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</si>
  <si>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</si>
  <si>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</si>
  <si>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</si>
  <si>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</si>
  <si>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</si>
  <si>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</si>
  <si>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</si>
  <si>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</si>
  <si>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</si>
  <si>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2247</t>
  </si>
  <si>
    <t>ｉＦｒｅｅＥＴＦ　Ｓ＆Ｐ５００（為替ヘッジなし）　受益証券</t>
  </si>
  <si>
    <t>iFreeETF S&amp;P500 (NON HEDGED)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</si>
  <si>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</si>
  <si>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</si>
  <si>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</si>
  <si>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</si>
  <si>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</si>
  <si>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</si>
  <si>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224A</t>
  </si>
  <si>
    <t>グローバルＸ　ウラニウムビジネス　ＥＴＦ　受益証券</t>
  </si>
  <si>
    <t>Global X Uranium ETF</t>
  </si>
  <si>
    <t>2250</t>
  </si>
  <si>
    <t>ｉシェアーズ　ＭＳＣＩ　ジャパン気候変動アクション　ＥＴＦ　受益証券</t>
  </si>
  <si>
    <t>iShares MSCI Japan Climate Action ETF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</si>
  <si>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</si>
  <si>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</si>
  <si>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</si>
  <si>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>2252</t>
  </si>
  <si>
    <t>グローバルＸ　Ｍｏｒｎｉｎｇｓｔａｒ　米国中小型　Ｍｏａｔ　ＥＴＦ　受益証券</t>
  </si>
  <si>
    <t>Global X Morningstar US Small Mid Moat ETF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</si>
  <si>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</si>
  <si>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</si>
  <si>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</si>
  <si>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</si>
  <si>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</si>
  <si>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</si>
  <si>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2255</t>
  </si>
  <si>
    <t>ｉシェアーズ　米国債２０年超　ＥＴＦ　受益証券</t>
  </si>
  <si>
    <t>iShares 20+ Year US Treasury Bond ETF</t>
  </si>
  <si>
    <t>2256</t>
  </si>
  <si>
    <t>ｉシェアーズ　米国総合債券　ＥＴＦ　受益証券</t>
  </si>
  <si>
    <t>iShares US Aggregate Bond ETF</t>
  </si>
  <si>
    <t>2257</t>
  </si>
  <si>
    <t>ｉシェアーズ　米ドル建て投資適格社債　ＥＴＦ　受益証券</t>
  </si>
  <si>
    <t>iShares USD Investment Grade Corporate Bond ETF</t>
  </si>
  <si>
    <t>2258</t>
  </si>
  <si>
    <t>ｉシェアーズ　米ドル建てハイイールド社債　ＥＴＦ　受益証券</t>
  </si>
  <si>
    <t>iShares USD High Yield Corporate Bond ETF</t>
  </si>
  <si>
    <t>2259</t>
  </si>
  <si>
    <t>ｉシェアーズ　フランス国債７－１０年　ＥＴＦ（為替ヘッジあり）　受益証券</t>
  </si>
  <si>
    <t>iShares 7-10 Year France Government Bond JPY Hedged ETF</t>
  </si>
  <si>
    <t>233A</t>
  </si>
  <si>
    <t>ｉＦｒｅｅＥＴＦ　インドＮｉｆｔｙ５０　受益証券</t>
  </si>
  <si>
    <t>iFreeETF Nifty50</t>
  </si>
  <si>
    <t>234A</t>
  </si>
  <si>
    <t>グローバルＸ　ＭＳＣＩ　キャッシュフローキング－日本株式　ＥＴＦ　受益証券</t>
  </si>
  <si>
    <t>Global X MSCI Japan Cash Flow Kings ETF</t>
  </si>
  <si>
    <t>235A</t>
  </si>
  <si>
    <t>グローバルＸ　高配当３０－日本株式　ＥＴＦ　受益証券</t>
  </si>
  <si>
    <t>Global X Japan High Dividend 30 ETF</t>
  </si>
  <si>
    <t>236A</t>
  </si>
  <si>
    <t>ｉシェアーズ　日本国債７－１０年　ＥＴＦ　受益証券</t>
  </si>
  <si>
    <t>iShares 7-10 Year Japan Government Bond ETF</t>
  </si>
  <si>
    <t>237A</t>
  </si>
  <si>
    <t>ｉシェアーズ　米国債２５年超　ロングデュレーション　ＥＴＦ　受益証券</t>
  </si>
  <si>
    <t>iShares 25+ Year US Treasury Bond Long Duration ETF</t>
  </si>
  <si>
    <t>238A</t>
  </si>
  <si>
    <t>ｉシェアーズ　米国債２５年超　ロングデュレーション　ＥＴＦ（為替ヘッジあり）　受益証券</t>
  </si>
  <si>
    <t>iShares 25+ Year US Treasury Bond Long Duration JPY Hedged ETF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</si>
  <si>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</si>
  <si>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</si>
  <si>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</si>
  <si>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</si>
  <si>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</si>
  <si>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</si>
  <si>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</si>
  <si>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</si>
  <si>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</si>
  <si>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</si>
  <si>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</si>
  <si>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</si>
  <si>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</si>
  <si>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</si>
  <si>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</si>
  <si>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</si>
  <si>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</si>
  <si>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</si>
  <si>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</si>
  <si>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東証グロース２５０ＥＴＦ　受益証券</t>
  </si>
  <si>
    <t>TSE Growth 250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</si>
  <si>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</si>
  <si>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</si>
  <si>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</si>
  <si>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</si>
  <si>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</si>
  <si>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</si>
  <si>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</si>
  <si>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</si>
  <si>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</si>
  <si>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</si>
  <si>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</si>
  <si>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</si>
  <si>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</si>
  <si>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</si>
  <si>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</si>
  <si>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</si>
  <si>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</si>
  <si>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</si>
  <si>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</si>
  <si>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</si>
  <si>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</si>
  <si>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</si>
  <si>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</si>
  <si>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</si>
  <si>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</si>
  <si>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</si>
  <si>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</si>
  <si>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</si>
  <si>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</si>
  <si>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</si>
  <si>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</si>
  <si>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</si>
  <si>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</si>
  <si>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</si>
  <si>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</si>
  <si>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</si>
  <si>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</si>
  <si>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</si>
  <si>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</si>
  <si>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</si>
  <si>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</si>
  <si>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</si>
  <si>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</si>
  <si>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</si>
  <si>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</si>
  <si>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</si>
  <si>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</si>
  <si>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</si>
  <si>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</si>
  <si>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</si>
  <si>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</si>
  <si>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</si>
  <si>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</si>
  <si>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</si>
  <si>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</si>
  <si>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</si>
  <si>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</si>
  <si>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</si>
  <si>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</si>
  <si>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</si>
  <si>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</si>
  <si>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</si>
  <si>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</si>
  <si>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</si>
  <si>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</si>
  <si>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</si>
  <si>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</si>
  <si>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</si>
  <si>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</si>
  <si>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</si>
  <si>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</si>
  <si>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</si>
  <si>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</si>
  <si>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</si>
  <si>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</si>
  <si>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</si>
  <si>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</si>
  <si>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</si>
  <si>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</si>
  <si>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</si>
  <si>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</si>
  <si>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</si>
  <si>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</si>
  <si>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</si>
  <si>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</si>
  <si>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</si>
  <si>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</si>
  <si>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</si>
  <si>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</si>
  <si>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</si>
  <si>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</si>
  <si>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</si>
  <si>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</si>
  <si>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</si>
  <si>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</si>
  <si>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</si>
  <si>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257A</t>
  </si>
  <si>
    <t>ＳＭＴ　ＥＴＦ日本株厳選投資アクティブ　受益証券</t>
  </si>
  <si>
    <t>SMT ETF Selected Japan Equity Active</t>
  </si>
  <si>
    <t>258A</t>
  </si>
  <si>
    <t>ＳＭＴ　ＥＴＦ国内リート厳選投資アクティブ　受益証券</t>
  </si>
  <si>
    <t>SMT ETF Selected J-REIT Active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</si>
  <si>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</si>
  <si>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</si>
  <si>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</si>
  <si>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</si>
  <si>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</si>
  <si>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</si>
  <si>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</si>
  <si>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</si>
  <si>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</si>
  <si>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</si>
  <si>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</si>
  <si>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</si>
  <si>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</si>
  <si>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</si>
  <si>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</si>
  <si>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</si>
  <si>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</si>
  <si>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</si>
  <si>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</si>
  <si>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</si>
  <si>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</si>
  <si>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</si>
  <si>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</si>
  <si>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</si>
  <si>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</si>
  <si>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</si>
  <si>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</si>
  <si>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</si>
  <si>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</si>
  <si>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</si>
  <si>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</si>
  <si>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</si>
  <si>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</si>
  <si>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</si>
  <si>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</si>
  <si>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</si>
  <si>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</si>
  <si>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</si>
  <si>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</si>
  <si>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</si>
  <si>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</si>
  <si>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</si>
  <si>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</si>
  <si>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</si>
  <si>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</si>
  <si>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</si>
  <si>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５００スコアリング＆スクリーニング指数連動型上場投信　受益証券</t>
  </si>
  <si>
    <t>NEXT FUNDS S&amp;P 500 Scored &amp; Screened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</si>
  <si>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</si>
  <si>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</si>
  <si>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</si>
  <si>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</si>
  <si>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クリーンテック－日本株式　ＥＴＦ　受益証券</t>
  </si>
  <si>
    <t>Global X CleanTech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</si>
  <si>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</si>
  <si>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</si>
  <si>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</si>
  <si>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</si>
  <si>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</si>
  <si>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</si>
  <si>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</si>
  <si>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</si>
  <si>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</si>
  <si>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</si>
  <si>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グローバルリーダーズ－日本株式　ＥＴＦ　受益証券</t>
  </si>
  <si>
    <t>Global X Japan Global Leaders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</si>
  <si>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</si>
  <si>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</si>
  <si>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</si>
  <si>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</si>
  <si>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ＭＳＣＩジャパンカントリー指数（セレクト）連動型上場投信　受益証券</t>
  </si>
  <si>
    <t>NEXT FUNDS MSCI Japan Country Selection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</si>
  <si>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</si>
  <si>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</si>
  <si>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</si>
  <si>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</si>
  <si>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</si>
  <si>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</si>
  <si>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</si>
  <si>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</si>
  <si>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</si>
  <si>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</si>
  <si>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</si>
  <si>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</si>
  <si>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</si>
  <si>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</si>
  <si>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</si>
  <si>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</si>
  <si>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</si>
  <si>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</si>
  <si>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273A</t>
  </si>
  <si>
    <t>ＳＢＩ　サウジアラビア株式上場投信　受益証券</t>
  </si>
  <si>
    <t>SBI Saudi Arabia Equity Exchange Traded Fund</t>
  </si>
  <si>
    <t>282A</t>
  </si>
  <si>
    <t>グローバルＸ　半導体・トップ１０－日本株式　ＥＴＦ　受益証券</t>
  </si>
  <si>
    <t>Global X Japan Semiconductor Top 10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</si>
  <si>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</si>
  <si>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</si>
  <si>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</si>
  <si>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</si>
  <si>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中小型リーダーズ－日本株式　ＥＴＦ　受益証券</t>
  </si>
  <si>
    <t>Global X Japan Mid &amp; Small Cap Leaders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</si>
  <si>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</si>
  <si>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</si>
  <si>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</si>
  <si>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</si>
  <si>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</si>
  <si>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</si>
  <si>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283A</t>
  </si>
  <si>
    <t>グローバルＸ　ＵＳ　テック・配当貴族　ＥＴＦ　受益証券</t>
  </si>
  <si>
    <t>Global X US Tech Dividend Aristocrats ETF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</si>
  <si>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</si>
  <si>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</si>
  <si>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</si>
  <si>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</si>
  <si>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</si>
  <si>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</si>
  <si>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</si>
  <si>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</si>
  <si>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</si>
  <si>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</si>
  <si>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</si>
  <si>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</si>
  <si>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</si>
  <si>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</si>
  <si>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</si>
  <si>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</si>
  <si>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</si>
  <si>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</si>
  <si>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</si>
  <si>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</si>
  <si>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</si>
  <si>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</si>
  <si>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</si>
  <si>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</si>
  <si>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</si>
  <si>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</si>
  <si>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</si>
  <si>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</si>
  <si>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</si>
  <si>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</si>
  <si>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2850</t>
  </si>
  <si>
    <t>ＮＥＸＴ　ＦＵＮＤＳ　ＳｏｌａｃｔｉｖｅジャパンＥＳＧコア指数連動型上場投信　受益証券</t>
  </si>
  <si>
    <t>NEXT FUNDS Solactive Japan ESG Core Index Exchange Traded Fund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</si>
  <si>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</si>
  <si>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</si>
  <si>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</si>
  <si>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</si>
  <si>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</si>
  <si>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</si>
  <si>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</si>
  <si>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</si>
  <si>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</si>
  <si>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</si>
  <si>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</si>
  <si>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</si>
  <si>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</si>
  <si>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</si>
  <si>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</si>
  <si>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</si>
  <si>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</si>
  <si>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</si>
  <si>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</si>
  <si>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</si>
  <si>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</si>
  <si>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</si>
  <si>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</si>
  <si>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</si>
  <si>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</si>
  <si>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</si>
  <si>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</si>
  <si>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</si>
  <si>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</si>
  <si>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</si>
  <si>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</si>
  <si>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</si>
  <si>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</si>
  <si>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</si>
  <si>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</si>
  <si>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</si>
  <si>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2863</t>
  </si>
  <si>
    <t>ＮＥＸＴ　ＦＵＮＤＳ　Ｓ＆Ｐ米国株式・債券バランス保守型指数（為替ヘッジあり）連動型上場投信　受益証券</t>
  </si>
  <si>
    <t>NEXT FUNDS S&amp;P US Equity and Bond Balance Conservative Index (Yen-Hedged) Exchange Traded Fund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</si>
  <si>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</si>
  <si>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</si>
  <si>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</si>
  <si>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</si>
  <si>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</si>
  <si>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</si>
  <si>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</si>
  <si>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</si>
  <si>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</si>
  <si>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</si>
  <si>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</si>
  <si>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</si>
  <si>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</si>
  <si>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</si>
  <si>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</si>
  <si>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</si>
  <si>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</si>
  <si>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</si>
  <si>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</si>
  <si>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</si>
  <si>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</si>
  <si>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294A</t>
  </si>
  <si>
    <t>ＮＥＸＴ　ＦＵＮＤＳ　ＭＳＣＩジャパン気候変動指数（セレクト）連動型上場投信　受益証券</t>
  </si>
  <si>
    <t>NEXT FUNDS MSCI Global Climate 500 Japan Selection Index Exchange Traded Fund</t>
  </si>
  <si>
    <t>295A</t>
  </si>
  <si>
    <t>Ｏｎｅ　ＥＴＦ　ＦＴＳＥ・サウジアラビア・インデックス　受益証券</t>
  </si>
  <si>
    <t>One ETF FTSE Saudi Arabia Index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</si>
  <si>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</si>
  <si>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</si>
  <si>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</si>
  <si>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</si>
  <si>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</si>
  <si>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</si>
  <si>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</si>
  <si>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</si>
  <si>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</si>
  <si>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</si>
  <si>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</si>
  <si>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</si>
  <si>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313A</t>
  </si>
  <si>
    <t>ｉシェアーズ　Ｓ＆Ｐ　５００　トップ　２０　ＥＴＦ　受益証券</t>
  </si>
  <si>
    <t>iShares S&amp;P 500 Top 20 ETF</t>
  </si>
  <si>
    <t>314A</t>
  </si>
  <si>
    <t>ｉシェアーズ　ゴールド　ＥＴＦ　受益証券</t>
  </si>
  <si>
    <t>iShares Gold ETF</t>
  </si>
  <si>
    <t>315A</t>
  </si>
  <si>
    <t>グローバルＸ　銀行　高配当－日本株式　ＥＴＦ　受益証券</t>
  </si>
  <si>
    <t>Global X Japan Bank High Dividend ETF</t>
  </si>
  <si>
    <t>316A</t>
  </si>
  <si>
    <t>ｉＦｒｅｅＥＴＦ　ＦＡＮＧ＋　受益証券</t>
  </si>
  <si>
    <t>iFreeETF FANG+</t>
  </si>
  <si>
    <t>318A</t>
  </si>
  <si>
    <t>ＶＩＸ短期先物指数ＥＴＦ　受益証券</t>
  </si>
  <si>
    <t>SIMPLEX VIX Short-Term Futures ETF</t>
  </si>
  <si>
    <t>3226</t>
  </si>
  <si>
    <t>日本アコモデーションファンド投資法人　投資証券</t>
  </si>
  <si>
    <t>Nippon Accommodations Fund Inc.</t>
  </si>
  <si>
    <t xml:space="preserve">新株落ち  </t>
  </si>
  <si>
    <t xml:space="preserve">ex-subscription right  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</si>
  <si>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</si>
  <si>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</si>
  <si>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</si>
  <si>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</si>
  <si>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</si>
  <si>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</si>
  <si>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</si>
  <si>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</si>
  <si>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</si>
  <si>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</si>
  <si>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</si>
  <si>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</si>
  <si>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</si>
  <si>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</si>
  <si>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</si>
  <si>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</si>
  <si>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</si>
  <si>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</si>
  <si>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</si>
  <si>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</si>
  <si>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</si>
  <si>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</si>
  <si>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</si>
  <si>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</si>
  <si>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328A</t>
  </si>
  <si>
    <t>グローバルＸ　プライシングパワー・リーダーズ－日本株式　ＥＴＦ　受益証券</t>
  </si>
  <si>
    <t>Global X Japan Pricing Power Leaders ETF</t>
  </si>
  <si>
    <t xml:space="preserve">新規上場  </t>
  </si>
  <si>
    <t xml:space="preserve">New Listing  </t>
  </si>
  <si>
    <t xml:space="preserve">2025/02/20  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</si>
  <si>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</si>
  <si>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</si>
  <si>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</si>
  <si>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</si>
  <si>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</si>
  <si>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</si>
  <si>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</si>
  <si>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</si>
  <si>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</si>
  <si>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</si>
  <si>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</si>
  <si>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</si>
  <si>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</si>
  <si>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</si>
  <si>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</si>
  <si>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</si>
  <si>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</si>
  <si>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</si>
  <si>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</si>
  <si>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</si>
  <si>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</si>
  <si>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</si>
  <si>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</si>
  <si>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</si>
  <si>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</si>
  <si>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</si>
  <si>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</si>
  <si>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</si>
  <si>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</si>
  <si>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</si>
  <si>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</si>
  <si>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</si>
  <si>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</si>
  <si>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</si>
  <si>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</si>
  <si>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</si>
  <si>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</si>
  <si>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</si>
  <si>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</si>
  <si>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</si>
  <si>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</si>
  <si>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</si>
  <si>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</si>
  <si>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日本ホテル＆レジデンシャル投資法人　投資証券</t>
  </si>
  <si>
    <t>Nippon Hotel &amp; Residential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</si>
  <si>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</si>
  <si>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</si>
  <si>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</si>
  <si>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</si>
  <si>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</si>
  <si>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</si>
  <si>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</si>
  <si>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</si>
  <si>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</si>
  <si>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</si>
  <si>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</si>
  <si>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</si>
  <si>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</si>
  <si>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</si>
  <si>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</si>
  <si>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</si>
  <si>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</si>
  <si>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</si>
  <si>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</si>
  <si>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</si>
  <si>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</si>
  <si>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</si>
  <si>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</si>
  <si>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</si>
  <si>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</si>
  <si>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</si>
  <si>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</si>
  <si>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</si>
  <si>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</si>
  <si>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</si>
  <si>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</si>
  <si>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</si>
  <si>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</si>
  <si>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</si>
  <si>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</si>
  <si>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</si>
  <si>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</si>
  <si>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</si>
  <si>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</si>
  <si>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</si>
  <si>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</si>
  <si>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</si>
  <si>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</si>
  <si>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</si>
  <si>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</si>
  <si>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</si>
  <si>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</si>
  <si>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</si>
  <si>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</si>
  <si>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</si>
  <si>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</si>
  <si>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</si>
  <si>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</si>
  <si>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</si>
  <si>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</si>
  <si>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</si>
  <si>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</si>
  <si>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</si>
  <si>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</si>
  <si>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</si>
  <si>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</si>
  <si>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ＫＤＸ不動産投資法人　投資証券</t>
  </si>
  <si>
    <t>KDX Realty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</si>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</sst>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9" fontId="2" fillId="0" borderId="0" applyFont="0" applyFill="0" applyBorder="0" applyAlignment="0" applyProtection="0"/>
    <xf numFmtId="0" fontId="12" fillId="0" borderId="0"/>
    <xf numFmtId="0" fontId="8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2" fillId="21" borderId="28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9" applyNumberFormat="0" applyAlignment="0" applyProtection="0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1" fillId="0" borderId="30" applyNumberFormat="0" applyFill="0" applyAlignment="0" applyProtection="0"/>
    <xf numFmtId="0" fontId="32" fillId="0" borderId="31" applyNumberFormat="0" applyFill="0" applyAlignment="0" applyProtection="0"/>
    <xf numFmtId="0" fontId="33" fillId="0" borderId="32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7" applyNumberFormat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7" fillId="0" borderId="0"/>
    <xf numFmtId="0" fontId="35" fillId="0" borderId="33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6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7" applyNumberFormat="0" applyFill="0" applyBorder="0" applyProtection="0"/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64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9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8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8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" fillId="0" borderId="0"/>
    <xf numFmtId="0" fontId="8" fillId="0" borderId="0"/>
    <xf numFmtId="0" fontId="83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3" fillId="0" borderId="0"/>
    <xf numFmtId="0" fontId="8" fillId="0" borderId="0"/>
    <xf numFmtId="0" fontId="83" fillId="0" borderId="0"/>
    <xf numFmtId="0" fontId="1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4" fillId="0" borderId="0">
      <alignment vertical="center"/>
    </xf>
    <xf numFmtId="0" fontId="8" fillId="0" borderId="0"/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8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49" fontId="2" fillId="0" borderId="15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49" fontId="2" fillId="0" borderId="16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right" vertical="center"/>
    </xf>
    <xf numFmtId="0" fontId="2" fillId="0" borderId="6" xfId="1" applyNumberFormat="1" applyFont="1" applyFill="1" applyBorder="1" applyAlignment="1">
      <alignment horizontal="right" vertical="center"/>
    </xf>
    <xf numFmtId="0" fontId="2" fillId="0" borderId="18" xfId="1" applyNumberFormat="1" applyFont="1" applyFill="1" applyBorder="1" applyAlignment="1">
      <alignment horizontal="right" vertical="center"/>
    </xf>
    <xf numFmtId="0" fontId="2" fillId="0" borderId="19" xfId="1" applyNumberFormat="1" applyFont="1" applyFill="1" applyBorder="1" applyAlignment="1">
      <alignment horizontal="right" vertical="center"/>
    </xf>
    <xf numFmtId="49" fontId="11" fillId="0" borderId="17" xfId="2" applyNumberFormat="1" applyFont="1" applyFill="1" applyBorder="1" applyAlignment="1">
      <alignment horizontal="right"/>
    </xf>
    <xf numFmtId="49" fontId="11" fillId="0" borderId="20" xfId="2" applyNumberFormat="1" applyFont="1" applyFill="1" applyBorder="1" applyAlignment="1">
      <alignment horizontal="right"/>
    </xf>
    <xf numFmtId="49" fontId="11" fillId="0" borderId="19" xfId="2" applyNumberFormat="1" applyFont="1" applyFill="1" applyBorder="1" applyAlignment="1">
      <alignment horizontal="right"/>
    </xf>
    <xf numFmtId="49" fontId="7" fillId="0" borderId="21" xfId="1" applyNumberFormat="1" applyFont="1" applyFill="1" applyBorder="1" applyAlignment="1">
      <alignment horizontal="left" vertical="center"/>
    </xf>
    <xf numFmtId="49" fontId="7" fillId="0" borderId="22" xfId="1" applyNumberFormat="1" applyFont="1" applyFill="1" applyBorder="1" applyAlignment="1">
      <alignment horizontal="left" vertical="center"/>
    </xf>
    <xf numFmtId="49" fontId="7" fillId="0" borderId="23" xfId="1" applyNumberFormat="1" applyFont="1" applyFill="1" applyBorder="1" applyAlignment="1">
      <alignment horizontal="left" vertical="center"/>
    </xf>
    <xf numFmtId="49" fontId="7" fillId="0" borderId="24" xfId="1" applyNumberFormat="1" applyFont="1" applyFill="1" applyBorder="1" applyAlignment="1">
      <alignment horizontal="left" vertical="center"/>
    </xf>
    <xf numFmtId="49" fontId="7" fillId="0" borderId="21" xfId="2" applyNumberFormat="1" applyFont="1" applyFill="1" applyBorder="1" applyAlignment="1">
      <alignment horizontal="left"/>
    </xf>
    <xf numFmtId="3" fontId="7" fillId="0" borderId="21" xfId="2" applyNumberFormat="1" applyFont="1" applyFill="1" applyBorder="1" applyAlignment="1">
      <alignment horizontal="right"/>
    </xf>
    <xf numFmtId="4" fontId="7" fillId="0" borderId="25" xfId="2" applyNumberFormat="1" applyFont="1" applyFill="1" applyBorder="1" applyAlignment="1">
      <alignment horizontal="right"/>
    </xf>
    <xf numFmtId="49" fontId="7" fillId="0" borderId="24" xfId="2" applyNumberFormat="1" applyFont="1" applyFill="1" applyBorder="1" applyAlignment="1">
      <alignment horizontal="right"/>
    </xf>
    <xf numFmtId="4" fontId="7" fillId="0" borderId="21" xfId="2" applyNumberFormat="1" applyFont="1" applyFill="1" applyBorder="1" applyAlignment="1">
      <alignment horizontal="right"/>
    </xf>
    <xf numFmtId="189" fontId="7" fillId="0" borderId="21" xfId="2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7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r="1" spans="1:24" ht="13.5" customHeight="1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r="2" spans="1:24" ht="99" customHeight="1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r="3" spans="1:24" ht="39" customHeight="1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r="4" spans="1:24" s="2" customFormat="1" ht="13.5" customHeight="1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r="7" spans="1:24" s="2" customFormat="1" ht="13.5" customHeight="1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2886</f>
        <v>2886.0</v>
      </c>
      <c r="L7" s="34" t="s">
        <v>48</v>
      </c>
      <c r="M7" s="33" t="n">
        <f>2959.5</f>
        <v>2959.5</v>
      </c>
      <c r="N7" s="34" t="s">
        <v>49</v>
      </c>
      <c r="O7" s="33" t="n">
        <f>2833.5</f>
        <v>2833.5</v>
      </c>
      <c r="P7" s="34" t="s">
        <v>50</v>
      </c>
      <c r="Q7" s="33" t="n">
        <f>2851</f>
        <v>2851.0</v>
      </c>
      <c r="R7" s="34" t="s">
        <v>50</v>
      </c>
      <c r="S7" s="35" t="n">
        <f>2906.81</f>
        <v>2906.81</v>
      </c>
      <c r="T7" s="32" t="n">
        <f>4151330</f>
        <v>4151330.0</v>
      </c>
      <c r="U7" s="32" t="n">
        <f>1401990</f>
        <v>1401990.0</v>
      </c>
      <c r="V7" s="32" t="n">
        <f>12030152660</f>
        <v>1.203015266E10</v>
      </c>
      <c r="W7" s="32" t="n">
        <f>4045609640</f>
        <v>4.04560964E9</v>
      </c>
      <c r="X7" s="36" t="n">
        <f>18</f>
        <v>18.0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2857.5</f>
        <v>2857.5</v>
      </c>
      <c r="L8" s="34" t="s">
        <v>48</v>
      </c>
      <c r="M8" s="33" t="n">
        <f>2928</f>
        <v>2928.0</v>
      </c>
      <c r="N8" s="34" t="s">
        <v>49</v>
      </c>
      <c r="O8" s="33" t="n">
        <f>2803</f>
        <v>2803.0</v>
      </c>
      <c r="P8" s="34" t="s">
        <v>50</v>
      </c>
      <c r="Q8" s="33" t="n">
        <f>2813.5</f>
        <v>2813.5</v>
      </c>
      <c r="R8" s="34" t="s">
        <v>50</v>
      </c>
      <c r="S8" s="35" t="n">
        <f>2876.42</f>
        <v>2876.42</v>
      </c>
      <c r="T8" s="32" t="n">
        <f>58596600</f>
        <v>5.85966E7</v>
      </c>
      <c r="U8" s="32" t="n">
        <f>20276210</f>
        <v>2.027621E7</v>
      </c>
      <c r="V8" s="32" t="n">
        <f>168566480678</f>
        <v>1.68566480678E11</v>
      </c>
      <c r="W8" s="32" t="n">
        <f>58436461973</f>
        <v>5.8436461973E10</v>
      </c>
      <c r="X8" s="36" t="n">
        <f>18</f>
        <v>18.0</v>
      </c>
    </row>
    <row r="9">
      <c r="A9" s="27" t="s">
        <v>42</v>
      </c>
      <c r="B9" s="27" t="s">
        <v>54</v>
      </c>
      <c r="C9" s="27" t="s">
        <v>55</v>
      </c>
      <c r="D9" s="27" t="s">
        <v>56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1.0</v>
      </c>
      <c r="K9" s="33" t="n">
        <f>2824</f>
        <v>2824.0</v>
      </c>
      <c r="L9" s="34" t="s">
        <v>48</v>
      </c>
      <c r="M9" s="33" t="n">
        <f>2894</f>
        <v>2894.0</v>
      </c>
      <c r="N9" s="34" t="s">
        <v>49</v>
      </c>
      <c r="O9" s="33" t="n">
        <f>2770</f>
        <v>2770.0</v>
      </c>
      <c r="P9" s="34" t="s">
        <v>50</v>
      </c>
      <c r="Q9" s="33" t="n">
        <f>2782</f>
        <v>2782.0</v>
      </c>
      <c r="R9" s="34" t="s">
        <v>50</v>
      </c>
      <c r="S9" s="35" t="n">
        <f>2842.5</f>
        <v>2842.5</v>
      </c>
      <c r="T9" s="32" t="n">
        <f>41976517</f>
        <v>4.1976517E7</v>
      </c>
      <c r="U9" s="32" t="n">
        <f>27152344</f>
        <v>2.7152344E7</v>
      </c>
      <c r="V9" s="32" t="n">
        <f>119269606143</f>
        <v>1.19269606143E11</v>
      </c>
      <c r="W9" s="32" t="n">
        <f>77232061740</f>
        <v>7.723206174E10</v>
      </c>
      <c r="X9" s="36" t="n">
        <f>18</f>
        <v>18.0</v>
      </c>
    </row>
    <row r="10">
      <c r="A10" s="27" t="s">
        <v>42</v>
      </c>
      <c r="B10" s="27" t="s">
        <v>57</v>
      </c>
      <c r="C10" s="27" t="s">
        <v>58</v>
      </c>
      <c r="D10" s="27" t="s">
        <v>59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44430</f>
        <v>44430.0</v>
      </c>
      <c r="L10" s="34" t="s">
        <v>48</v>
      </c>
      <c r="M10" s="33" t="n">
        <f>44840</f>
        <v>44840.0</v>
      </c>
      <c r="N10" s="34" t="s">
        <v>60</v>
      </c>
      <c r="O10" s="33" t="n">
        <f>42650</f>
        <v>42650.0</v>
      </c>
      <c r="P10" s="34" t="s">
        <v>61</v>
      </c>
      <c r="Q10" s="33" t="n">
        <f>43360</f>
        <v>43360.0</v>
      </c>
      <c r="R10" s="34" t="s">
        <v>50</v>
      </c>
      <c r="S10" s="35" t="n">
        <f>43848.89</f>
        <v>43848.89</v>
      </c>
      <c r="T10" s="32" t="n">
        <f>5458</f>
        <v>5458.0</v>
      </c>
      <c r="U10" s="32" t="str">
        <f>"－"</f>
        <v>－</v>
      </c>
      <c r="V10" s="32" t="n">
        <f>239448700</f>
        <v>2.394487E8</v>
      </c>
      <c r="W10" s="32" t="str">
        <f>"－"</f>
        <v>－</v>
      </c>
      <c r="X10" s="36" t="n">
        <f>18</f>
        <v>18.0</v>
      </c>
    </row>
    <row r="11">
      <c r="A11" s="27" t="s">
        <v>42</v>
      </c>
      <c r="B11" s="27" t="s">
        <v>62</v>
      </c>
      <c r="C11" s="27" t="s">
        <v>63</v>
      </c>
      <c r="D11" s="27" t="s">
        <v>64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1463.5</f>
        <v>1463.5</v>
      </c>
      <c r="L11" s="34" t="s">
        <v>48</v>
      </c>
      <c r="M11" s="33" t="n">
        <f>1486.5</f>
        <v>1486.5</v>
      </c>
      <c r="N11" s="34" t="s">
        <v>49</v>
      </c>
      <c r="O11" s="33" t="n">
        <f>1399.5</f>
        <v>1399.5</v>
      </c>
      <c r="P11" s="34" t="s">
        <v>50</v>
      </c>
      <c r="Q11" s="33" t="n">
        <f>1411</f>
        <v>1411.0</v>
      </c>
      <c r="R11" s="34" t="s">
        <v>50</v>
      </c>
      <c r="S11" s="35" t="n">
        <f>1455.31</f>
        <v>1455.31</v>
      </c>
      <c r="T11" s="32" t="n">
        <f>244900</f>
        <v>244900.0</v>
      </c>
      <c r="U11" s="32" t="n">
        <f>71000</f>
        <v>71000.0</v>
      </c>
      <c r="V11" s="32" t="n">
        <f>350654275</f>
        <v>3.50654275E8</v>
      </c>
      <c r="W11" s="32" t="n">
        <f>99968000</f>
        <v>9.9968E7</v>
      </c>
      <c r="X11" s="36" t="n">
        <f>18</f>
        <v>18.0</v>
      </c>
    </row>
    <row r="12">
      <c r="A12" s="27" t="s">
        <v>42</v>
      </c>
      <c r="B12" s="27" t="s">
        <v>65</v>
      </c>
      <c r="C12" s="27" t="s">
        <v>66</v>
      </c>
      <c r="D12" s="27" t="s">
        <v>67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1000.0</v>
      </c>
      <c r="K12" s="33" t="n">
        <f>521.7</f>
        <v>521.7</v>
      </c>
      <c r="L12" s="34" t="s">
        <v>68</v>
      </c>
      <c r="M12" s="33" t="n">
        <f>547</f>
        <v>547.0</v>
      </c>
      <c r="N12" s="34" t="s">
        <v>60</v>
      </c>
      <c r="O12" s="33" t="n">
        <f>507</f>
        <v>507.0</v>
      </c>
      <c r="P12" s="34" t="s">
        <v>69</v>
      </c>
      <c r="Q12" s="33" t="n">
        <f>520</f>
        <v>520.0</v>
      </c>
      <c r="R12" s="34" t="s">
        <v>50</v>
      </c>
      <c r="S12" s="35" t="n">
        <f>528.13</f>
        <v>528.13</v>
      </c>
      <c r="T12" s="32" t="n">
        <f>79000</f>
        <v>79000.0</v>
      </c>
      <c r="U12" s="32" t="str">
        <f>"－"</f>
        <v>－</v>
      </c>
      <c r="V12" s="32" t="n">
        <f>42020400</f>
        <v>4.20204E7</v>
      </c>
      <c r="W12" s="32" t="str">
        <f>"－"</f>
        <v>－</v>
      </c>
      <c r="X12" s="36" t="n">
        <f>12</f>
        <v>12.0</v>
      </c>
    </row>
    <row r="13">
      <c r="A13" s="27" t="s">
        <v>42</v>
      </c>
      <c r="B13" s="27" t="s">
        <v>70</v>
      </c>
      <c r="C13" s="27" t="s">
        <v>71</v>
      </c>
      <c r="D13" s="27" t="s">
        <v>72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1.0</v>
      </c>
      <c r="K13" s="33" t="n">
        <f>39860</f>
        <v>39860.0</v>
      </c>
      <c r="L13" s="34" t="s">
        <v>48</v>
      </c>
      <c r="M13" s="33" t="n">
        <f>40960</f>
        <v>40960.0</v>
      </c>
      <c r="N13" s="34" t="s">
        <v>69</v>
      </c>
      <c r="O13" s="33" t="n">
        <f>38160</f>
        <v>38160.0</v>
      </c>
      <c r="P13" s="34" t="s">
        <v>50</v>
      </c>
      <c r="Q13" s="33" t="n">
        <f>38520</f>
        <v>38520.0</v>
      </c>
      <c r="R13" s="34" t="s">
        <v>50</v>
      </c>
      <c r="S13" s="35" t="n">
        <f>40093.33</f>
        <v>40093.33</v>
      </c>
      <c r="T13" s="32" t="n">
        <f>1003233</f>
        <v>1003233.0</v>
      </c>
      <c r="U13" s="32" t="n">
        <f>136679</f>
        <v>136679.0</v>
      </c>
      <c r="V13" s="32" t="n">
        <f>39997928030</f>
        <v>3.999792803E10</v>
      </c>
      <c r="W13" s="32" t="n">
        <f>5393373560</f>
        <v>5.39337356E9</v>
      </c>
      <c r="X13" s="36" t="n">
        <f>18</f>
        <v>18.0</v>
      </c>
    </row>
    <row r="14">
      <c r="A14" s="27" t="s">
        <v>42</v>
      </c>
      <c r="B14" s="27" t="s">
        <v>73</v>
      </c>
      <c r="C14" s="27" t="s">
        <v>74</v>
      </c>
      <c r="D14" s="27" t="s">
        <v>75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40010</f>
        <v>40010.0</v>
      </c>
      <c r="L14" s="34" t="s">
        <v>48</v>
      </c>
      <c r="M14" s="33" t="n">
        <f>41120</f>
        <v>41120.0</v>
      </c>
      <c r="N14" s="34" t="s">
        <v>69</v>
      </c>
      <c r="O14" s="33" t="n">
        <f>38290</f>
        <v>38290.0</v>
      </c>
      <c r="P14" s="34" t="s">
        <v>50</v>
      </c>
      <c r="Q14" s="33" t="n">
        <f>38640</f>
        <v>38640.0</v>
      </c>
      <c r="R14" s="34" t="s">
        <v>50</v>
      </c>
      <c r="S14" s="35" t="n">
        <f>40238.33</f>
        <v>40238.33</v>
      </c>
      <c r="T14" s="32" t="n">
        <f>7616512</f>
        <v>7616512.0</v>
      </c>
      <c r="U14" s="32" t="n">
        <f>1638036</f>
        <v>1638036.0</v>
      </c>
      <c r="V14" s="32" t="n">
        <f>305179062864</f>
        <v>3.05179062864E11</v>
      </c>
      <c r="W14" s="32" t="n">
        <f>66182038454</f>
        <v>6.6182038454E10</v>
      </c>
      <c r="X14" s="36" t="n">
        <f>18</f>
        <v>18.0</v>
      </c>
    </row>
    <row r="15">
      <c r="A15" s="27" t="s">
        <v>42</v>
      </c>
      <c r="B15" s="27" t="s">
        <v>76</v>
      </c>
      <c r="C15" s="27" t="s">
        <v>77</v>
      </c>
      <c r="D15" s="27" t="s">
        <v>78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10.0</v>
      </c>
      <c r="K15" s="33" t="n">
        <f>8501</f>
        <v>8501.0</v>
      </c>
      <c r="L15" s="34" t="s">
        <v>48</v>
      </c>
      <c r="M15" s="33" t="n">
        <f>8800</f>
        <v>8800.0</v>
      </c>
      <c r="N15" s="34" t="s">
        <v>79</v>
      </c>
      <c r="O15" s="33" t="n">
        <f>8380</f>
        <v>8380.0</v>
      </c>
      <c r="P15" s="34" t="s">
        <v>61</v>
      </c>
      <c r="Q15" s="33" t="n">
        <f>8500</f>
        <v>8500.0</v>
      </c>
      <c r="R15" s="34" t="s">
        <v>50</v>
      </c>
      <c r="S15" s="35" t="n">
        <f>8592.22</f>
        <v>8592.22</v>
      </c>
      <c r="T15" s="32" t="n">
        <f>24760</f>
        <v>24760.0</v>
      </c>
      <c r="U15" s="32" t="str">
        <f>"－"</f>
        <v>－</v>
      </c>
      <c r="V15" s="32" t="n">
        <f>212743330</f>
        <v>2.1274333E8</v>
      </c>
      <c r="W15" s="32" t="str">
        <f>"－"</f>
        <v>－</v>
      </c>
      <c r="X15" s="36" t="n">
        <f>18</f>
        <v>18.0</v>
      </c>
    </row>
    <row r="16">
      <c r="A16" s="27" t="s">
        <v>42</v>
      </c>
      <c r="B16" s="27" t="s">
        <v>80</v>
      </c>
      <c r="C16" s="27" t="s">
        <v>81</v>
      </c>
      <c r="D16" s="27" t="s">
        <v>82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100.0</v>
      </c>
      <c r="K16" s="33" t="n">
        <f>198</f>
        <v>198.0</v>
      </c>
      <c r="L16" s="34" t="s">
        <v>48</v>
      </c>
      <c r="M16" s="33" t="n">
        <f>206</f>
        <v>206.0</v>
      </c>
      <c r="N16" s="34" t="s">
        <v>83</v>
      </c>
      <c r="O16" s="33" t="n">
        <f>190</f>
        <v>190.0</v>
      </c>
      <c r="P16" s="34" t="s">
        <v>50</v>
      </c>
      <c r="Q16" s="33" t="n">
        <f>191.9</f>
        <v>191.9</v>
      </c>
      <c r="R16" s="34" t="s">
        <v>50</v>
      </c>
      <c r="S16" s="35" t="n">
        <f>198.18</f>
        <v>198.18</v>
      </c>
      <c r="T16" s="32" t="n">
        <f>477200</f>
        <v>477200.0</v>
      </c>
      <c r="U16" s="32" t="n">
        <f>2200</f>
        <v>2200.0</v>
      </c>
      <c r="V16" s="32" t="n">
        <f>94877870</f>
        <v>9.487787E7</v>
      </c>
      <c r="W16" s="32" t="n">
        <f>444000</f>
        <v>444000.0</v>
      </c>
      <c r="X16" s="36" t="n">
        <f>18</f>
        <v>18.0</v>
      </c>
    </row>
    <row r="17">
      <c r="A17" s="27" t="s">
        <v>42</v>
      </c>
      <c r="B17" s="27" t="s">
        <v>84</v>
      </c>
      <c r="C17" s="27" t="s">
        <v>85</v>
      </c>
      <c r="D17" s="27" t="s">
        <v>86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1.0</v>
      </c>
      <c r="K17" s="33" t="n">
        <f>40130</f>
        <v>40130.0</v>
      </c>
      <c r="L17" s="34" t="s">
        <v>48</v>
      </c>
      <c r="M17" s="33" t="n">
        <f>41640</f>
        <v>41640.0</v>
      </c>
      <c r="N17" s="34" t="s">
        <v>69</v>
      </c>
      <c r="O17" s="33" t="n">
        <f>39420</f>
        <v>39420.0</v>
      </c>
      <c r="P17" s="34" t="s">
        <v>50</v>
      </c>
      <c r="Q17" s="33" t="n">
        <f>39670</f>
        <v>39670.0</v>
      </c>
      <c r="R17" s="34" t="s">
        <v>50</v>
      </c>
      <c r="S17" s="35" t="n">
        <f>40553.33</f>
        <v>40553.33</v>
      </c>
      <c r="T17" s="32" t="n">
        <f>241250</f>
        <v>241250.0</v>
      </c>
      <c r="U17" s="32" t="n">
        <f>750</f>
        <v>750.0</v>
      </c>
      <c r="V17" s="32" t="n">
        <f>9775578560</f>
        <v>9.77557856E9</v>
      </c>
      <c r="W17" s="32" t="n">
        <f>30723450</f>
        <v>3.072345E7</v>
      </c>
      <c r="X17" s="36" t="n">
        <f>18</f>
        <v>18.0</v>
      </c>
    </row>
    <row r="18">
      <c r="A18" s="27" t="s">
        <v>42</v>
      </c>
      <c r="B18" s="27" t="s">
        <v>87</v>
      </c>
      <c r="C18" s="27" t="s">
        <v>88</v>
      </c>
      <c r="D18" s="27" t="s">
        <v>89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10.0</v>
      </c>
      <c r="K18" s="33" t="n">
        <f>10580</f>
        <v>10580.0</v>
      </c>
      <c r="L18" s="34" t="s">
        <v>48</v>
      </c>
      <c r="M18" s="33" t="n">
        <f>10960</f>
        <v>10960.0</v>
      </c>
      <c r="N18" s="34" t="s">
        <v>69</v>
      </c>
      <c r="O18" s="33" t="n">
        <f>10325</f>
        <v>10325.0</v>
      </c>
      <c r="P18" s="34" t="s">
        <v>50</v>
      </c>
      <c r="Q18" s="33" t="n">
        <f>10395</f>
        <v>10395.0</v>
      </c>
      <c r="R18" s="34" t="s">
        <v>50</v>
      </c>
      <c r="S18" s="35" t="n">
        <f>10660</f>
        <v>10660.0</v>
      </c>
      <c r="T18" s="32" t="n">
        <f>537960</f>
        <v>537960.0</v>
      </c>
      <c r="U18" s="32" t="n">
        <f>3040</f>
        <v>3040.0</v>
      </c>
      <c r="V18" s="32" t="n">
        <f>5739115650</f>
        <v>5.73911565E9</v>
      </c>
      <c r="W18" s="32" t="n">
        <f>32609700</f>
        <v>3.26097E7</v>
      </c>
      <c r="X18" s="36" t="n">
        <f>18</f>
        <v>18.0</v>
      </c>
    </row>
    <row r="19">
      <c r="A19" s="27" t="s">
        <v>42</v>
      </c>
      <c r="B19" s="27" t="s">
        <v>90</v>
      </c>
      <c r="C19" s="27" t="s">
        <v>91</v>
      </c>
      <c r="D19" s="27" t="s">
        <v>92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1.0</v>
      </c>
      <c r="K19" s="33" t="n">
        <f>40120</f>
        <v>40120.0</v>
      </c>
      <c r="L19" s="34" t="s">
        <v>48</v>
      </c>
      <c r="M19" s="33" t="n">
        <f>40860</f>
        <v>40860.0</v>
      </c>
      <c r="N19" s="34" t="s">
        <v>69</v>
      </c>
      <c r="O19" s="33" t="n">
        <f>38060</f>
        <v>38060.0</v>
      </c>
      <c r="P19" s="34" t="s">
        <v>50</v>
      </c>
      <c r="Q19" s="33" t="n">
        <f>38390</f>
        <v>38390.0</v>
      </c>
      <c r="R19" s="34" t="s">
        <v>50</v>
      </c>
      <c r="S19" s="35" t="n">
        <f>40048.89</f>
        <v>40048.89</v>
      </c>
      <c r="T19" s="32" t="n">
        <f>1158284</f>
        <v>1158284.0</v>
      </c>
      <c r="U19" s="32" t="n">
        <f>253299</f>
        <v>253299.0</v>
      </c>
      <c r="V19" s="32" t="n">
        <f>45977076324</f>
        <v>4.5977076324E10</v>
      </c>
      <c r="W19" s="32" t="n">
        <f>10024074504</f>
        <v>1.0024074504E10</v>
      </c>
      <c r="X19" s="36" t="n">
        <f>18</f>
        <v>18.0</v>
      </c>
    </row>
    <row r="20">
      <c r="A20" s="27" t="s">
        <v>42</v>
      </c>
      <c r="B20" s="27" t="s">
        <v>93</v>
      </c>
      <c r="C20" s="27" t="s">
        <v>94</v>
      </c>
      <c r="D20" s="27" t="s">
        <v>95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40060</f>
        <v>40060.0</v>
      </c>
      <c r="L20" s="34" t="s">
        <v>48</v>
      </c>
      <c r="M20" s="33" t="n">
        <f>41140</f>
        <v>41140.0</v>
      </c>
      <c r="N20" s="34" t="s">
        <v>69</v>
      </c>
      <c r="O20" s="33" t="n">
        <f>38320</f>
        <v>38320.0</v>
      </c>
      <c r="P20" s="34" t="s">
        <v>50</v>
      </c>
      <c r="Q20" s="33" t="n">
        <f>38700</f>
        <v>38700.0</v>
      </c>
      <c r="R20" s="34" t="s">
        <v>50</v>
      </c>
      <c r="S20" s="35" t="n">
        <f>40311.67</f>
        <v>40311.67</v>
      </c>
      <c r="T20" s="32" t="n">
        <f>1306526</f>
        <v>1306526.0</v>
      </c>
      <c r="U20" s="32" t="n">
        <f>350183</f>
        <v>350183.0</v>
      </c>
      <c r="V20" s="32" t="n">
        <f>52217961364</f>
        <v>5.2217961364E10</v>
      </c>
      <c r="W20" s="32" t="n">
        <f>14001572424</f>
        <v>1.4001572424E10</v>
      </c>
      <c r="X20" s="36" t="n">
        <f>18</f>
        <v>18.0</v>
      </c>
    </row>
    <row r="21">
      <c r="A21" s="27" t="s">
        <v>42</v>
      </c>
      <c r="B21" s="27" t="s">
        <v>96</v>
      </c>
      <c r="C21" s="27" t="s">
        <v>97</v>
      </c>
      <c r="D21" s="27" t="s">
        <v>98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1054</f>
        <v>1054.0</v>
      </c>
      <c r="L21" s="34" t="s">
        <v>48</v>
      </c>
      <c r="M21" s="33" t="n">
        <f>1059</f>
        <v>1059.0</v>
      </c>
      <c r="N21" s="34" t="s">
        <v>68</v>
      </c>
      <c r="O21" s="33" t="n">
        <f>1009</f>
        <v>1009.0</v>
      </c>
      <c r="P21" s="34" t="s">
        <v>99</v>
      </c>
      <c r="Q21" s="33" t="n">
        <f>1018</f>
        <v>1018.0</v>
      </c>
      <c r="R21" s="34" t="s">
        <v>50</v>
      </c>
      <c r="S21" s="35" t="n">
        <f>1031.5</f>
        <v>1031.5</v>
      </c>
      <c r="T21" s="32" t="n">
        <f>2320950</f>
        <v>2320950.0</v>
      </c>
      <c r="U21" s="32" t="n">
        <f>1937901</f>
        <v>1937901.0</v>
      </c>
      <c r="V21" s="32" t="n">
        <f>2393120145</f>
        <v>2.393120145E9</v>
      </c>
      <c r="W21" s="32" t="n">
        <f>1997371457</f>
        <v>1.997371457E9</v>
      </c>
      <c r="X21" s="36" t="n">
        <f>18</f>
        <v>18.0</v>
      </c>
    </row>
    <row r="22">
      <c r="A22" s="27" t="s">
        <v>42</v>
      </c>
      <c r="B22" s="27" t="s">
        <v>100</v>
      </c>
      <c r="C22" s="27" t="s">
        <v>101</v>
      </c>
      <c r="D22" s="27" t="s">
        <v>102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1850</f>
        <v>1850.0</v>
      </c>
      <c r="L22" s="34" t="s">
        <v>48</v>
      </c>
      <c r="M22" s="33" t="n">
        <f>1854.5</f>
        <v>1854.5</v>
      </c>
      <c r="N22" s="34" t="s">
        <v>48</v>
      </c>
      <c r="O22" s="33" t="n">
        <f>1778.5</f>
        <v>1778.5</v>
      </c>
      <c r="P22" s="34" t="s">
        <v>103</v>
      </c>
      <c r="Q22" s="33" t="n">
        <f>1824</f>
        <v>1824.0</v>
      </c>
      <c r="R22" s="34" t="s">
        <v>50</v>
      </c>
      <c r="S22" s="35" t="n">
        <f>1812.69</f>
        <v>1812.69</v>
      </c>
      <c r="T22" s="32" t="n">
        <f>13530290</f>
        <v>1.353029E7</v>
      </c>
      <c r="U22" s="32" t="n">
        <f>4127690</f>
        <v>4127690.0</v>
      </c>
      <c r="V22" s="32" t="n">
        <f>24619392263</f>
        <v>2.4619392263E10</v>
      </c>
      <c r="W22" s="32" t="n">
        <f>7566514578</f>
        <v>7.566514578E9</v>
      </c>
      <c r="X22" s="36" t="n">
        <f>18</f>
        <v>18.0</v>
      </c>
    </row>
    <row r="23">
      <c r="A23" s="27" t="s">
        <v>42</v>
      </c>
      <c r="B23" s="27" t="s">
        <v>104</v>
      </c>
      <c r="C23" s="27" t="s">
        <v>105</v>
      </c>
      <c r="D23" s="27" t="s">
        <v>106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100.0</v>
      </c>
      <c r="K23" s="33" t="n">
        <f>1734</f>
        <v>1734.0</v>
      </c>
      <c r="L23" s="34" t="s">
        <v>48</v>
      </c>
      <c r="M23" s="33" t="n">
        <f>1746</f>
        <v>1746.0</v>
      </c>
      <c r="N23" s="34" t="s">
        <v>50</v>
      </c>
      <c r="O23" s="33" t="n">
        <f>1684.5</f>
        <v>1684.5</v>
      </c>
      <c r="P23" s="34" t="s">
        <v>103</v>
      </c>
      <c r="Q23" s="33" t="n">
        <f>1724.5</f>
        <v>1724.5</v>
      </c>
      <c r="R23" s="34" t="s">
        <v>50</v>
      </c>
      <c r="S23" s="35" t="n">
        <f>1710.69</f>
        <v>1710.69</v>
      </c>
      <c r="T23" s="32" t="n">
        <f>2650400</f>
        <v>2650400.0</v>
      </c>
      <c r="U23" s="32" t="n">
        <f>2092600</f>
        <v>2092600.0</v>
      </c>
      <c r="V23" s="32" t="n">
        <f>4527414300</f>
        <v>4.5274143E9</v>
      </c>
      <c r="W23" s="32" t="n">
        <f>3571739650</f>
        <v>3.57173965E9</v>
      </c>
      <c r="X23" s="36" t="n">
        <f>18</f>
        <v>18.0</v>
      </c>
    </row>
    <row r="24">
      <c r="A24" s="27" t="s">
        <v>42</v>
      </c>
      <c r="B24" s="27" t="s">
        <v>107</v>
      </c>
      <c r="C24" s="27" t="s">
        <v>108</v>
      </c>
      <c r="D24" s="27" t="s">
        <v>109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39830</f>
        <v>39830.0</v>
      </c>
      <c r="L24" s="34" t="s">
        <v>48</v>
      </c>
      <c r="M24" s="33" t="n">
        <f>40830</f>
        <v>40830.0</v>
      </c>
      <c r="N24" s="34" t="s">
        <v>69</v>
      </c>
      <c r="O24" s="33" t="n">
        <f>38020</f>
        <v>38020.0</v>
      </c>
      <c r="P24" s="34" t="s">
        <v>50</v>
      </c>
      <c r="Q24" s="33" t="n">
        <f>38480</f>
        <v>38480.0</v>
      </c>
      <c r="R24" s="34" t="s">
        <v>50</v>
      </c>
      <c r="S24" s="35" t="n">
        <f>39971.11</f>
        <v>39971.11</v>
      </c>
      <c r="T24" s="32" t="n">
        <f>821084</f>
        <v>821084.0</v>
      </c>
      <c r="U24" s="32" t="n">
        <f>353211</f>
        <v>353211.0</v>
      </c>
      <c r="V24" s="32" t="n">
        <f>32817495764</f>
        <v>3.2817495764E10</v>
      </c>
      <c r="W24" s="32" t="n">
        <f>14197773964</f>
        <v>1.4197773964E10</v>
      </c>
      <c r="X24" s="36" t="n">
        <f>18</f>
        <v>18.0</v>
      </c>
    </row>
    <row r="25">
      <c r="A25" s="27" t="s">
        <v>42</v>
      </c>
      <c r="B25" s="27" t="s">
        <v>110</v>
      </c>
      <c r="C25" s="27" t="s">
        <v>111</v>
      </c>
      <c r="D25" s="27" t="s">
        <v>112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2840</f>
        <v>2840.0</v>
      </c>
      <c r="L25" s="34" t="s">
        <v>48</v>
      </c>
      <c r="M25" s="33" t="n">
        <f>2887.5</f>
        <v>2887.5</v>
      </c>
      <c r="N25" s="34" t="s">
        <v>49</v>
      </c>
      <c r="O25" s="33" t="n">
        <f>2764</f>
        <v>2764.0</v>
      </c>
      <c r="P25" s="34" t="s">
        <v>50</v>
      </c>
      <c r="Q25" s="33" t="n">
        <f>2779</f>
        <v>2779.0</v>
      </c>
      <c r="R25" s="34" t="s">
        <v>50</v>
      </c>
      <c r="S25" s="35" t="n">
        <f>2836.89</f>
        <v>2836.89</v>
      </c>
      <c r="T25" s="32" t="n">
        <f>3451970</f>
        <v>3451970.0</v>
      </c>
      <c r="U25" s="32" t="n">
        <f>1866710</f>
        <v>1866710.0</v>
      </c>
      <c r="V25" s="32" t="n">
        <f>9678445170</f>
        <v>9.67844517E9</v>
      </c>
      <c r="W25" s="32" t="n">
        <f>5235381435</f>
        <v>5.235381435E9</v>
      </c>
      <c r="X25" s="36" t="n">
        <f>18</f>
        <v>18.0</v>
      </c>
    </row>
    <row r="26">
      <c r="A26" s="27" t="s">
        <v>42</v>
      </c>
      <c r="B26" s="27" t="s">
        <v>113</v>
      </c>
      <c r="C26" s="27" t="s">
        <v>114</v>
      </c>
      <c r="D26" s="27" t="s">
        <v>115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16640</f>
        <v>16640.0</v>
      </c>
      <c r="L26" s="34" t="s">
        <v>48</v>
      </c>
      <c r="M26" s="33" t="n">
        <f>16780</f>
        <v>16780.0</v>
      </c>
      <c r="N26" s="34" t="s">
        <v>116</v>
      </c>
      <c r="O26" s="33" t="n">
        <f>16175</f>
        <v>16175.0</v>
      </c>
      <c r="P26" s="34" t="s">
        <v>50</v>
      </c>
      <c r="Q26" s="33" t="n">
        <f>16175</f>
        <v>16175.0</v>
      </c>
      <c r="R26" s="34" t="s">
        <v>50</v>
      </c>
      <c r="S26" s="35" t="n">
        <f>16515</f>
        <v>16515.0</v>
      </c>
      <c r="T26" s="32" t="n">
        <f>512</f>
        <v>512.0</v>
      </c>
      <c r="U26" s="32" t="str">
        <f>"－"</f>
        <v>－</v>
      </c>
      <c r="V26" s="32" t="n">
        <f>8450365</f>
        <v>8450365.0</v>
      </c>
      <c r="W26" s="32" t="str">
        <f>"－"</f>
        <v>－</v>
      </c>
      <c r="X26" s="36" t="n">
        <f>17</f>
        <v>17.0</v>
      </c>
    </row>
    <row r="27">
      <c r="A27" s="27" t="s">
        <v>42</v>
      </c>
      <c r="B27" s="27" t="s">
        <v>117</v>
      </c>
      <c r="C27" s="27" t="s">
        <v>118</v>
      </c>
      <c r="D27" s="27" t="s">
        <v>119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320.8</f>
        <v>320.8</v>
      </c>
      <c r="L27" s="34" t="s">
        <v>48</v>
      </c>
      <c r="M27" s="33" t="n">
        <f>332.8</f>
        <v>332.8</v>
      </c>
      <c r="N27" s="34" t="s">
        <v>50</v>
      </c>
      <c r="O27" s="33" t="n">
        <f>305.8</f>
        <v>305.8</v>
      </c>
      <c r="P27" s="34" t="s">
        <v>49</v>
      </c>
      <c r="Q27" s="33" t="n">
        <f>328.3</f>
        <v>328.3</v>
      </c>
      <c r="R27" s="34" t="s">
        <v>50</v>
      </c>
      <c r="S27" s="35" t="n">
        <f>316.28</f>
        <v>316.28</v>
      </c>
      <c r="T27" s="32" t="n">
        <f>38285510</f>
        <v>3.828551E7</v>
      </c>
      <c r="U27" s="32" t="n">
        <f>15405000</f>
        <v>1.5405E7</v>
      </c>
      <c r="V27" s="32" t="n">
        <f>12163399853</f>
        <v>1.2163399853E10</v>
      </c>
      <c r="W27" s="32" t="n">
        <f>4923432205</f>
        <v>4.923432205E9</v>
      </c>
      <c r="X27" s="36" t="n">
        <f>18</f>
        <v>18.0</v>
      </c>
    </row>
    <row r="28">
      <c r="A28" s="27" t="s">
        <v>42</v>
      </c>
      <c r="B28" s="27" t="s">
        <v>120</v>
      </c>
      <c r="C28" s="27" t="s">
        <v>121</v>
      </c>
      <c r="D28" s="27" t="s">
        <v>122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12120</f>
        <v>12120.0</v>
      </c>
      <c r="L28" s="34" t="s">
        <v>48</v>
      </c>
      <c r="M28" s="33" t="n">
        <f>13205</f>
        <v>13205.0</v>
      </c>
      <c r="N28" s="34" t="s">
        <v>50</v>
      </c>
      <c r="O28" s="33" t="n">
        <f>11505</f>
        <v>11505.0</v>
      </c>
      <c r="P28" s="34" t="s">
        <v>69</v>
      </c>
      <c r="Q28" s="33" t="n">
        <f>13000</f>
        <v>13000.0</v>
      </c>
      <c r="R28" s="34" t="s">
        <v>50</v>
      </c>
      <c r="S28" s="35" t="n">
        <f>12011.67</f>
        <v>12011.67</v>
      </c>
      <c r="T28" s="32" t="n">
        <f>18582763</f>
        <v>1.8582763E7</v>
      </c>
      <c r="U28" s="32" t="n">
        <f>616854</f>
        <v>616854.0</v>
      </c>
      <c r="V28" s="32" t="n">
        <f>224274450698</f>
        <v>2.24274450698E11</v>
      </c>
      <c r="W28" s="32" t="n">
        <f>7489527983</f>
        <v>7.489527983E9</v>
      </c>
      <c r="X28" s="36" t="n">
        <f>18</f>
        <v>18.0</v>
      </c>
    </row>
    <row r="29">
      <c r="A29" s="27" t="s">
        <v>42</v>
      </c>
      <c r="B29" s="27" t="s">
        <v>123</v>
      </c>
      <c r="C29" s="27" t="s">
        <v>124</v>
      </c>
      <c r="D29" s="27" t="s">
        <v>125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49570</f>
        <v>49570.0</v>
      </c>
      <c r="L29" s="34" t="s">
        <v>48</v>
      </c>
      <c r="M29" s="33" t="n">
        <f>51950</f>
        <v>51950.0</v>
      </c>
      <c r="N29" s="34" t="s">
        <v>69</v>
      </c>
      <c r="O29" s="33" t="n">
        <f>44950</f>
        <v>44950.0</v>
      </c>
      <c r="P29" s="34" t="s">
        <v>50</v>
      </c>
      <c r="Q29" s="33" t="n">
        <f>46000</f>
        <v>46000.0</v>
      </c>
      <c r="R29" s="34" t="s">
        <v>50</v>
      </c>
      <c r="S29" s="35" t="n">
        <f>49808.33</f>
        <v>49808.33</v>
      </c>
      <c r="T29" s="32" t="n">
        <f>354961</f>
        <v>354961.0</v>
      </c>
      <c r="U29" s="32" t="n">
        <f>1</f>
        <v>1.0</v>
      </c>
      <c r="V29" s="32" t="n">
        <f>17522706510</f>
        <v>1.752270651E10</v>
      </c>
      <c r="W29" s="32" t="n">
        <f>50100</f>
        <v>50100.0</v>
      </c>
      <c r="X29" s="36" t="n">
        <f>18</f>
        <v>18.0</v>
      </c>
    </row>
    <row r="30">
      <c r="A30" s="27" t="s">
        <v>42</v>
      </c>
      <c r="B30" s="27" t="s">
        <v>126</v>
      </c>
      <c r="C30" s="27" t="s">
        <v>127</v>
      </c>
      <c r="D30" s="27" t="s">
        <v>128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298.7</f>
        <v>298.7</v>
      </c>
      <c r="L30" s="34" t="s">
        <v>48</v>
      </c>
      <c r="M30" s="33" t="n">
        <f>324.6</f>
        <v>324.6</v>
      </c>
      <c r="N30" s="34" t="s">
        <v>50</v>
      </c>
      <c r="O30" s="33" t="n">
        <f>284</f>
        <v>284.0</v>
      </c>
      <c r="P30" s="34" t="s">
        <v>49</v>
      </c>
      <c r="Q30" s="33" t="n">
        <f>319.2</f>
        <v>319.2</v>
      </c>
      <c r="R30" s="34" t="s">
        <v>50</v>
      </c>
      <c r="S30" s="35" t="n">
        <f>295.25</f>
        <v>295.25</v>
      </c>
      <c r="T30" s="32" t="n">
        <f>737783450</f>
        <v>7.3778345E8</v>
      </c>
      <c r="U30" s="32" t="n">
        <f>18352480</f>
        <v>1.835248E7</v>
      </c>
      <c r="V30" s="32" t="n">
        <f>218449475902</f>
        <v>2.18449475902E11</v>
      </c>
      <c r="W30" s="32" t="n">
        <f>5508763147</f>
        <v>5.508763147E9</v>
      </c>
      <c r="X30" s="36" t="n">
        <f>18</f>
        <v>18.0</v>
      </c>
    </row>
    <row r="31">
      <c r="A31" s="27" t="s">
        <v>42</v>
      </c>
      <c r="B31" s="27" t="s">
        <v>129</v>
      </c>
      <c r="C31" s="27" t="s">
        <v>130</v>
      </c>
      <c r="D31" s="27" t="s">
        <v>131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25380</f>
        <v>25380.0</v>
      </c>
      <c r="L31" s="34" t="s">
        <v>48</v>
      </c>
      <c r="M31" s="33" t="n">
        <f>25750</f>
        <v>25750.0</v>
      </c>
      <c r="N31" s="34" t="s">
        <v>116</v>
      </c>
      <c r="O31" s="33" t="n">
        <f>24630</f>
        <v>24630.0</v>
      </c>
      <c r="P31" s="34" t="s">
        <v>50</v>
      </c>
      <c r="Q31" s="33" t="n">
        <f>24760</f>
        <v>24760.0</v>
      </c>
      <c r="R31" s="34" t="s">
        <v>50</v>
      </c>
      <c r="S31" s="35" t="n">
        <f>25292.5</f>
        <v>25292.5</v>
      </c>
      <c r="T31" s="32" t="n">
        <f>16701</f>
        <v>16701.0</v>
      </c>
      <c r="U31" s="32" t="n">
        <f>1792</f>
        <v>1792.0</v>
      </c>
      <c r="V31" s="32" t="n">
        <f>423581748</f>
        <v>4.23581748E8</v>
      </c>
      <c r="W31" s="32" t="n">
        <f>45465868</f>
        <v>4.5465868E7</v>
      </c>
      <c r="X31" s="36" t="n">
        <f>18</f>
        <v>18.0</v>
      </c>
    </row>
    <row r="32">
      <c r="A32" s="27" t="s">
        <v>42</v>
      </c>
      <c r="B32" s="27" t="s">
        <v>132</v>
      </c>
      <c r="C32" s="27" t="s">
        <v>133</v>
      </c>
      <c r="D32" s="27" t="s">
        <v>134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40490</f>
        <v>40490.0</v>
      </c>
      <c r="L32" s="34" t="s">
        <v>48</v>
      </c>
      <c r="M32" s="33" t="n">
        <f>42460</f>
        <v>42460.0</v>
      </c>
      <c r="N32" s="34" t="s">
        <v>69</v>
      </c>
      <c r="O32" s="33" t="n">
        <f>36700</f>
        <v>36700.0</v>
      </c>
      <c r="P32" s="34" t="s">
        <v>50</v>
      </c>
      <c r="Q32" s="33" t="n">
        <f>37330</f>
        <v>37330.0</v>
      </c>
      <c r="R32" s="34" t="s">
        <v>50</v>
      </c>
      <c r="S32" s="35" t="n">
        <f>40666.11</f>
        <v>40666.11</v>
      </c>
      <c r="T32" s="32" t="n">
        <f>896688</f>
        <v>896688.0</v>
      </c>
      <c r="U32" s="32" t="n">
        <f>21850</f>
        <v>21850.0</v>
      </c>
      <c r="V32" s="32" t="n">
        <f>36096687133</f>
        <v>3.6096687133E10</v>
      </c>
      <c r="W32" s="32" t="n">
        <f>878250633</f>
        <v>8.78250633E8</v>
      </c>
      <c r="X32" s="36" t="n">
        <f>18</f>
        <v>18.0</v>
      </c>
    </row>
    <row r="33">
      <c r="A33" s="27" t="s">
        <v>42</v>
      </c>
      <c r="B33" s="27" t="s">
        <v>135</v>
      </c>
      <c r="C33" s="27" t="s">
        <v>136</v>
      </c>
      <c r="D33" s="27" t="s">
        <v>137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305</f>
        <v>305.0</v>
      </c>
      <c r="L33" s="34" t="s">
        <v>48</v>
      </c>
      <c r="M33" s="33" t="n">
        <f>332</f>
        <v>332.0</v>
      </c>
      <c r="N33" s="34" t="s">
        <v>50</v>
      </c>
      <c r="O33" s="33" t="n">
        <f>289</f>
        <v>289.0</v>
      </c>
      <c r="P33" s="34" t="s">
        <v>69</v>
      </c>
      <c r="Q33" s="33" t="n">
        <f>326</f>
        <v>326.0</v>
      </c>
      <c r="R33" s="34" t="s">
        <v>50</v>
      </c>
      <c r="S33" s="35" t="n">
        <f>302.06</f>
        <v>302.06</v>
      </c>
      <c r="T33" s="32" t="n">
        <f>24550132</f>
        <v>2.4550132E7</v>
      </c>
      <c r="U33" s="32" t="n">
        <f>750215</f>
        <v>750215.0</v>
      </c>
      <c r="V33" s="32" t="n">
        <f>7454115970</f>
        <v>7.45411597E9</v>
      </c>
      <c r="W33" s="32" t="n">
        <f>225743714</f>
        <v>2.25743714E8</v>
      </c>
      <c r="X33" s="36" t="n">
        <f>18</f>
        <v>18.0</v>
      </c>
    </row>
    <row r="34">
      <c r="A34" s="27" t="s">
        <v>42</v>
      </c>
      <c r="B34" s="27" t="s">
        <v>138</v>
      </c>
      <c r="C34" s="27" t="s">
        <v>139</v>
      </c>
      <c r="D34" s="27" t="s">
        <v>140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35820</f>
        <v>35820.0</v>
      </c>
      <c r="L34" s="34" t="s">
        <v>48</v>
      </c>
      <c r="M34" s="33" t="n">
        <f>37350</f>
        <v>37350.0</v>
      </c>
      <c r="N34" s="34" t="s">
        <v>49</v>
      </c>
      <c r="O34" s="33" t="n">
        <f>34180</f>
        <v>34180.0</v>
      </c>
      <c r="P34" s="34" t="s">
        <v>50</v>
      </c>
      <c r="Q34" s="33" t="n">
        <f>34700</f>
        <v>34700.0</v>
      </c>
      <c r="R34" s="34" t="s">
        <v>50</v>
      </c>
      <c r="S34" s="35" t="n">
        <f>36110</f>
        <v>36110.0</v>
      </c>
      <c r="T34" s="32" t="n">
        <f>73554</f>
        <v>73554.0</v>
      </c>
      <c r="U34" s="32" t="n">
        <f>3676</f>
        <v>3676.0</v>
      </c>
      <c r="V34" s="32" t="n">
        <f>2636212585</f>
        <v>2.636212585E9</v>
      </c>
      <c r="W34" s="32" t="n">
        <f>131305515</f>
        <v>1.31305515E8</v>
      </c>
      <c r="X34" s="36" t="n">
        <f>18</f>
        <v>18.0</v>
      </c>
    </row>
    <row r="35">
      <c r="A35" s="27" t="s">
        <v>42</v>
      </c>
      <c r="B35" s="27" t="s">
        <v>141</v>
      </c>
      <c r="C35" s="27" t="s">
        <v>142</v>
      </c>
      <c r="D35" s="27" t="s">
        <v>143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460</f>
        <v>460.0</v>
      </c>
      <c r="L35" s="34" t="s">
        <v>48</v>
      </c>
      <c r="M35" s="33" t="n">
        <f>479</f>
        <v>479.0</v>
      </c>
      <c r="N35" s="34" t="s">
        <v>50</v>
      </c>
      <c r="O35" s="33" t="n">
        <f>440</f>
        <v>440.0</v>
      </c>
      <c r="P35" s="34" t="s">
        <v>49</v>
      </c>
      <c r="Q35" s="33" t="n">
        <f>474</f>
        <v>474.0</v>
      </c>
      <c r="R35" s="34" t="s">
        <v>50</v>
      </c>
      <c r="S35" s="35" t="n">
        <f>456.11</f>
        <v>456.11</v>
      </c>
      <c r="T35" s="32" t="n">
        <f>2177592</f>
        <v>2177592.0</v>
      </c>
      <c r="U35" s="32" t="n">
        <f>5720</f>
        <v>5720.0</v>
      </c>
      <c r="V35" s="32" t="n">
        <f>994332694</f>
        <v>9.94332694E8</v>
      </c>
      <c r="W35" s="32" t="n">
        <f>2671716</f>
        <v>2671716.0</v>
      </c>
      <c r="X35" s="36" t="n">
        <f>18</f>
        <v>18.0</v>
      </c>
    </row>
    <row r="36">
      <c r="A36" s="27" t="s">
        <v>42</v>
      </c>
      <c r="B36" s="27" t="s">
        <v>144</v>
      </c>
      <c r="C36" s="27" t="s">
        <v>145</v>
      </c>
      <c r="D36" s="27" t="s">
        <v>146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38620</f>
        <v>38620.0</v>
      </c>
      <c r="L36" s="34" t="s">
        <v>48</v>
      </c>
      <c r="M36" s="33" t="n">
        <f>39850</f>
        <v>39850.0</v>
      </c>
      <c r="N36" s="34" t="s">
        <v>79</v>
      </c>
      <c r="O36" s="33" t="n">
        <f>36980</f>
        <v>36980.0</v>
      </c>
      <c r="P36" s="34" t="s">
        <v>50</v>
      </c>
      <c r="Q36" s="33" t="n">
        <f>37630</f>
        <v>37630.0</v>
      </c>
      <c r="R36" s="34" t="s">
        <v>50</v>
      </c>
      <c r="S36" s="35" t="n">
        <f>38862.78</f>
        <v>38862.78</v>
      </c>
      <c r="T36" s="32" t="n">
        <f>114188</f>
        <v>114188.0</v>
      </c>
      <c r="U36" s="32" t="n">
        <f>33285</f>
        <v>33285.0</v>
      </c>
      <c r="V36" s="32" t="n">
        <f>4408696767</f>
        <v>4.408696767E9</v>
      </c>
      <c r="W36" s="32" t="n">
        <f>1303223677</f>
        <v>1.303223677E9</v>
      </c>
      <c r="X36" s="36" t="n">
        <f>18</f>
        <v>18.0</v>
      </c>
    </row>
    <row r="37">
      <c r="A37" s="27" t="s">
        <v>42</v>
      </c>
      <c r="B37" s="27" t="s">
        <v>147</v>
      </c>
      <c r="C37" s="27" t="s">
        <v>148</v>
      </c>
      <c r="D37" s="27" t="s">
        <v>149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38970</f>
        <v>38970.0</v>
      </c>
      <c r="L37" s="34" t="s">
        <v>48</v>
      </c>
      <c r="M37" s="33" t="n">
        <f>40030</f>
        <v>40030.0</v>
      </c>
      <c r="N37" s="34" t="s">
        <v>79</v>
      </c>
      <c r="O37" s="33" t="n">
        <f>37300</f>
        <v>37300.0</v>
      </c>
      <c r="P37" s="34" t="s">
        <v>50</v>
      </c>
      <c r="Q37" s="33" t="n">
        <f>37640</f>
        <v>37640.0</v>
      </c>
      <c r="R37" s="34" t="s">
        <v>50</v>
      </c>
      <c r="S37" s="35" t="n">
        <f>39161.11</f>
        <v>39161.11</v>
      </c>
      <c r="T37" s="32" t="n">
        <f>136796</f>
        <v>136796.0</v>
      </c>
      <c r="U37" s="32" t="n">
        <f>65470</f>
        <v>65470.0</v>
      </c>
      <c r="V37" s="32" t="n">
        <f>5309748693</f>
        <v>5.309748693E9</v>
      </c>
      <c r="W37" s="32" t="n">
        <f>2538236343</f>
        <v>2.538236343E9</v>
      </c>
      <c r="X37" s="36" t="n">
        <f>18</f>
        <v>18.0</v>
      </c>
    </row>
    <row r="38">
      <c r="A38" s="27" t="s">
        <v>42</v>
      </c>
      <c r="B38" s="27" t="s">
        <v>150</v>
      </c>
      <c r="C38" s="27" t="s">
        <v>151</v>
      </c>
      <c r="D38" s="27" t="s">
        <v>152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10.0</v>
      </c>
      <c r="K38" s="33" t="n">
        <f>1759</f>
        <v>1759.0</v>
      </c>
      <c r="L38" s="34" t="s">
        <v>48</v>
      </c>
      <c r="M38" s="33" t="n">
        <f>1776</f>
        <v>1776.0</v>
      </c>
      <c r="N38" s="34" t="s">
        <v>50</v>
      </c>
      <c r="O38" s="33" t="n">
        <f>1716</f>
        <v>1716.0</v>
      </c>
      <c r="P38" s="34" t="s">
        <v>103</v>
      </c>
      <c r="Q38" s="33" t="n">
        <f>1766.5</f>
        <v>1766.5</v>
      </c>
      <c r="R38" s="34" t="s">
        <v>50</v>
      </c>
      <c r="S38" s="35" t="n">
        <f>1742.42</f>
        <v>1742.42</v>
      </c>
      <c r="T38" s="32" t="n">
        <f>2206570</f>
        <v>2206570.0</v>
      </c>
      <c r="U38" s="32" t="n">
        <f>410000</f>
        <v>410000.0</v>
      </c>
      <c r="V38" s="32" t="n">
        <f>3850304015</f>
        <v>3.850304015E9</v>
      </c>
      <c r="W38" s="32" t="n">
        <f>716144945</f>
        <v>7.16144945E8</v>
      </c>
      <c r="X38" s="36" t="n">
        <f>18</f>
        <v>18.0</v>
      </c>
    </row>
    <row r="39">
      <c r="A39" s="27" t="s">
        <v>42</v>
      </c>
      <c r="B39" s="27" t="s">
        <v>153</v>
      </c>
      <c r="C39" s="27" t="s">
        <v>154</v>
      </c>
      <c r="D39" s="27" t="s">
        <v>155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10.0</v>
      </c>
      <c r="K39" s="33" t="n">
        <f>2194</f>
        <v>2194.0</v>
      </c>
      <c r="L39" s="34" t="s">
        <v>48</v>
      </c>
      <c r="M39" s="33" t="n">
        <f>2280</f>
        <v>2280.0</v>
      </c>
      <c r="N39" s="34" t="s">
        <v>156</v>
      </c>
      <c r="O39" s="33" t="n">
        <f>2154</f>
        <v>2154.0</v>
      </c>
      <c r="P39" s="34" t="s">
        <v>157</v>
      </c>
      <c r="Q39" s="33" t="n">
        <f>2187</f>
        <v>2187.0</v>
      </c>
      <c r="R39" s="34" t="s">
        <v>50</v>
      </c>
      <c r="S39" s="35" t="n">
        <f>2185.1</f>
        <v>2185.1</v>
      </c>
      <c r="T39" s="32" t="n">
        <f>20280</f>
        <v>20280.0</v>
      </c>
      <c r="U39" s="32" t="n">
        <f>30</f>
        <v>30.0</v>
      </c>
      <c r="V39" s="32" t="n">
        <f>44111460</f>
        <v>4.411146E7</v>
      </c>
      <c r="W39" s="32" t="n">
        <f>65035</f>
        <v>65035.0</v>
      </c>
      <c r="X39" s="36" t="n">
        <f>15</f>
        <v>15.0</v>
      </c>
    </row>
    <row r="40">
      <c r="A40" s="27" t="s">
        <v>42</v>
      </c>
      <c r="B40" s="27" t="s">
        <v>158</v>
      </c>
      <c r="C40" s="27" t="s">
        <v>159</v>
      </c>
      <c r="D40" s="27" t="s">
        <v>160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2020</f>
        <v>2020.0</v>
      </c>
      <c r="L40" s="34" t="s">
        <v>48</v>
      </c>
      <c r="M40" s="33" t="n">
        <f>2076</f>
        <v>2076.0</v>
      </c>
      <c r="N40" s="34" t="s">
        <v>69</v>
      </c>
      <c r="O40" s="33" t="n">
        <f>1962</f>
        <v>1962.0</v>
      </c>
      <c r="P40" s="34" t="s">
        <v>161</v>
      </c>
      <c r="Q40" s="33" t="n">
        <f>1987</f>
        <v>1987.0</v>
      </c>
      <c r="R40" s="34" t="s">
        <v>50</v>
      </c>
      <c r="S40" s="35" t="n">
        <f>2016.67</f>
        <v>2016.67</v>
      </c>
      <c r="T40" s="32" t="n">
        <f>47421</f>
        <v>47421.0</v>
      </c>
      <c r="U40" s="32" t="str">
        <f>"－"</f>
        <v>－</v>
      </c>
      <c r="V40" s="32" t="n">
        <f>95575056</f>
        <v>9.5575056E7</v>
      </c>
      <c r="W40" s="32" t="str">
        <f>"－"</f>
        <v>－</v>
      </c>
      <c r="X40" s="36" t="n">
        <f>18</f>
        <v>18.0</v>
      </c>
    </row>
    <row r="41">
      <c r="A41" s="27" t="s">
        <v>42</v>
      </c>
      <c r="B41" s="27" t="s">
        <v>162</v>
      </c>
      <c r="C41" s="27" t="s">
        <v>163</v>
      </c>
      <c r="D41" s="27" t="s">
        <v>164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2491</f>
        <v>2491.0</v>
      </c>
      <c r="L41" s="34" t="s">
        <v>48</v>
      </c>
      <c r="M41" s="33" t="n">
        <f>2598</f>
        <v>2598.0</v>
      </c>
      <c r="N41" s="34" t="s">
        <v>50</v>
      </c>
      <c r="O41" s="33" t="n">
        <f>2423</f>
        <v>2423.0</v>
      </c>
      <c r="P41" s="34" t="s">
        <v>69</v>
      </c>
      <c r="Q41" s="33" t="n">
        <f>2575</f>
        <v>2575.0</v>
      </c>
      <c r="R41" s="34" t="s">
        <v>50</v>
      </c>
      <c r="S41" s="35" t="n">
        <f>2475.5</f>
        <v>2475.5</v>
      </c>
      <c r="T41" s="32" t="n">
        <f>903944</f>
        <v>903944.0</v>
      </c>
      <c r="U41" s="32" t="n">
        <f>6240</f>
        <v>6240.0</v>
      </c>
      <c r="V41" s="32" t="n">
        <f>2252594570</f>
        <v>2.25259457E9</v>
      </c>
      <c r="W41" s="32" t="n">
        <f>15440506</f>
        <v>1.5440506E7</v>
      </c>
      <c r="X41" s="36" t="n">
        <f>18</f>
        <v>18.0</v>
      </c>
    </row>
    <row r="42">
      <c r="A42" s="27" t="s">
        <v>42</v>
      </c>
      <c r="B42" s="27" t="s">
        <v>165</v>
      </c>
      <c r="C42" s="27" t="s">
        <v>166</v>
      </c>
      <c r="D42" s="27" t="s">
        <v>167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2952</f>
        <v>2952.0</v>
      </c>
      <c r="L42" s="34" t="s">
        <v>48</v>
      </c>
      <c r="M42" s="33" t="n">
        <f>3005</f>
        <v>3005.0</v>
      </c>
      <c r="N42" s="34" t="s">
        <v>50</v>
      </c>
      <c r="O42" s="33" t="n">
        <f>2880</f>
        <v>2880.0</v>
      </c>
      <c r="P42" s="34" t="s">
        <v>49</v>
      </c>
      <c r="Q42" s="33" t="n">
        <f>2992</f>
        <v>2992.0</v>
      </c>
      <c r="R42" s="34" t="s">
        <v>50</v>
      </c>
      <c r="S42" s="35" t="n">
        <f>2929.44</f>
        <v>2929.44</v>
      </c>
      <c r="T42" s="32" t="n">
        <f>64844</f>
        <v>64844.0</v>
      </c>
      <c r="U42" s="32" t="str">
        <f>"－"</f>
        <v>－</v>
      </c>
      <c r="V42" s="32" t="n">
        <f>190074861</f>
        <v>1.90074861E8</v>
      </c>
      <c r="W42" s="32" t="str">
        <f>"－"</f>
        <v>－</v>
      </c>
      <c r="X42" s="36" t="n">
        <f>18</f>
        <v>18.0</v>
      </c>
    </row>
    <row r="43">
      <c r="A43" s="27" t="s">
        <v>42</v>
      </c>
      <c r="B43" s="27" t="s">
        <v>168</v>
      </c>
      <c r="C43" s="27" t="s">
        <v>169</v>
      </c>
      <c r="D43" s="27" t="s">
        <v>170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31120</f>
        <v>31120.0</v>
      </c>
      <c r="L43" s="34" t="s">
        <v>48</v>
      </c>
      <c r="M43" s="33" t="n">
        <f>32660</f>
        <v>32660.0</v>
      </c>
      <c r="N43" s="34" t="s">
        <v>69</v>
      </c>
      <c r="O43" s="33" t="n">
        <f>28220</f>
        <v>28220.0</v>
      </c>
      <c r="P43" s="34" t="s">
        <v>50</v>
      </c>
      <c r="Q43" s="33" t="n">
        <f>28730</f>
        <v>28730.0</v>
      </c>
      <c r="R43" s="34" t="s">
        <v>50</v>
      </c>
      <c r="S43" s="35" t="n">
        <f>31262.22</f>
        <v>31262.22</v>
      </c>
      <c r="T43" s="32" t="n">
        <f>6218172</f>
        <v>6218172.0</v>
      </c>
      <c r="U43" s="32" t="n">
        <f>77719</f>
        <v>77719.0</v>
      </c>
      <c r="V43" s="32" t="n">
        <f>192974674470</f>
        <v>1.9297467447E11</v>
      </c>
      <c r="W43" s="32" t="n">
        <f>2442198560</f>
        <v>2.44219856E9</v>
      </c>
      <c r="X43" s="36" t="n">
        <f>18</f>
        <v>18.0</v>
      </c>
    </row>
    <row r="44">
      <c r="A44" s="27" t="s">
        <v>42</v>
      </c>
      <c r="B44" s="27" t="s">
        <v>171</v>
      </c>
      <c r="C44" s="27" t="s">
        <v>172</v>
      </c>
      <c r="D44" s="27" t="s">
        <v>173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487</f>
        <v>487.0</v>
      </c>
      <c r="L44" s="34" t="s">
        <v>48</v>
      </c>
      <c r="M44" s="33" t="n">
        <f>533</f>
        <v>533.0</v>
      </c>
      <c r="N44" s="34" t="s">
        <v>50</v>
      </c>
      <c r="O44" s="33" t="n">
        <f>464</f>
        <v>464.0</v>
      </c>
      <c r="P44" s="34" t="s">
        <v>69</v>
      </c>
      <c r="Q44" s="33" t="n">
        <f>525</f>
        <v>525.0</v>
      </c>
      <c r="R44" s="34" t="s">
        <v>50</v>
      </c>
      <c r="S44" s="35" t="n">
        <f>484.72</f>
        <v>484.72</v>
      </c>
      <c r="T44" s="32" t="n">
        <f>188951227</f>
        <v>1.88951227E8</v>
      </c>
      <c r="U44" s="32" t="n">
        <f>2574396</f>
        <v>2574396.0</v>
      </c>
      <c r="V44" s="32" t="n">
        <f>91720058860</f>
        <v>9.172005886E10</v>
      </c>
      <c r="W44" s="32" t="n">
        <f>1253285844</f>
        <v>1.253285844E9</v>
      </c>
      <c r="X44" s="36" t="n">
        <f>18</f>
        <v>18.0</v>
      </c>
    </row>
    <row r="45">
      <c r="A45" s="27" t="s">
        <v>42</v>
      </c>
      <c r="B45" s="27" t="s">
        <v>174</v>
      </c>
      <c r="C45" s="27" t="s">
        <v>175</v>
      </c>
      <c r="D45" s="27" t="s">
        <v>176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577</f>
        <v>577.0</v>
      </c>
      <c r="L45" s="34" t="s">
        <v>48</v>
      </c>
      <c r="M45" s="33" t="n">
        <f>612</f>
        <v>612.0</v>
      </c>
      <c r="N45" s="34" t="s">
        <v>50</v>
      </c>
      <c r="O45" s="33" t="n">
        <f>566</f>
        <v>566.0</v>
      </c>
      <c r="P45" s="34" t="s">
        <v>69</v>
      </c>
      <c r="Q45" s="33" t="n">
        <f>604</f>
        <v>604.0</v>
      </c>
      <c r="R45" s="34" t="s">
        <v>50</v>
      </c>
      <c r="S45" s="35" t="n">
        <f>585.44</f>
        <v>585.44</v>
      </c>
      <c r="T45" s="32" t="n">
        <f>33488</f>
        <v>33488.0</v>
      </c>
      <c r="U45" s="32" t="str">
        <f>"－"</f>
        <v>－</v>
      </c>
      <c r="V45" s="32" t="n">
        <f>19628104</f>
        <v>1.9628104E7</v>
      </c>
      <c r="W45" s="32" t="str">
        <f>"－"</f>
        <v>－</v>
      </c>
      <c r="X45" s="36" t="n">
        <f>18</f>
        <v>18.0</v>
      </c>
    </row>
    <row r="46">
      <c r="A46" s="27" t="s">
        <v>42</v>
      </c>
      <c r="B46" s="27" t="s">
        <v>177</v>
      </c>
      <c r="C46" s="27" t="s">
        <v>178</v>
      </c>
      <c r="D46" s="27" t="s">
        <v>179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10.0</v>
      </c>
      <c r="K46" s="33" t="n">
        <f>570</f>
        <v>570.0</v>
      </c>
      <c r="L46" s="34" t="s">
        <v>48</v>
      </c>
      <c r="M46" s="33" t="n">
        <f>598</f>
        <v>598.0</v>
      </c>
      <c r="N46" s="34" t="s">
        <v>50</v>
      </c>
      <c r="O46" s="33" t="n">
        <f>560.1</f>
        <v>560.1</v>
      </c>
      <c r="P46" s="34" t="s">
        <v>79</v>
      </c>
      <c r="Q46" s="33" t="n">
        <f>591.4</f>
        <v>591.4</v>
      </c>
      <c r="R46" s="34" t="s">
        <v>50</v>
      </c>
      <c r="S46" s="35" t="n">
        <f>574.19</f>
        <v>574.19</v>
      </c>
      <c r="T46" s="32" t="n">
        <f>73590</f>
        <v>73590.0</v>
      </c>
      <c r="U46" s="32" t="str">
        <f>"－"</f>
        <v>－</v>
      </c>
      <c r="V46" s="32" t="n">
        <f>42356001</f>
        <v>4.2356001E7</v>
      </c>
      <c r="W46" s="32" t="str">
        <f>"－"</f>
        <v>－</v>
      </c>
      <c r="X46" s="36" t="n">
        <f>18</f>
        <v>18.0</v>
      </c>
    </row>
    <row r="47">
      <c r="A47" s="27" t="s">
        <v>42</v>
      </c>
      <c r="B47" s="27" t="s">
        <v>180</v>
      </c>
      <c r="C47" s="27" t="s">
        <v>181</v>
      </c>
      <c r="D47" s="27" t="s">
        <v>182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230</f>
        <v>230.0</v>
      </c>
      <c r="L47" s="34" t="s">
        <v>48</v>
      </c>
      <c r="M47" s="33" t="n">
        <f>249</f>
        <v>249.0</v>
      </c>
      <c r="N47" s="34" t="s">
        <v>50</v>
      </c>
      <c r="O47" s="33" t="n">
        <f>228</f>
        <v>228.0</v>
      </c>
      <c r="P47" s="34" t="s">
        <v>49</v>
      </c>
      <c r="Q47" s="33" t="n">
        <f>242</f>
        <v>242.0</v>
      </c>
      <c r="R47" s="34" t="s">
        <v>50</v>
      </c>
      <c r="S47" s="35" t="n">
        <f>234.17</f>
        <v>234.17</v>
      </c>
      <c r="T47" s="32" t="n">
        <f>103445</f>
        <v>103445.0</v>
      </c>
      <c r="U47" s="32" t="str">
        <f>"－"</f>
        <v>－</v>
      </c>
      <c r="V47" s="32" t="n">
        <f>24388492</f>
        <v>2.4388492E7</v>
      </c>
      <c r="W47" s="32" t="str">
        <f>"－"</f>
        <v>－</v>
      </c>
      <c r="X47" s="36" t="n">
        <f>18</f>
        <v>18.0</v>
      </c>
    </row>
    <row r="48">
      <c r="A48" s="27" t="s">
        <v>42</v>
      </c>
      <c r="B48" s="27" t="s">
        <v>183</v>
      </c>
      <c r="C48" s="27" t="s">
        <v>184</v>
      </c>
      <c r="D48" s="27" t="s">
        <v>185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10.0</v>
      </c>
      <c r="K48" s="33" t="n">
        <f>2763.5</f>
        <v>2763.5</v>
      </c>
      <c r="L48" s="34" t="s">
        <v>48</v>
      </c>
      <c r="M48" s="33" t="n">
        <f>2825</f>
        <v>2825.0</v>
      </c>
      <c r="N48" s="34" t="s">
        <v>49</v>
      </c>
      <c r="O48" s="33" t="n">
        <f>2710</f>
        <v>2710.0</v>
      </c>
      <c r="P48" s="34" t="s">
        <v>50</v>
      </c>
      <c r="Q48" s="33" t="n">
        <f>2793.5</f>
        <v>2793.5</v>
      </c>
      <c r="R48" s="34" t="s">
        <v>50</v>
      </c>
      <c r="S48" s="35" t="n">
        <f>2786.75</f>
        <v>2786.75</v>
      </c>
      <c r="T48" s="32" t="n">
        <f>1078210</f>
        <v>1078210.0</v>
      </c>
      <c r="U48" s="32" t="n">
        <f>583310</f>
        <v>583310.0</v>
      </c>
      <c r="V48" s="32" t="n">
        <f>2984232386</f>
        <v>2.984232386E9</v>
      </c>
      <c r="W48" s="32" t="n">
        <f>1614165476</f>
        <v>1.614165476E9</v>
      </c>
      <c r="X48" s="36" t="n">
        <f>18</f>
        <v>18.0</v>
      </c>
    </row>
    <row r="49">
      <c r="A49" s="27" t="s">
        <v>42</v>
      </c>
      <c r="B49" s="27" t="s">
        <v>186</v>
      </c>
      <c r="C49" s="27" t="s">
        <v>187</v>
      </c>
      <c r="D49" s="27" t="s">
        <v>188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24985</f>
        <v>24985.0</v>
      </c>
      <c r="L49" s="34" t="s">
        <v>48</v>
      </c>
      <c r="M49" s="33" t="n">
        <f>25360</f>
        <v>25360.0</v>
      </c>
      <c r="N49" s="34" t="s">
        <v>79</v>
      </c>
      <c r="O49" s="33" t="n">
        <f>24400</f>
        <v>24400.0</v>
      </c>
      <c r="P49" s="34" t="s">
        <v>50</v>
      </c>
      <c r="Q49" s="33" t="n">
        <f>24485</f>
        <v>24485.0</v>
      </c>
      <c r="R49" s="34" t="s">
        <v>50</v>
      </c>
      <c r="S49" s="35" t="n">
        <f>24993.06</f>
        <v>24993.06</v>
      </c>
      <c r="T49" s="32" t="n">
        <f>9094</f>
        <v>9094.0</v>
      </c>
      <c r="U49" s="32" t="str">
        <f>"－"</f>
        <v>－</v>
      </c>
      <c r="V49" s="32" t="n">
        <f>226324945</f>
        <v>2.26324945E8</v>
      </c>
      <c r="W49" s="32" t="str">
        <f>"－"</f>
        <v>－</v>
      </c>
      <c r="X49" s="36" t="n">
        <f>18</f>
        <v>18.0</v>
      </c>
    </row>
    <row r="50">
      <c r="A50" s="27" t="s">
        <v>42</v>
      </c>
      <c r="B50" s="27" t="s">
        <v>189</v>
      </c>
      <c r="C50" s="27" t="s">
        <v>190</v>
      </c>
      <c r="D50" s="27" t="s">
        <v>191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10.0</v>
      </c>
      <c r="K50" s="33" t="n">
        <f>282.8</f>
        <v>282.8</v>
      </c>
      <c r="L50" s="34" t="s">
        <v>48</v>
      </c>
      <c r="M50" s="33" t="n">
        <f>286.1</f>
        <v>286.1</v>
      </c>
      <c r="N50" s="34" t="s">
        <v>116</v>
      </c>
      <c r="O50" s="33" t="n">
        <f>273</f>
        <v>273.0</v>
      </c>
      <c r="P50" s="34" t="s">
        <v>50</v>
      </c>
      <c r="Q50" s="33" t="n">
        <f>275</f>
        <v>275.0</v>
      </c>
      <c r="R50" s="34" t="s">
        <v>50</v>
      </c>
      <c r="S50" s="35" t="n">
        <f>281.2</f>
        <v>281.2</v>
      </c>
      <c r="T50" s="32" t="n">
        <f>109280280</f>
        <v>1.0928028E8</v>
      </c>
      <c r="U50" s="32" t="n">
        <f>57413470</f>
        <v>5.741347E7</v>
      </c>
      <c r="V50" s="32" t="n">
        <f>30677190038</f>
        <v>3.0677190038E10</v>
      </c>
      <c r="W50" s="32" t="n">
        <f>16120853464</f>
        <v>1.6120853464E10</v>
      </c>
      <c r="X50" s="36" t="n">
        <f>18</f>
        <v>18.0</v>
      </c>
    </row>
    <row r="51">
      <c r="A51" s="27" t="s">
        <v>42</v>
      </c>
      <c r="B51" s="27" t="s">
        <v>192</v>
      </c>
      <c r="C51" s="27" t="s">
        <v>193</v>
      </c>
      <c r="D51" s="27" t="s">
        <v>194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1778</f>
        <v>1778.0</v>
      </c>
      <c r="L51" s="34" t="s">
        <v>48</v>
      </c>
      <c r="M51" s="33" t="n">
        <f>1780</f>
        <v>1780.0</v>
      </c>
      <c r="N51" s="34" t="s">
        <v>48</v>
      </c>
      <c r="O51" s="33" t="n">
        <f>1705</f>
        <v>1705.0</v>
      </c>
      <c r="P51" s="34" t="s">
        <v>103</v>
      </c>
      <c r="Q51" s="33" t="n">
        <f>1749</f>
        <v>1749.0</v>
      </c>
      <c r="R51" s="34" t="s">
        <v>50</v>
      </c>
      <c r="S51" s="35" t="n">
        <f>1736.94</f>
        <v>1736.94</v>
      </c>
      <c r="T51" s="32" t="n">
        <f>12607706</f>
        <v>1.2607706E7</v>
      </c>
      <c r="U51" s="32" t="n">
        <f>11151099</f>
        <v>1.1151099E7</v>
      </c>
      <c r="V51" s="32" t="n">
        <f>21933902351</f>
        <v>2.1933902351E10</v>
      </c>
      <c r="W51" s="32" t="n">
        <f>19399111959</f>
        <v>1.9399111959E10</v>
      </c>
      <c r="X51" s="36" t="n">
        <f>18</f>
        <v>18.0</v>
      </c>
    </row>
    <row r="52">
      <c r="A52" s="27" t="s">
        <v>42</v>
      </c>
      <c r="B52" s="27" t="s">
        <v>195</v>
      </c>
      <c r="C52" s="27" t="s">
        <v>196</v>
      </c>
      <c r="D52" s="27" t="s">
        <v>197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2576</f>
        <v>2576.0</v>
      </c>
      <c r="L52" s="34" t="s">
        <v>48</v>
      </c>
      <c r="M52" s="33" t="n">
        <f>2608</f>
        <v>2608.0</v>
      </c>
      <c r="N52" s="34" t="s">
        <v>79</v>
      </c>
      <c r="O52" s="33" t="n">
        <f>2520</f>
        <v>2520.0</v>
      </c>
      <c r="P52" s="34" t="s">
        <v>50</v>
      </c>
      <c r="Q52" s="33" t="n">
        <f>2530</f>
        <v>2530.0</v>
      </c>
      <c r="R52" s="34" t="s">
        <v>50</v>
      </c>
      <c r="S52" s="35" t="n">
        <f>2556.83</f>
        <v>2556.83</v>
      </c>
      <c r="T52" s="32" t="n">
        <f>33190</f>
        <v>33190.0</v>
      </c>
      <c r="U52" s="32" t="n">
        <f>15622</f>
        <v>15622.0</v>
      </c>
      <c r="V52" s="32" t="n">
        <f>84492739</f>
        <v>8.4492739E7</v>
      </c>
      <c r="W52" s="32" t="n">
        <f>39495064</f>
        <v>3.9495064E7</v>
      </c>
      <c r="X52" s="36" t="n">
        <f>18</f>
        <v>18.0</v>
      </c>
    </row>
    <row r="53">
      <c r="A53" s="27" t="s">
        <v>42</v>
      </c>
      <c r="B53" s="27" t="s">
        <v>198</v>
      </c>
      <c r="C53" s="27" t="s">
        <v>199</v>
      </c>
      <c r="D53" s="27" t="s">
        <v>200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3730</f>
        <v>3730.0</v>
      </c>
      <c r="L53" s="34" t="s">
        <v>48</v>
      </c>
      <c r="M53" s="33" t="n">
        <f>3820</f>
        <v>3820.0</v>
      </c>
      <c r="N53" s="34" t="s">
        <v>116</v>
      </c>
      <c r="O53" s="33" t="n">
        <f>3665</f>
        <v>3665.0</v>
      </c>
      <c r="P53" s="34" t="s">
        <v>83</v>
      </c>
      <c r="Q53" s="33" t="n">
        <f>3735</f>
        <v>3735.0</v>
      </c>
      <c r="R53" s="34" t="s">
        <v>50</v>
      </c>
      <c r="S53" s="35" t="n">
        <f>3727.78</f>
        <v>3727.78</v>
      </c>
      <c r="T53" s="32" t="n">
        <f>1147945</f>
        <v>1147945.0</v>
      </c>
      <c r="U53" s="32" t="n">
        <f>335578</f>
        <v>335578.0</v>
      </c>
      <c r="V53" s="32" t="n">
        <f>4279550059</f>
        <v>4.279550059E9</v>
      </c>
      <c r="W53" s="32" t="n">
        <f>1248902044</f>
        <v>1.248902044E9</v>
      </c>
      <c r="X53" s="36" t="n">
        <f>18</f>
        <v>18.0</v>
      </c>
    </row>
    <row r="54">
      <c r="A54" s="27" t="s">
        <v>42</v>
      </c>
      <c r="B54" s="27" t="s">
        <v>201</v>
      </c>
      <c r="C54" s="27" t="s">
        <v>202</v>
      </c>
      <c r="D54" s="27" t="s">
        <v>203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35370</f>
        <v>35370.0</v>
      </c>
      <c r="L54" s="34" t="s">
        <v>156</v>
      </c>
      <c r="M54" s="33" t="n">
        <f>35440</f>
        <v>35440.0</v>
      </c>
      <c r="N54" s="34" t="s">
        <v>204</v>
      </c>
      <c r="O54" s="33" t="n">
        <f>34290</f>
        <v>34290.0</v>
      </c>
      <c r="P54" s="34" t="s">
        <v>99</v>
      </c>
      <c r="Q54" s="33" t="n">
        <f>35140</f>
        <v>35140.0</v>
      </c>
      <c r="R54" s="34" t="s">
        <v>204</v>
      </c>
      <c r="S54" s="35" t="n">
        <f>35045</f>
        <v>35045.0</v>
      </c>
      <c r="T54" s="32" t="n">
        <f>56</f>
        <v>56.0</v>
      </c>
      <c r="U54" s="32" t="str">
        <f>"－"</f>
        <v>－</v>
      </c>
      <c r="V54" s="32" t="n">
        <f>1972070</f>
        <v>1972070.0</v>
      </c>
      <c r="W54" s="32" t="str">
        <f>"－"</f>
        <v>－</v>
      </c>
      <c r="X54" s="36" t="n">
        <f>4</f>
        <v>4.0</v>
      </c>
    </row>
    <row r="55">
      <c r="A55" s="27" t="s">
        <v>42</v>
      </c>
      <c r="B55" s="27" t="s">
        <v>205</v>
      </c>
      <c r="C55" s="27" t="s">
        <v>206</v>
      </c>
      <c r="D55" s="27" t="s">
        <v>207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27500</f>
        <v>27500.0</v>
      </c>
      <c r="L55" s="34" t="s">
        <v>48</v>
      </c>
      <c r="M55" s="33" t="n">
        <f>28970</f>
        <v>28970.0</v>
      </c>
      <c r="N55" s="34" t="s">
        <v>68</v>
      </c>
      <c r="O55" s="33" t="n">
        <f>26200</f>
        <v>26200.0</v>
      </c>
      <c r="P55" s="34" t="s">
        <v>50</v>
      </c>
      <c r="Q55" s="33" t="n">
        <f>26200</f>
        <v>26200.0</v>
      </c>
      <c r="R55" s="34" t="s">
        <v>50</v>
      </c>
      <c r="S55" s="35" t="n">
        <f>27168.5</f>
        <v>27168.5</v>
      </c>
      <c r="T55" s="32" t="n">
        <f>75</f>
        <v>75.0</v>
      </c>
      <c r="U55" s="32" t="str">
        <f>"－"</f>
        <v>－</v>
      </c>
      <c r="V55" s="32" t="n">
        <f>2035745</f>
        <v>2035745.0</v>
      </c>
      <c r="W55" s="32" t="str">
        <f>"－"</f>
        <v>－</v>
      </c>
      <c r="X55" s="36" t="n">
        <f>10</f>
        <v>10.0</v>
      </c>
    </row>
    <row r="56">
      <c r="A56" s="27" t="s">
        <v>42</v>
      </c>
      <c r="B56" s="27" t="s">
        <v>208</v>
      </c>
      <c r="C56" s="27" t="s">
        <v>209</v>
      </c>
      <c r="D56" s="27" t="s">
        <v>210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2890</f>
        <v>2890.0</v>
      </c>
      <c r="L56" s="34" t="s">
        <v>48</v>
      </c>
      <c r="M56" s="33" t="n">
        <f>2890</f>
        <v>2890.0</v>
      </c>
      <c r="N56" s="34" t="s">
        <v>48</v>
      </c>
      <c r="O56" s="33" t="n">
        <f>2750</f>
        <v>2750.0</v>
      </c>
      <c r="P56" s="34" t="s">
        <v>157</v>
      </c>
      <c r="Q56" s="33" t="n">
        <f>2758</f>
        <v>2758.0</v>
      </c>
      <c r="R56" s="34" t="s">
        <v>50</v>
      </c>
      <c r="S56" s="35" t="n">
        <f>2799.57</f>
        <v>2799.57</v>
      </c>
      <c r="T56" s="32" t="n">
        <f>1282</f>
        <v>1282.0</v>
      </c>
      <c r="U56" s="32" t="n">
        <f>2</f>
        <v>2.0</v>
      </c>
      <c r="V56" s="32" t="n">
        <f>3566924</f>
        <v>3566924.0</v>
      </c>
      <c r="W56" s="32" t="n">
        <f>5609</f>
        <v>5609.0</v>
      </c>
      <c r="X56" s="36" t="n">
        <f>14</f>
        <v>14.0</v>
      </c>
    </row>
    <row r="57">
      <c r="A57" s="27" t="s">
        <v>42</v>
      </c>
      <c r="B57" s="27" t="s">
        <v>211</v>
      </c>
      <c r="C57" s="27" t="s">
        <v>212</v>
      </c>
      <c r="D57" s="27" t="s">
        <v>213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1630</f>
        <v>1630.0</v>
      </c>
      <c r="L57" s="34" t="s">
        <v>48</v>
      </c>
      <c r="M57" s="33" t="n">
        <f>1668</f>
        <v>1668.0</v>
      </c>
      <c r="N57" s="34" t="s">
        <v>50</v>
      </c>
      <c r="O57" s="33" t="n">
        <f>1621</f>
        <v>1621.0</v>
      </c>
      <c r="P57" s="34" t="s">
        <v>69</v>
      </c>
      <c r="Q57" s="33" t="n">
        <f>1665</f>
        <v>1665.0</v>
      </c>
      <c r="R57" s="34" t="s">
        <v>50</v>
      </c>
      <c r="S57" s="35" t="n">
        <f>1639.78</f>
        <v>1639.78</v>
      </c>
      <c r="T57" s="32" t="n">
        <f>9951132</f>
        <v>9951132.0</v>
      </c>
      <c r="U57" s="32" t="n">
        <f>8892986</f>
        <v>8892986.0</v>
      </c>
      <c r="V57" s="32" t="n">
        <f>16326613020</f>
        <v>1.632661302E10</v>
      </c>
      <c r="W57" s="32" t="n">
        <f>14594737591</f>
        <v>1.4594737591E10</v>
      </c>
      <c r="X57" s="36" t="n">
        <f>18</f>
        <v>18.0</v>
      </c>
    </row>
    <row r="58">
      <c r="A58" s="27" t="s">
        <v>42</v>
      </c>
      <c r="B58" s="27" t="s">
        <v>214</v>
      </c>
      <c r="C58" s="27" t="s">
        <v>215</v>
      </c>
      <c r="D58" s="27" t="s">
        <v>216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2887</f>
        <v>2887.0</v>
      </c>
      <c r="L58" s="34" t="s">
        <v>48</v>
      </c>
      <c r="M58" s="33" t="n">
        <f>2887</f>
        <v>2887.0</v>
      </c>
      <c r="N58" s="34" t="s">
        <v>48</v>
      </c>
      <c r="O58" s="33" t="n">
        <f>2741</f>
        <v>2741.0</v>
      </c>
      <c r="P58" s="34" t="s">
        <v>99</v>
      </c>
      <c r="Q58" s="33" t="n">
        <f>2761</f>
        <v>2761.0</v>
      </c>
      <c r="R58" s="34" t="s">
        <v>99</v>
      </c>
      <c r="S58" s="35" t="n">
        <f>2782.81</f>
        <v>2782.81</v>
      </c>
      <c r="T58" s="32" t="n">
        <f>2238</f>
        <v>2238.0</v>
      </c>
      <c r="U58" s="32" t="n">
        <f>1</f>
        <v>1.0</v>
      </c>
      <c r="V58" s="32" t="n">
        <f>6199603</f>
        <v>6199603.0</v>
      </c>
      <c r="W58" s="32" t="n">
        <f>2746</f>
        <v>2746.0</v>
      </c>
      <c r="X58" s="36" t="n">
        <f>16</f>
        <v>16.0</v>
      </c>
    </row>
    <row r="59">
      <c r="A59" s="27" t="s">
        <v>42</v>
      </c>
      <c r="B59" s="27" t="s">
        <v>217</v>
      </c>
      <c r="C59" s="27" t="s">
        <v>218</v>
      </c>
      <c r="D59" s="27" t="s">
        <v>219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10.0</v>
      </c>
      <c r="K59" s="33" t="n">
        <f>2755</f>
        <v>2755.0</v>
      </c>
      <c r="L59" s="34" t="s">
        <v>48</v>
      </c>
      <c r="M59" s="33" t="n">
        <f>2830</f>
        <v>2830.0</v>
      </c>
      <c r="N59" s="34" t="s">
        <v>116</v>
      </c>
      <c r="O59" s="33" t="n">
        <f>2728</f>
        <v>2728.0</v>
      </c>
      <c r="P59" s="34" t="s">
        <v>50</v>
      </c>
      <c r="Q59" s="33" t="n">
        <f>2728</f>
        <v>2728.0</v>
      </c>
      <c r="R59" s="34" t="s">
        <v>50</v>
      </c>
      <c r="S59" s="35" t="n">
        <f>2767.67</f>
        <v>2767.67</v>
      </c>
      <c r="T59" s="32" t="n">
        <f>2680</f>
        <v>2680.0</v>
      </c>
      <c r="U59" s="32" t="str">
        <f>"－"</f>
        <v>－</v>
      </c>
      <c r="V59" s="32" t="n">
        <f>7390070</f>
        <v>7390070.0</v>
      </c>
      <c r="W59" s="32" t="str">
        <f>"－"</f>
        <v>－</v>
      </c>
      <c r="X59" s="36" t="n">
        <f>18</f>
        <v>18.0</v>
      </c>
    </row>
    <row r="60">
      <c r="A60" s="27" t="s">
        <v>42</v>
      </c>
      <c r="B60" s="27" t="s">
        <v>220</v>
      </c>
      <c r="C60" s="27" t="s">
        <v>221</v>
      </c>
      <c r="D60" s="27" t="s">
        <v>222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40370</f>
        <v>40370.0</v>
      </c>
      <c r="L60" s="34" t="s">
        <v>69</v>
      </c>
      <c r="M60" s="33" t="n">
        <f>40540</f>
        <v>40540.0</v>
      </c>
      <c r="N60" s="34" t="s">
        <v>79</v>
      </c>
      <c r="O60" s="33" t="n">
        <f>40370</f>
        <v>40370.0</v>
      </c>
      <c r="P60" s="34" t="s">
        <v>69</v>
      </c>
      <c r="Q60" s="33" t="n">
        <f>40540</f>
        <v>40540.0</v>
      </c>
      <c r="R60" s="34" t="s">
        <v>79</v>
      </c>
      <c r="S60" s="35" t="n">
        <f>40455</f>
        <v>40455.0</v>
      </c>
      <c r="T60" s="32" t="n">
        <f>2</f>
        <v>2.0</v>
      </c>
      <c r="U60" s="32" t="str">
        <f>"－"</f>
        <v>－</v>
      </c>
      <c r="V60" s="32" t="n">
        <f>80910</f>
        <v>80910.0</v>
      </c>
      <c r="W60" s="32" t="str">
        <f>"－"</f>
        <v>－</v>
      </c>
      <c r="X60" s="36" t="n">
        <f>2</f>
        <v>2.0</v>
      </c>
    </row>
    <row r="61">
      <c r="A61" s="27" t="s">
        <v>42</v>
      </c>
      <c r="B61" s="27" t="s">
        <v>223</v>
      </c>
      <c r="C61" s="27" t="s">
        <v>224</v>
      </c>
      <c r="D61" s="27" t="s">
        <v>225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23585</f>
        <v>23585.0</v>
      </c>
      <c r="L61" s="34" t="s">
        <v>48</v>
      </c>
      <c r="M61" s="33" t="n">
        <f>23620</f>
        <v>23620.0</v>
      </c>
      <c r="N61" s="34" t="s">
        <v>48</v>
      </c>
      <c r="O61" s="33" t="n">
        <f>22730</f>
        <v>22730.0</v>
      </c>
      <c r="P61" s="34" t="s">
        <v>156</v>
      </c>
      <c r="Q61" s="33" t="n">
        <f>23250</f>
        <v>23250.0</v>
      </c>
      <c r="R61" s="34" t="s">
        <v>50</v>
      </c>
      <c r="S61" s="35" t="n">
        <f>23143.33</f>
        <v>23143.33</v>
      </c>
      <c r="T61" s="32" t="n">
        <f>460215</f>
        <v>460215.0</v>
      </c>
      <c r="U61" s="32" t="n">
        <f>439043</f>
        <v>439043.0</v>
      </c>
      <c r="V61" s="32" t="n">
        <f>10663306998</f>
        <v>1.0663306998E10</v>
      </c>
      <c r="W61" s="32" t="n">
        <f>10169914658</f>
        <v>1.0169914658E10</v>
      </c>
      <c r="X61" s="36" t="n">
        <f>18</f>
        <v>18.0</v>
      </c>
    </row>
    <row r="62">
      <c r="A62" s="27" t="s">
        <v>42</v>
      </c>
      <c r="B62" s="27" t="s">
        <v>226</v>
      </c>
      <c r="C62" s="27" t="s">
        <v>227</v>
      </c>
      <c r="D62" s="27" t="s">
        <v>228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12535</f>
        <v>12535.0</v>
      </c>
      <c r="L62" s="34" t="s">
        <v>48</v>
      </c>
      <c r="M62" s="33" t="n">
        <f>12825</f>
        <v>12825.0</v>
      </c>
      <c r="N62" s="34" t="s">
        <v>50</v>
      </c>
      <c r="O62" s="33" t="n">
        <f>12465</f>
        <v>12465.0</v>
      </c>
      <c r="P62" s="34" t="s">
        <v>69</v>
      </c>
      <c r="Q62" s="33" t="n">
        <f>12820</f>
        <v>12820.0</v>
      </c>
      <c r="R62" s="34" t="s">
        <v>50</v>
      </c>
      <c r="S62" s="35" t="n">
        <f>12607.22</f>
        <v>12607.22</v>
      </c>
      <c r="T62" s="32" t="n">
        <f>1328424</f>
        <v>1328424.0</v>
      </c>
      <c r="U62" s="32" t="n">
        <f>1287901</f>
        <v>1287901.0</v>
      </c>
      <c r="V62" s="32" t="n">
        <f>16917277444</f>
        <v>1.6917277444E10</v>
      </c>
      <c r="W62" s="32" t="n">
        <f>16405097204</f>
        <v>1.6405097204E10</v>
      </c>
      <c r="X62" s="36" t="n">
        <f>18</f>
        <v>18.0</v>
      </c>
    </row>
    <row r="63">
      <c r="A63" s="27" t="s">
        <v>42</v>
      </c>
      <c r="B63" s="27" t="s">
        <v>229</v>
      </c>
      <c r="C63" s="27" t="s">
        <v>230</v>
      </c>
      <c r="D63" s="27" t="s">
        <v>231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1773</f>
        <v>1773.0</v>
      </c>
      <c r="L63" s="34" t="s">
        <v>48</v>
      </c>
      <c r="M63" s="33" t="n">
        <f>1787</f>
        <v>1787.0</v>
      </c>
      <c r="N63" s="34" t="s">
        <v>50</v>
      </c>
      <c r="O63" s="33" t="n">
        <f>1724</f>
        <v>1724.0</v>
      </c>
      <c r="P63" s="34" t="s">
        <v>232</v>
      </c>
      <c r="Q63" s="33" t="n">
        <f>1774</f>
        <v>1774.0</v>
      </c>
      <c r="R63" s="34" t="s">
        <v>50</v>
      </c>
      <c r="S63" s="35" t="n">
        <f>1752.78</f>
        <v>1752.78</v>
      </c>
      <c r="T63" s="32" t="n">
        <f>3464600</f>
        <v>3464600.0</v>
      </c>
      <c r="U63" s="32" t="n">
        <f>1526610</f>
        <v>1526610.0</v>
      </c>
      <c r="V63" s="32" t="n">
        <f>6059913507</f>
        <v>6.059913507E9</v>
      </c>
      <c r="W63" s="32" t="n">
        <f>2663078881</f>
        <v>2.663078881E9</v>
      </c>
      <c r="X63" s="36" t="n">
        <f>18</f>
        <v>18.0</v>
      </c>
    </row>
    <row r="64">
      <c r="A64" s="27" t="s">
        <v>42</v>
      </c>
      <c r="B64" s="27" t="s">
        <v>233</v>
      </c>
      <c r="C64" s="27" t="s">
        <v>234</v>
      </c>
      <c r="D64" s="27" t="s">
        <v>235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2280</f>
        <v>2280.0</v>
      </c>
      <c r="L64" s="34" t="s">
        <v>48</v>
      </c>
      <c r="M64" s="33" t="n">
        <f>2328</f>
        <v>2328.0</v>
      </c>
      <c r="N64" s="34" t="s">
        <v>236</v>
      </c>
      <c r="O64" s="33" t="n">
        <f>2239</f>
        <v>2239.0</v>
      </c>
      <c r="P64" s="34" t="s">
        <v>48</v>
      </c>
      <c r="Q64" s="33" t="n">
        <f>2304</f>
        <v>2304.0</v>
      </c>
      <c r="R64" s="34" t="s">
        <v>50</v>
      </c>
      <c r="S64" s="35" t="n">
        <f>2291.44</f>
        <v>2291.44</v>
      </c>
      <c r="T64" s="32" t="n">
        <f>8655529</f>
        <v>8655529.0</v>
      </c>
      <c r="U64" s="32" t="n">
        <f>557298</f>
        <v>557298.0</v>
      </c>
      <c r="V64" s="32" t="n">
        <f>19810883490</f>
        <v>1.981088349E10</v>
      </c>
      <c r="W64" s="32" t="n">
        <f>1268230265</f>
        <v>1.268230265E9</v>
      </c>
      <c r="X64" s="36" t="n">
        <f>18</f>
        <v>18.0</v>
      </c>
    </row>
    <row r="65">
      <c r="A65" s="27" t="s">
        <v>42</v>
      </c>
      <c r="B65" s="27" t="s">
        <v>237</v>
      </c>
      <c r="C65" s="27" t="s">
        <v>238</v>
      </c>
      <c r="D65" s="27" t="s">
        <v>239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7362</f>
        <v>7362.0</v>
      </c>
      <c r="L65" s="34" t="s">
        <v>116</v>
      </c>
      <c r="M65" s="33" t="n">
        <f>7362</f>
        <v>7362.0</v>
      </c>
      <c r="N65" s="34" t="s">
        <v>116</v>
      </c>
      <c r="O65" s="33" t="n">
        <f>7362</f>
        <v>7362.0</v>
      </c>
      <c r="P65" s="34" t="s">
        <v>116</v>
      </c>
      <c r="Q65" s="33" t="n">
        <f>7362</f>
        <v>7362.0</v>
      </c>
      <c r="R65" s="34" t="s">
        <v>116</v>
      </c>
      <c r="S65" s="35" t="n">
        <f>7362</f>
        <v>7362.0</v>
      </c>
      <c r="T65" s="32" t="n">
        <f>24050</f>
        <v>24050.0</v>
      </c>
      <c r="U65" s="32" t="n">
        <f>24000</f>
        <v>24000.0</v>
      </c>
      <c r="V65" s="32" t="n">
        <f>179034900</f>
        <v>1.790349E8</v>
      </c>
      <c r="W65" s="32" t="n">
        <f>178666800</f>
        <v>1.786668E8</v>
      </c>
      <c r="X65" s="36" t="n">
        <f>1</f>
        <v>1.0</v>
      </c>
    </row>
    <row r="66">
      <c r="A66" s="27" t="s">
        <v>42</v>
      </c>
      <c r="B66" s="27" t="s">
        <v>240</v>
      </c>
      <c r="C66" s="27" t="s">
        <v>241</v>
      </c>
      <c r="D66" s="27" t="s">
        <v>242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19990</f>
        <v>19990.0</v>
      </c>
      <c r="L66" s="34" t="s">
        <v>48</v>
      </c>
      <c r="M66" s="33" t="n">
        <f>19990</f>
        <v>19990.0</v>
      </c>
      <c r="N66" s="34" t="s">
        <v>48</v>
      </c>
      <c r="O66" s="33" t="n">
        <f>18925</f>
        <v>18925.0</v>
      </c>
      <c r="P66" s="34" t="s">
        <v>50</v>
      </c>
      <c r="Q66" s="33" t="n">
        <f>18965</f>
        <v>18965.0</v>
      </c>
      <c r="R66" s="34" t="s">
        <v>50</v>
      </c>
      <c r="S66" s="35" t="n">
        <f>19516.67</f>
        <v>19516.67</v>
      </c>
      <c r="T66" s="32" t="n">
        <f>1293</f>
        <v>1293.0</v>
      </c>
      <c r="U66" s="32" t="n">
        <f>125</f>
        <v>125.0</v>
      </c>
      <c r="V66" s="32" t="n">
        <f>25102570</f>
        <v>2.510257E7</v>
      </c>
      <c r="W66" s="32" t="n">
        <f>2433125</f>
        <v>2433125.0</v>
      </c>
      <c r="X66" s="36" t="n">
        <f>18</f>
        <v>18.0</v>
      </c>
    </row>
    <row r="67">
      <c r="A67" s="27" t="s">
        <v>42</v>
      </c>
      <c r="B67" s="27" t="s">
        <v>243</v>
      </c>
      <c r="C67" s="27" t="s">
        <v>244</v>
      </c>
      <c r="D67" s="27" t="s">
        <v>245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31350</f>
        <v>31350.0</v>
      </c>
      <c r="L67" s="34" t="s">
        <v>48</v>
      </c>
      <c r="M67" s="33" t="n">
        <f>31570</f>
        <v>31570.0</v>
      </c>
      <c r="N67" s="34" t="s">
        <v>236</v>
      </c>
      <c r="O67" s="33" t="n">
        <f>30690</f>
        <v>30690.0</v>
      </c>
      <c r="P67" s="34" t="s">
        <v>116</v>
      </c>
      <c r="Q67" s="33" t="n">
        <f>31060</f>
        <v>31060.0</v>
      </c>
      <c r="R67" s="34" t="s">
        <v>50</v>
      </c>
      <c r="S67" s="35" t="n">
        <f>31061.11</f>
        <v>31061.11</v>
      </c>
      <c r="T67" s="32" t="n">
        <f>33707</f>
        <v>33707.0</v>
      </c>
      <c r="U67" s="32" t="n">
        <f>6261</f>
        <v>6261.0</v>
      </c>
      <c r="V67" s="32" t="n">
        <f>1044008953</f>
        <v>1.044008953E9</v>
      </c>
      <c r="W67" s="32" t="n">
        <f>193884623</f>
        <v>1.93884623E8</v>
      </c>
      <c r="X67" s="36" t="n">
        <f>18</f>
        <v>18.0</v>
      </c>
    </row>
    <row r="68">
      <c r="A68" s="27" t="s">
        <v>42</v>
      </c>
      <c r="B68" s="27" t="s">
        <v>246</v>
      </c>
      <c r="C68" s="27" t="s">
        <v>247</v>
      </c>
      <c r="D68" s="27" t="s">
        <v>248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10.0</v>
      </c>
      <c r="K68" s="33" t="n">
        <f>10060</f>
        <v>10060.0</v>
      </c>
      <c r="L68" s="34" t="s">
        <v>48</v>
      </c>
      <c r="M68" s="33" t="n">
        <f>10125</f>
        <v>10125.0</v>
      </c>
      <c r="N68" s="34" t="s">
        <v>116</v>
      </c>
      <c r="O68" s="33" t="n">
        <f>9737</f>
        <v>9737.0</v>
      </c>
      <c r="P68" s="34" t="s">
        <v>50</v>
      </c>
      <c r="Q68" s="33" t="n">
        <f>9752</f>
        <v>9752.0</v>
      </c>
      <c r="R68" s="34" t="s">
        <v>50</v>
      </c>
      <c r="S68" s="35" t="n">
        <f>9954.56</f>
        <v>9954.56</v>
      </c>
      <c r="T68" s="32" t="n">
        <f>21480</f>
        <v>21480.0</v>
      </c>
      <c r="U68" s="32" t="n">
        <f>10</f>
        <v>10.0</v>
      </c>
      <c r="V68" s="32" t="n">
        <f>213223530</f>
        <v>2.1322353E8</v>
      </c>
      <c r="W68" s="32" t="n">
        <f>98150</f>
        <v>98150.0</v>
      </c>
      <c r="X68" s="36" t="n">
        <f>18</f>
        <v>18.0</v>
      </c>
    </row>
    <row r="69">
      <c r="A69" s="27" t="s">
        <v>42</v>
      </c>
      <c r="B69" s="27" t="s">
        <v>249</v>
      </c>
      <c r="C69" s="27" t="s">
        <v>250</v>
      </c>
      <c r="D69" s="27" t="s">
        <v>251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1741</f>
        <v>1741.0</v>
      </c>
      <c r="L69" s="34" t="s">
        <v>48</v>
      </c>
      <c r="M69" s="33" t="n">
        <f>1780</f>
        <v>1780.0</v>
      </c>
      <c r="N69" s="34" t="s">
        <v>204</v>
      </c>
      <c r="O69" s="33" t="n">
        <f>1740</f>
        <v>1740.0</v>
      </c>
      <c r="P69" s="34" t="s">
        <v>48</v>
      </c>
      <c r="Q69" s="33" t="n">
        <f>1779</f>
        <v>1779.0</v>
      </c>
      <c r="R69" s="34" t="s">
        <v>50</v>
      </c>
      <c r="S69" s="35" t="n">
        <f>1757.72</f>
        <v>1757.72</v>
      </c>
      <c r="T69" s="32" t="n">
        <f>705592</f>
        <v>705592.0</v>
      </c>
      <c r="U69" s="32" t="n">
        <f>460187</f>
        <v>460187.0</v>
      </c>
      <c r="V69" s="32" t="n">
        <f>1242573563</f>
        <v>1.242573563E9</v>
      </c>
      <c r="W69" s="32" t="n">
        <f>810446730</f>
        <v>8.1044673E8</v>
      </c>
      <c r="X69" s="36" t="n">
        <f>18</f>
        <v>18.0</v>
      </c>
    </row>
    <row r="70">
      <c r="A70" s="27" t="s">
        <v>42</v>
      </c>
      <c r="B70" s="27" t="s">
        <v>252</v>
      </c>
      <c r="C70" s="27" t="s">
        <v>253</v>
      </c>
      <c r="D70" s="27" t="s">
        <v>254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1835</f>
        <v>1835.0</v>
      </c>
      <c r="L70" s="34" t="s">
        <v>48</v>
      </c>
      <c r="M70" s="33" t="n">
        <f>1849</f>
        <v>1849.0</v>
      </c>
      <c r="N70" s="34" t="s">
        <v>204</v>
      </c>
      <c r="O70" s="33" t="n">
        <f>1822</f>
        <v>1822.0</v>
      </c>
      <c r="P70" s="34" t="s">
        <v>48</v>
      </c>
      <c r="Q70" s="33" t="n">
        <f>1847</f>
        <v>1847.0</v>
      </c>
      <c r="R70" s="34" t="s">
        <v>50</v>
      </c>
      <c r="S70" s="35" t="n">
        <f>1838.72</f>
        <v>1838.72</v>
      </c>
      <c r="T70" s="32" t="n">
        <f>296681</f>
        <v>296681.0</v>
      </c>
      <c r="U70" s="32" t="n">
        <f>1000</f>
        <v>1000.0</v>
      </c>
      <c r="V70" s="32" t="n">
        <f>544368677</f>
        <v>5.44368677E8</v>
      </c>
      <c r="W70" s="32" t="n">
        <f>1846200</f>
        <v>1846200.0</v>
      </c>
      <c r="X70" s="36" t="n">
        <f>18</f>
        <v>18.0</v>
      </c>
    </row>
    <row r="71">
      <c r="A71" s="27" t="s">
        <v>42</v>
      </c>
      <c r="B71" s="27" t="s">
        <v>255</v>
      </c>
      <c r="C71" s="27" t="s">
        <v>256</v>
      </c>
      <c r="D71" s="27" t="s">
        <v>257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21610</f>
        <v>21610.0</v>
      </c>
      <c r="L71" s="34" t="s">
        <v>48</v>
      </c>
      <c r="M71" s="33" t="n">
        <f>21950</f>
        <v>21950.0</v>
      </c>
      <c r="N71" s="34" t="s">
        <v>49</v>
      </c>
      <c r="O71" s="33" t="n">
        <f>21110</f>
        <v>21110.0</v>
      </c>
      <c r="P71" s="34" t="s">
        <v>50</v>
      </c>
      <c r="Q71" s="33" t="n">
        <f>21170</f>
        <v>21170.0</v>
      </c>
      <c r="R71" s="34" t="s">
        <v>50</v>
      </c>
      <c r="S71" s="35" t="n">
        <f>21640</f>
        <v>21640.0</v>
      </c>
      <c r="T71" s="32" t="n">
        <f>2670</f>
        <v>2670.0</v>
      </c>
      <c r="U71" s="32" t="str">
        <f>"－"</f>
        <v>－</v>
      </c>
      <c r="V71" s="32" t="n">
        <f>57315545</f>
        <v>5.7315545E7</v>
      </c>
      <c r="W71" s="32" t="str">
        <f>"－"</f>
        <v>－</v>
      </c>
      <c r="X71" s="36" t="n">
        <f>18</f>
        <v>18.0</v>
      </c>
    </row>
    <row r="72">
      <c r="A72" s="27" t="s">
        <v>42</v>
      </c>
      <c r="B72" s="27" t="s">
        <v>258</v>
      </c>
      <c r="C72" s="27" t="s">
        <v>259</v>
      </c>
      <c r="D72" s="27" t="s">
        <v>260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9132</f>
        <v>9132.0</v>
      </c>
      <c r="L72" s="34" t="s">
        <v>48</v>
      </c>
      <c r="M72" s="33" t="n">
        <f>9280</f>
        <v>9280.0</v>
      </c>
      <c r="N72" s="34" t="s">
        <v>50</v>
      </c>
      <c r="O72" s="33" t="n">
        <f>9000</f>
        <v>9000.0</v>
      </c>
      <c r="P72" s="34" t="s">
        <v>83</v>
      </c>
      <c r="Q72" s="33" t="n">
        <f>9280</f>
        <v>9280.0</v>
      </c>
      <c r="R72" s="34" t="s">
        <v>50</v>
      </c>
      <c r="S72" s="35" t="n">
        <f>9091.89</f>
        <v>9091.89</v>
      </c>
      <c r="T72" s="32" t="n">
        <f>3263</f>
        <v>3263.0</v>
      </c>
      <c r="U72" s="32" t="n">
        <f>110</f>
        <v>110.0</v>
      </c>
      <c r="V72" s="32" t="n">
        <f>29765891</f>
        <v>2.9765891E7</v>
      </c>
      <c r="W72" s="32" t="n">
        <f>1019534</f>
        <v>1019534.0</v>
      </c>
      <c r="X72" s="36" t="n">
        <f>18</f>
        <v>18.0</v>
      </c>
    </row>
    <row r="73">
      <c r="A73" s="27" t="s">
        <v>42</v>
      </c>
      <c r="B73" s="27" t="s">
        <v>261</v>
      </c>
      <c r="C73" s="27" t="s">
        <v>262</v>
      </c>
      <c r="D73" s="27" t="s">
        <v>263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13130</f>
        <v>13130.0</v>
      </c>
      <c r="L73" s="34" t="s">
        <v>48</v>
      </c>
      <c r="M73" s="33" t="n">
        <f>13645</f>
        <v>13645.0</v>
      </c>
      <c r="N73" s="34" t="s">
        <v>69</v>
      </c>
      <c r="O73" s="33" t="n">
        <f>12940</f>
        <v>12940.0</v>
      </c>
      <c r="P73" s="34" t="s">
        <v>50</v>
      </c>
      <c r="Q73" s="33" t="n">
        <f>12995</f>
        <v>12995.0</v>
      </c>
      <c r="R73" s="34" t="s">
        <v>50</v>
      </c>
      <c r="S73" s="35" t="n">
        <f>13321.39</f>
        <v>13321.39</v>
      </c>
      <c r="T73" s="32" t="n">
        <f>7206077</f>
        <v>7206077.0</v>
      </c>
      <c r="U73" s="32" t="n">
        <f>1563946</f>
        <v>1563946.0</v>
      </c>
      <c r="V73" s="32" t="n">
        <f>96133194338</f>
        <v>9.6133194338E10</v>
      </c>
      <c r="W73" s="32" t="n">
        <f>20984018453</f>
        <v>2.0984018453E10</v>
      </c>
      <c r="X73" s="36" t="n">
        <f>18</f>
        <v>18.0</v>
      </c>
    </row>
    <row r="74">
      <c r="A74" s="27" t="s">
        <v>42</v>
      </c>
      <c r="B74" s="27" t="s">
        <v>264</v>
      </c>
      <c r="C74" s="27" t="s">
        <v>265</v>
      </c>
      <c r="D74" s="27" t="s">
        <v>266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4475</f>
        <v>4475.0</v>
      </c>
      <c r="L74" s="34" t="s">
        <v>48</v>
      </c>
      <c r="M74" s="33" t="n">
        <f>4510</f>
        <v>4510.0</v>
      </c>
      <c r="N74" s="34" t="s">
        <v>79</v>
      </c>
      <c r="O74" s="33" t="n">
        <f>4215</f>
        <v>4215.0</v>
      </c>
      <c r="P74" s="34" t="s">
        <v>99</v>
      </c>
      <c r="Q74" s="33" t="n">
        <f>4230</f>
        <v>4230.0</v>
      </c>
      <c r="R74" s="34" t="s">
        <v>50</v>
      </c>
      <c r="S74" s="35" t="n">
        <f>4384.72</f>
        <v>4384.72</v>
      </c>
      <c r="T74" s="32" t="n">
        <f>319625</f>
        <v>319625.0</v>
      </c>
      <c r="U74" s="32" t="n">
        <f>340</f>
        <v>340.0</v>
      </c>
      <c r="V74" s="32" t="n">
        <f>1401872630</f>
        <v>1.40187263E9</v>
      </c>
      <c r="W74" s="32" t="n">
        <f>1467880</f>
        <v>1467880.0</v>
      </c>
      <c r="X74" s="36" t="n">
        <f>18</f>
        <v>18.0</v>
      </c>
    </row>
    <row r="75">
      <c r="A75" s="27" t="s">
        <v>42</v>
      </c>
      <c r="B75" s="27" t="s">
        <v>267</v>
      </c>
      <c r="C75" s="27" t="s">
        <v>268</v>
      </c>
      <c r="D75" s="27" t="s">
        <v>269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14400</f>
        <v>14400.0</v>
      </c>
      <c r="L75" s="34" t="s">
        <v>48</v>
      </c>
      <c r="M75" s="33" t="n">
        <f>14965</f>
        <v>14965.0</v>
      </c>
      <c r="N75" s="34" t="s">
        <v>79</v>
      </c>
      <c r="O75" s="33" t="n">
        <f>13810</f>
        <v>13810.0</v>
      </c>
      <c r="P75" s="34" t="s">
        <v>50</v>
      </c>
      <c r="Q75" s="33" t="n">
        <f>13875</f>
        <v>13875.0</v>
      </c>
      <c r="R75" s="34" t="s">
        <v>50</v>
      </c>
      <c r="S75" s="35" t="n">
        <f>14488.06</f>
        <v>14488.06</v>
      </c>
      <c r="T75" s="32" t="n">
        <f>359939</f>
        <v>359939.0</v>
      </c>
      <c r="U75" s="32" t="n">
        <f>1857</f>
        <v>1857.0</v>
      </c>
      <c r="V75" s="32" t="n">
        <f>5197808380</f>
        <v>5.19780838E9</v>
      </c>
      <c r="W75" s="32" t="n">
        <f>26583015</f>
        <v>2.6583015E7</v>
      </c>
      <c r="X75" s="36" t="n">
        <f>18</f>
        <v>18.0</v>
      </c>
    </row>
    <row r="76">
      <c r="A76" s="27" t="s">
        <v>42</v>
      </c>
      <c r="B76" s="27" t="s">
        <v>270</v>
      </c>
      <c r="C76" s="27" t="s">
        <v>271</v>
      </c>
      <c r="D76" s="27" t="s">
        <v>272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46790</f>
        <v>46790.0</v>
      </c>
      <c r="L76" s="34" t="s">
        <v>48</v>
      </c>
      <c r="M76" s="33" t="n">
        <f>47710</f>
        <v>47710.0</v>
      </c>
      <c r="N76" s="34" t="s">
        <v>48</v>
      </c>
      <c r="O76" s="33" t="n">
        <f>40500</f>
        <v>40500.0</v>
      </c>
      <c r="P76" s="34" t="s">
        <v>50</v>
      </c>
      <c r="Q76" s="33" t="n">
        <f>40800</f>
        <v>40800.0</v>
      </c>
      <c r="R76" s="34" t="s">
        <v>50</v>
      </c>
      <c r="S76" s="35" t="n">
        <f>44160.56</f>
        <v>44160.56</v>
      </c>
      <c r="T76" s="32" t="n">
        <f>30707</f>
        <v>30707.0</v>
      </c>
      <c r="U76" s="32" t="str">
        <f>"－"</f>
        <v>－</v>
      </c>
      <c r="V76" s="32" t="n">
        <f>1346210640</f>
        <v>1.34621064E9</v>
      </c>
      <c r="W76" s="32" t="str">
        <f>"－"</f>
        <v>－</v>
      </c>
      <c r="X76" s="36" t="n">
        <f>18</f>
        <v>18.0</v>
      </c>
    </row>
    <row r="77">
      <c r="A77" s="27" t="s">
        <v>42</v>
      </c>
      <c r="B77" s="27" t="s">
        <v>273</v>
      </c>
      <c r="C77" s="27" t="s">
        <v>274</v>
      </c>
      <c r="D77" s="27" t="s">
        <v>275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33000</f>
        <v>33000.0</v>
      </c>
      <c r="L77" s="34" t="s">
        <v>48</v>
      </c>
      <c r="M77" s="33" t="n">
        <f>34160</f>
        <v>34160.0</v>
      </c>
      <c r="N77" s="34" t="s">
        <v>236</v>
      </c>
      <c r="O77" s="33" t="n">
        <f>30970</f>
        <v>30970.0</v>
      </c>
      <c r="P77" s="34" t="s">
        <v>50</v>
      </c>
      <c r="Q77" s="33" t="n">
        <f>31270</f>
        <v>31270.0</v>
      </c>
      <c r="R77" s="34" t="s">
        <v>50</v>
      </c>
      <c r="S77" s="35" t="n">
        <f>33232.78</f>
        <v>33232.78</v>
      </c>
      <c r="T77" s="32" t="n">
        <f>546956</f>
        <v>546956.0</v>
      </c>
      <c r="U77" s="32" t="n">
        <f>9852</f>
        <v>9852.0</v>
      </c>
      <c r="V77" s="32" t="n">
        <f>18048875175</f>
        <v>1.8048875175E10</v>
      </c>
      <c r="W77" s="32" t="n">
        <f>325069715</f>
        <v>3.25069715E8</v>
      </c>
      <c r="X77" s="36" t="n">
        <f>18</f>
        <v>18.0</v>
      </c>
    </row>
    <row r="78">
      <c r="A78" s="27" t="s">
        <v>42</v>
      </c>
      <c r="B78" s="27" t="s">
        <v>276</v>
      </c>
      <c r="C78" s="27" t="s">
        <v>277</v>
      </c>
      <c r="D78" s="27" t="s">
        <v>278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66720</f>
        <v>66720.0</v>
      </c>
      <c r="L78" s="34" t="s">
        <v>48</v>
      </c>
      <c r="M78" s="33" t="n">
        <f>67560</f>
        <v>67560.0</v>
      </c>
      <c r="N78" s="34" t="s">
        <v>68</v>
      </c>
      <c r="O78" s="33" t="n">
        <f>62860</f>
        <v>62860.0</v>
      </c>
      <c r="P78" s="34" t="s">
        <v>50</v>
      </c>
      <c r="Q78" s="33" t="n">
        <f>63320</f>
        <v>63320.0</v>
      </c>
      <c r="R78" s="34" t="s">
        <v>50</v>
      </c>
      <c r="S78" s="35" t="n">
        <f>65665</f>
        <v>65665.0</v>
      </c>
      <c r="T78" s="32" t="n">
        <f>37562</f>
        <v>37562.0</v>
      </c>
      <c r="U78" s="32" t="n">
        <f>3505</f>
        <v>3505.0</v>
      </c>
      <c r="V78" s="32" t="n">
        <f>2462957520</f>
        <v>2.46295752E9</v>
      </c>
      <c r="W78" s="32" t="n">
        <f>225375250</f>
        <v>2.2537525E8</v>
      </c>
      <c r="X78" s="36" t="n">
        <f>18</f>
        <v>18.0</v>
      </c>
    </row>
    <row r="79">
      <c r="A79" s="27" t="s">
        <v>42</v>
      </c>
      <c r="B79" s="27" t="s">
        <v>279</v>
      </c>
      <c r="C79" s="27" t="s">
        <v>280</v>
      </c>
      <c r="D79" s="27" t="s">
        <v>281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10.0</v>
      </c>
      <c r="K79" s="33" t="n">
        <f>10005</f>
        <v>10005.0</v>
      </c>
      <c r="L79" s="34" t="s">
        <v>48</v>
      </c>
      <c r="M79" s="33" t="n">
        <f>10165</f>
        <v>10165.0</v>
      </c>
      <c r="N79" s="34" t="s">
        <v>69</v>
      </c>
      <c r="O79" s="33" t="n">
        <f>9469</f>
        <v>9469.0</v>
      </c>
      <c r="P79" s="34" t="s">
        <v>50</v>
      </c>
      <c r="Q79" s="33" t="n">
        <f>9593</f>
        <v>9593.0</v>
      </c>
      <c r="R79" s="34" t="s">
        <v>50</v>
      </c>
      <c r="S79" s="35" t="n">
        <f>9962.5</f>
        <v>9962.5</v>
      </c>
      <c r="T79" s="32" t="n">
        <f>741810</f>
        <v>741810.0</v>
      </c>
      <c r="U79" s="32" t="n">
        <f>94340</f>
        <v>94340.0</v>
      </c>
      <c r="V79" s="32" t="n">
        <f>7334196565</f>
        <v>7.334196565E9</v>
      </c>
      <c r="W79" s="32" t="n">
        <f>923281785</f>
        <v>9.23281785E8</v>
      </c>
      <c r="X79" s="36" t="n">
        <f>18</f>
        <v>18.0</v>
      </c>
    </row>
    <row r="80">
      <c r="A80" s="27" t="s">
        <v>42</v>
      </c>
      <c r="B80" s="27" t="s">
        <v>282</v>
      </c>
      <c r="C80" s="27" t="s">
        <v>283</v>
      </c>
      <c r="D80" s="27" t="s">
        <v>284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6135</f>
        <v>6135.0</v>
      </c>
      <c r="L80" s="34" t="s">
        <v>48</v>
      </c>
      <c r="M80" s="33" t="n">
        <f>6245</f>
        <v>6245.0</v>
      </c>
      <c r="N80" s="34" t="s">
        <v>69</v>
      </c>
      <c r="O80" s="33" t="n">
        <f>5841</f>
        <v>5841.0</v>
      </c>
      <c r="P80" s="34" t="s">
        <v>50</v>
      </c>
      <c r="Q80" s="33" t="n">
        <f>5884</f>
        <v>5884.0</v>
      </c>
      <c r="R80" s="34" t="s">
        <v>50</v>
      </c>
      <c r="S80" s="35" t="n">
        <f>6118.56</f>
        <v>6118.56</v>
      </c>
      <c r="T80" s="32" t="n">
        <f>202970</f>
        <v>202970.0</v>
      </c>
      <c r="U80" s="32" t="n">
        <f>57040</f>
        <v>57040.0</v>
      </c>
      <c r="V80" s="32" t="n">
        <f>1233520390</f>
        <v>1.23352039E9</v>
      </c>
      <c r="W80" s="32" t="n">
        <f>345106810</f>
        <v>3.4510681E8</v>
      </c>
      <c r="X80" s="36" t="n">
        <f>18</f>
        <v>18.0</v>
      </c>
    </row>
    <row r="81">
      <c r="A81" s="27" t="s">
        <v>42</v>
      </c>
      <c r="B81" s="27" t="s">
        <v>285</v>
      </c>
      <c r="C81" s="27" t="s">
        <v>286</v>
      </c>
      <c r="D81" s="27" t="s">
        <v>287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10.0</v>
      </c>
      <c r="K81" s="33" t="n">
        <f>5341</f>
        <v>5341.0</v>
      </c>
      <c r="L81" s="34" t="s">
        <v>48</v>
      </c>
      <c r="M81" s="33" t="n">
        <f>5553</f>
        <v>5553.0</v>
      </c>
      <c r="N81" s="34" t="s">
        <v>236</v>
      </c>
      <c r="O81" s="33" t="n">
        <f>5286</f>
        <v>5286.0</v>
      </c>
      <c r="P81" s="34" t="s">
        <v>157</v>
      </c>
      <c r="Q81" s="33" t="n">
        <f>5318</f>
        <v>5318.0</v>
      </c>
      <c r="R81" s="34" t="s">
        <v>50</v>
      </c>
      <c r="S81" s="35" t="n">
        <f>5440.22</f>
        <v>5440.22</v>
      </c>
      <c r="T81" s="32" t="n">
        <f>6980</f>
        <v>6980.0</v>
      </c>
      <c r="U81" s="32" t="n">
        <f>330</f>
        <v>330.0</v>
      </c>
      <c r="V81" s="32" t="n">
        <f>38001290</f>
        <v>3.800129E7</v>
      </c>
      <c r="W81" s="32" t="n">
        <f>1798950</f>
        <v>1798950.0</v>
      </c>
      <c r="X81" s="36" t="n">
        <f>18</f>
        <v>18.0</v>
      </c>
    </row>
    <row r="82">
      <c r="A82" s="27" t="s">
        <v>42</v>
      </c>
      <c r="B82" s="27" t="s">
        <v>288</v>
      </c>
      <c r="C82" s="27" t="s">
        <v>289</v>
      </c>
      <c r="D82" s="27" t="s">
        <v>290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10.0</v>
      </c>
      <c r="K82" s="33" t="n">
        <f>4967</f>
        <v>4967.0</v>
      </c>
      <c r="L82" s="34" t="s">
        <v>48</v>
      </c>
      <c r="M82" s="33" t="n">
        <f>5074</f>
        <v>5074.0</v>
      </c>
      <c r="N82" s="34" t="s">
        <v>69</v>
      </c>
      <c r="O82" s="33" t="n">
        <f>4770</f>
        <v>4770.0</v>
      </c>
      <c r="P82" s="34" t="s">
        <v>50</v>
      </c>
      <c r="Q82" s="33" t="n">
        <f>4805</f>
        <v>4805.0</v>
      </c>
      <c r="R82" s="34" t="s">
        <v>50</v>
      </c>
      <c r="S82" s="35" t="n">
        <f>4974.28</f>
        <v>4974.28</v>
      </c>
      <c r="T82" s="32" t="n">
        <f>89510</f>
        <v>89510.0</v>
      </c>
      <c r="U82" s="32" t="str">
        <f>"－"</f>
        <v>－</v>
      </c>
      <c r="V82" s="32" t="n">
        <f>443588800</f>
        <v>4.435888E8</v>
      </c>
      <c r="W82" s="32" t="str">
        <f>"－"</f>
        <v>－</v>
      </c>
      <c r="X82" s="36" t="n">
        <f>18</f>
        <v>18.0</v>
      </c>
    </row>
    <row r="83">
      <c r="A83" s="27" t="s">
        <v>42</v>
      </c>
      <c r="B83" s="27" t="s">
        <v>291</v>
      </c>
      <c r="C83" s="27" t="s">
        <v>292</v>
      </c>
      <c r="D83" s="27" t="s">
        <v>293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10.0</v>
      </c>
      <c r="K83" s="33" t="n">
        <f>2275</f>
        <v>2275.0</v>
      </c>
      <c r="L83" s="34" t="s">
        <v>48</v>
      </c>
      <c r="M83" s="33" t="n">
        <f>2332</f>
        <v>2332.0</v>
      </c>
      <c r="N83" s="34" t="s">
        <v>49</v>
      </c>
      <c r="O83" s="33" t="n">
        <f>2075</f>
        <v>2075.0</v>
      </c>
      <c r="P83" s="34" t="s">
        <v>50</v>
      </c>
      <c r="Q83" s="33" t="n">
        <f>2099</f>
        <v>2099.0</v>
      </c>
      <c r="R83" s="34" t="s">
        <v>50</v>
      </c>
      <c r="S83" s="35" t="n">
        <f>2253.44</f>
        <v>2253.44</v>
      </c>
      <c r="T83" s="32" t="n">
        <f>54800</f>
        <v>54800.0</v>
      </c>
      <c r="U83" s="32" t="str">
        <f>"－"</f>
        <v>－</v>
      </c>
      <c r="V83" s="32" t="n">
        <f>122277775</f>
        <v>1.22277775E8</v>
      </c>
      <c r="W83" s="32" t="str">
        <f>"－"</f>
        <v>－</v>
      </c>
      <c r="X83" s="36" t="n">
        <f>18</f>
        <v>18.0</v>
      </c>
    </row>
    <row r="84">
      <c r="A84" s="27" t="s">
        <v>42</v>
      </c>
      <c r="B84" s="27" t="s">
        <v>294</v>
      </c>
      <c r="C84" s="27" t="s">
        <v>295</v>
      </c>
      <c r="D84" s="27" t="s">
        <v>296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92900</f>
        <v>92900.0</v>
      </c>
      <c r="L84" s="34" t="s">
        <v>48</v>
      </c>
      <c r="M84" s="33" t="n">
        <f>93540</f>
        <v>93540.0</v>
      </c>
      <c r="N84" s="34" t="s">
        <v>69</v>
      </c>
      <c r="O84" s="33" t="n">
        <f>87200</f>
        <v>87200.0</v>
      </c>
      <c r="P84" s="34" t="s">
        <v>50</v>
      </c>
      <c r="Q84" s="33" t="n">
        <f>87970</f>
        <v>87970.0</v>
      </c>
      <c r="R84" s="34" t="s">
        <v>50</v>
      </c>
      <c r="S84" s="35" t="n">
        <f>91651.11</f>
        <v>91651.11</v>
      </c>
      <c r="T84" s="32" t="n">
        <f>57286</f>
        <v>57286.0</v>
      </c>
      <c r="U84" s="32" t="n">
        <f>90</f>
        <v>90.0</v>
      </c>
      <c r="V84" s="32" t="n">
        <f>5229499180</f>
        <v>5.22949918E9</v>
      </c>
      <c r="W84" s="32" t="n">
        <f>8442810</f>
        <v>8442810.0</v>
      </c>
      <c r="X84" s="36" t="n">
        <f>18</f>
        <v>18.0</v>
      </c>
    </row>
    <row r="85">
      <c r="A85" s="27" t="s">
        <v>42</v>
      </c>
      <c r="B85" s="27" t="s">
        <v>297</v>
      </c>
      <c r="C85" s="27" t="s">
        <v>298</v>
      </c>
      <c r="D85" s="27" t="s">
        <v>299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3650</f>
        <v>3650.0</v>
      </c>
      <c r="L85" s="34" t="s">
        <v>48</v>
      </c>
      <c r="M85" s="33" t="n">
        <f>3650</f>
        <v>3650.0</v>
      </c>
      <c r="N85" s="34" t="s">
        <v>48</v>
      </c>
      <c r="O85" s="33" t="n">
        <f>3210</f>
        <v>3210.0</v>
      </c>
      <c r="P85" s="34" t="s">
        <v>50</v>
      </c>
      <c r="Q85" s="33" t="n">
        <f>3285</f>
        <v>3285.0</v>
      </c>
      <c r="R85" s="34" t="s">
        <v>50</v>
      </c>
      <c r="S85" s="35" t="n">
        <f>3512.78</f>
        <v>3512.78</v>
      </c>
      <c r="T85" s="32" t="n">
        <f>9021</f>
        <v>9021.0</v>
      </c>
      <c r="U85" s="32" t="str">
        <f>"－"</f>
        <v>－</v>
      </c>
      <c r="V85" s="32" t="n">
        <f>31237630</f>
        <v>3.123763E7</v>
      </c>
      <c r="W85" s="32" t="str">
        <f>"－"</f>
        <v>－</v>
      </c>
      <c r="X85" s="36" t="n">
        <f>18</f>
        <v>18.0</v>
      </c>
    </row>
    <row r="86">
      <c r="A86" s="27" t="s">
        <v>42</v>
      </c>
      <c r="B86" s="27" t="s">
        <v>300</v>
      </c>
      <c r="C86" s="27" t="s">
        <v>301</v>
      </c>
      <c r="D86" s="27" t="s">
        <v>302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5330</f>
        <v>5330.0</v>
      </c>
      <c r="L86" s="34" t="s">
        <v>48</v>
      </c>
      <c r="M86" s="33" t="n">
        <f>5350</f>
        <v>5350.0</v>
      </c>
      <c r="N86" s="34" t="s">
        <v>157</v>
      </c>
      <c r="O86" s="33" t="n">
        <f>5200</f>
        <v>5200.0</v>
      </c>
      <c r="P86" s="34" t="s">
        <v>103</v>
      </c>
      <c r="Q86" s="33" t="n">
        <f>5300</f>
        <v>5300.0</v>
      </c>
      <c r="R86" s="34" t="s">
        <v>50</v>
      </c>
      <c r="S86" s="35" t="n">
        <f>5265</f>
        <v>5265.0</v>
      </c>
      <c r="T86" s="32" t="n">
        <f>5038</f>
        <v>5038.0</v>
      </c>
      <c r="U86" s="32" t="str">
        <f>"－"</f>
        <v>－</v>
      </c>
      <c r="V86" s="32" t="n">
        <f>26497370</f>
        <v>2.649737E7</v>
      </c>
      <c r="W86" s="32" t="str">
        <f>"－"</f>
        <v>－</v>
      </c>
      <c r="X86" s="36" t="n">
        <f>18</f>
        <v>18.0</v>
      </c>
    </row>
    <row r="87">
      <c r="A87" s="27" t="s">
        <v>42</v>
      </c>
      <c r="B87" s="27" t="s">
        <v>303</v>
      </c>
      <c r="C87" s="27" t="s">
        <v>304</v>
      </c>
      <c r="D87" s="27" t="s">
        <v>305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2471</f>
        <v>2471.0</v>
      </c>
      <c r="L87" s="34" t="s">
        <v>48</v>
      </c>
      <c r="M87" s="33" t="n">
        <f>2604</f>
        <v>2604.0</v>
      </c>
      <c r="N87" s="34" t="s">
        <v>232</v>
      </c>
      <c r="O87" s="33" t="n">
        <f>2382</f>
        <v>2382.0</v>
      </c>
      <c r="P87" s="34" t="s">
        <v>50</v>
      </c>
      <c r="Q87" s="33" t="n">
        <f>2390</f>
        <v>2390.0</v>
      </c>
      <c r="R87" s="34" t="s">
        <v>50</v>
      </c>
      <c r="S87" s="35" t="n">
        <f>2514.22</f>
        <v>2514.22</v>
      </c>
      <c r="T87" s="32" t="n">
        <f>383140</f>
        <v>383140.0</v>
      </c>
      <c r="U87" s="32" t="n">
        <f>20</f>
        <v>20.0</v>
      </c>
      <c r="V87" s="32" t="n">
        <f>961283250</f>
        <v>9.6128325E8</v>
      </c>
      <c r="W87" s="32" t="n">
        <f>50842</f>
        <v>50842.0</v>
      </c>
      <c r="X87" s="36" t="n">
        <f>18</f>
        <v>18.0</v>
      </c>
    </row>
    <row r="88">
      <c r="A88" s="27" t="s">
        <v>42</v>
      </c>
      <c r="B88" s="27" t="s">
        <v>306</v>
      </c>
      <c r="C88" s="27" t="s">
        <v>307</v>
      </c>
      <c r="D88" s="27" t="s">
        <v>308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49490</f>
        <v>49490.0</v>
      </c>
      <c r="L88" s="34" t="s">
        <v>48</v>
      </c>
      <c r="M88" s="33" t="n">
        <f>49550</f>
        <v>49550.0</v>
      </c>
      <c r="N88" s="34" t="s">
        <v>60</v>
      </c>
      <c r="O88" s="33" t="n">
        <f>48500</f>
        <v>48500.0</v>
      </c>
      <c r="P88" s="34" t="s">
        <v>50</v>
      </c>
      <c r="Q88" s="33" t="n">
        <f>48720</f>
        <v>48720.0</v>
      </c>
      <c r="R88" s="34" t="s">
        <v>50</v>
      </c>
      <c r="S88" s="35" t="n">
        <f>49046.67</f>
        <v>49046.67</v>
      </c>
      <c r="T88" s="32" t="n">
        <f>11273</f>
        <v>11273.0</v>
      </c>
      <c r="U88" s="32" t="n">
        <f>209</f>
        <v>209.0</v>
      </c>
      <c r="V88" s="32" t="n">
        <f>551947456</f>
        <v>5.51947456E8</v>
      </c>
      <c r="W88" s="32" t="n">
        <f>10168416</f>
        <v>1.0168416E7</v>
      </c>
      <c r="X88" s="36" t="n">
        <f>18</f>
        <v>18.0</v>
      </c>
    </row>
    <row r="89">
      <c r="A89" s="27" t="s">
        <v>42</v>
      </c>
      <c r="B89" s="27" t="s">
        <v>309</v>
      </c>
      <c r="C89" s="27" t="s">
        <v>310</v>
      </c>
      <c r="D89" s="27" t="s">
        <v>311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10.0</v>
      </c>
      <c r="K89" s="33" t="n">
        <f>463.1</f>
        <v>463.1</v>
      </c>
      <c r="L89" s="34" t="s">
        <v>48</v>
      </c>
      <c r="M89" s="33" t="n">
        <f>483.3</f>
        <v>483.3</v>
      </c>
      <c r="N89" s="34" t="s">
        <v>49</v>
      </c>
      <c r="O89" s="33" t="n">
        <f>441.7</f>
        <v>441.7</v>
      </c>
      <c r="P89" s="34" t="s">
        <v>50</v>
      </c>
      <c r="Q89" s="33" t="n">
        <f>455.3</f>
        <v>455.3</v>
      </c>
      <c r="R89" s="34" t="s">
        <v>50</v>
      </c>
      <c r="S89" s="35" t="n">
        <f>466.88</f>
        <v>466.88</v>
      </c>
      <c r="T89" s="32" t="n">
        <f>91296890</f>
        <v>9.129689E7</v>
      </c>
      <c r="U89" s="32" t="n">
        <f>80</f>
        <v>80.0</v>
      </c>
      <c r="V89" s="32" t="n">
        <f>42525290620</f>
        <v>4.252529062E10</v>
      </c>
      <c r="W89" s="32" t="n">
        <f>36728</f>
        <v>36728.0</v>
      </c>
      <c r="X89" s="36" t="n">
        <f>18</f>
        <v>18.0</v>
      </c>
    </row>
    <row r="90">
      <c r="A90" s="27" t="s">
        <v>42</v>
      </c>
      <c r="B90" s="27" t="s">
        <v>312</v>
      </c>
      <c r="C90" s="27" t="s">
        <v>313</v>
      </c>
      <c r="D90" s="27" t="s">
        <v>314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1233</f>
        <v>1233.0</v>
      </c>
      <c r="L90" s="34" t="s">
        <v>48</v>
      </c>
      <c r="M90" s="33" t="n">
        <f>1261</f>
        <v>1261.0</v>
      </c>
      <c r="N90" s="34" t="s">
        <v>50</v>
      </c>
      <c r="O90" s="33" t="n">
        <f>1208</f>
        <v>1208.0</v>
      </c>
      <c r="P90" s="34" t="s">
        <v>49</v>
      </c>
      <c r="Q90" s="33" t="n">
        <f>1252</f>
        <v>1252.0</v>
      </c>
      <c r="R90" s="34" t="s">
        <v>50</v>
      </c>
      <c r="S90" s="35" t="n">
        <f>1230.14</f>
        <v>1230.14</v>
      </c>
      <c r="T90" s="32" t="n">
        <f>466660</f>
        <v>466660.0</v>
      </c>
      <c r="U90" s="32" t="n">
        <f>15470</f>
        <v>15470.0</v>
      </c>
      <c r="V90" s="32" t="n">
        <f>574496660</f>
        <v>5.7449666E8</v>
      </c>
      <c r="W90" s="32" t="n">
        <f>19076490</f>
        <v>1.907649E7</v>
      </c>
      <c r="X90" s="36" t="n">
        <f>18</f>
        <v>18.0</v>
      </c>
    </row>
    <row r="91">
      <c r="A91" s="27" t="s">
        <v>42</v>
      </c>
      <c r="B91" s="27" t="s">
        <v>315</v>
      </c>
      <c r="C91" s="27" t="s">
        <v>316</v>
      </c>
      <c r="D91" s="27" t="s">
        <v>317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26285</f>
        <v>26285.0</v>
      </c>
      <c r="L91" s="34" t="s">
        <v>48</v>
      </c>
      <c r="M91" s="33" t="n">
        <f>27565</f>
        <v>27565.0</v>
      </c>
      <c r="N91" s="34" t="s">
        <v>69</v>
      </c>
      <c r="O91" s="33" t="n">
        <f>23825</f>
        <v>23825.0</v>
      </c>
      <c r="P91" s="34" t="s">
        <v>50</v>
      </c>
      <c r="Q91" s="33" t="n">
        <f>24280</f>
        <v>24280.0</v>
      </c>
      <c r="R91" s="34" t="s">
        <v>50</v>
      </c>
      <c r="S91" s="35" t="n">
        <f>26406.39</f>
        <v>26406.39</v>
      </c>
      <c r="T91" s="32" t="n">
        <f>91904571</f>
        <v>9.1904571E7</v>
      </c>
      <c r="U91" s="32" t="n">
        <f>608969</f>
        <v>608969.0</v>
      </c>
      <c r="V91" s="32" t="n">
        <f>2411308245648</f>
        <v>2.411308245648E12</v>
      </c>
      <c r="W91" s="32" t="n">
        <f>15929813473</f>
        <v>1.5929813473E10</v>
      </c>
      <c r="X91" s="36" t="n">
        <f>18</f>
        <v>18.0</v>
      </c>
    </row>
    <row r="92">
      <c r="A92" s="27" t="s">
        <v>42</v>
      </c>
      <c r="B92" s="27" t="s">
        <v>318</v>
      </c>
      <c r="C92" s="27" t="s">
        <v>319</v>
      </c>
      <c r="D92" s="27" t="s">
        <v>320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585</f>
        <v>585.0</v>
      </c>
      <c r="L92" s="34" t="s">
        <v>48</v>
      </c>
      <c r="M92" s="33" t="n">
        <f>611</f>
        <v>611.0</v>
      </c>
      <c r="N92" s="34" t="s">
        <v>50</v>
      </c>
      <c r="O92" s="33" t="n">
        <f>569</f>
        <v>569.0</v>
      </c>
      <c r="P92" s="34" t="s">
        <v>79</v>
      </c>
      <c r="Q92" s="33" t="n">
        <f>605</f>
        <v>605.0</v>
      </c>
      <c r="R92" s="34" t="s">
        <v>50</v>
      </c>
      <c r="S92" s="35" t="n">
        <f>582.17</f>
        <v>582.17</v>
      </c>
      <c r="T92" s="32" t="n">
        <f>20175755</f>
        <v>2.0175755E7</v>
      </c>
      <c r="U92" s="32" t="n">
        <f>3917408</f>
        <v>3917408.0</v>
      </c>
      <c r="V92" s="32" t="n">
        <f>11802764281</f>
        <v>1.1802764281E10</v>
      </c>
      <c r="W92" s="32" t="n">
        <f>2286920885</f>
        <v>2.286920885E9</v>
      </c>
      <c r="X92" s="36" t="n">
        <f>18</f>
        <v>18.0</v>
      </c>
    </row>
    <row r="93">
      <c r="A93" s="27" t="s">
        <v>42</v>
      </c>
      <c r="B93" s="27" t="s">
        <v>321</v>
      </c>
      <c r="C93" s="27" t="s">
        <v>322</v>
      </c>
      <c r="D93" s="27" t="s">
        <v>323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10.0</v>
      </c>
      <c r="K93" s="33" t="n">
        <f>5838</f>
        <v>5838.0</v>
      </c>
      <c r="L93" s="34" t="s">
        <v>48</v>
      </c>
      <c r="M93" s="33" t="n">
        <f>7880</f>
        <v>7880.0</v>
      </c>
      <c r="N93" s="34" t="s">
        <v>204</v>
      </c>
      <c r="O93" s="33" t="n">
        <f>5460</f>
        <v>5460.0</v>
      </c>
      <c r="P93" s="34" t="s">
        <v>48</v>
      </c>
      <c r="Q93" s="33" t="n">
        <f>7059</f>
        <v>7059.0</v>
      </c>
      <c r="R93" s="34" t="s">
        <v>50</v>
      </c>
      <c r="S93" s="35" t="n">
        <f>6776.11</f>
        <v>6776.11</v>
      </c>
      <c r="T93" s="32" t="n">
        <f>782810</f>
        <v>782810.0</v>
      </c>
      <c r="U93" s="32" t="n">
        <f>550</f>
        <v>550.0</v>
      </c>
      <c r="V93" s="32" t="n">
        <f>5400111330</f>
        <v>5.40011133E9</v>
      </c>
      <c r="W93" s="32" t="n">
        <f>4197280</f>
        <v>4197280.0</v>
      </c>
      <c r="X93" s="36" t="n">
        <f>18</f>
        <v>18.0</v>
      </c>
    </row>
    <row r="94">
      <c r="A94" s="27" t="s">
        <v>42</v>
      </c>
      <c r="B94" s="27" t="s">
        <v>324</v>
      </c>
      <c r="C94" s="27" t="s">
        <v>325</v>
      </c>
      <c r="D94" s="27" t="s">
        <v>326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10.0</v>
      </c>
      <c r="K94" s="33" t="n">
        <f>10100</f>
        <v>10100.0</v>
      </c>
      <c r="L94" s="34" t="s">
        <v>48</v>
      </c>
      <c r="M94" s="33" t="n">
        <f>10210</f>
        <v>10210.0</v>
      </c>
      <c r="N94" s="34" t="s">
        <v>48</v>
      </c>
      <c r="O94" s="33" t="n">
        <f>7997</f>
        <v>7997.0</v>
      </c>
      <c r="P94" s="34" t="s">
        <v>204</v>
      </c>
      <c r="Q94" s="33" t="n">
        <f>8494</f>
        <v>8494.0</v>
      </c>
      <c r="R94" s="34" t="s">
        <v>50</v>
      </c>
      <c r="S94" s="35" t="n">
        <f>8933.11</f>
        <v>8933.11</v>
      </c>
      <c r="T94" s="32" t="n">
        <f>117630</f>
        <v>117630.0</v>
      </c>
      <c r="U94" s="32" t="str">
        <f>"－"</f>
        <v>－</v>
      </c>
      <c r="V94" s="32" t="n">
        <f>1045516810</f>
        <v>1.04551681E9</v>
      </c>
      <c r="W94" s="32" t="str">
        <f>"－"</f>
        <v>－</v>
      </c>
      <c r="X94" s="36" t="n">
        <f>18</f>
        <v>18.0</v>
      </c>
    </row>
    <row r="95">
      <c r="A95" s="27" t="s">
        <v>42</v>
      </c>
      <c r="B95" s="27" t="s">
        <v>327</v>
      </c>
      <c r="C95" s="27" t="s">
        <v>328</v>
      </c>
      <c r="D95" s="27" t="s">
        <v>329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38130</f>
        <v>38130.0</v>
      </c>
      <c r="L95" s="34" t="s">
        <v>48</v>
      </c>
      <c r="M95" s="33" t="n">
        <f>38700</f>
        <v>38700.0</v>
      </c>
      <c r="N95" s="34" t="s">
        <v>236</v>
      </c>
      <c r="O95" s="33" t="n">
        <f>37470</f>
        <v>37470.0</v>
      </c>
      <c r="P95" s="34" t="s">
        <v>48</v>
      </c>
      <c r="Q95" s="33" t="n">
        <f>38180</f>
        <v>38180.0</v>
      </c>
      <c r="R95" s="34" t="s">
        <v>50</v>
      </c>
      <c r="S95" s="35" t="n">
        <f>38193.33</f>
        <v>38193.33</v>
      </c>
      <c r="T95" s="32" t="n">
        <f>87695</f>
        <v>87695.0</v>
      </c>
      <c r="U95" s="32" t="n">
        <f>48682</f>
        <v>48682.0</v>
      </c>
      <c r="V95" s="32" t="n">
        <f>3336120518</f>
        <v>3.336120518E9</v>
      </c>
      <c r="W95" s="32" t="n">
        <f>1853110518</f>
        <v>1.853110518E9</v>
      </c>
      <c r="X95" s="36" t="n">
        <f>18</f>
        <v>18.0</v>
      </c>
    </row>
    <row r="96">
      <c r="A96" s="27" t="s">
        <v>42</v>
      </c>
      <c r="B96" s="27" t="s">
        <v>330</v>
      </c>
      <c r="C96" s="27" t="s">
        <v>331</v>
      </c>
      <c r="D96" s="27" t="s">
        <v>332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3080</f>
        <v>3080.0</v>
      </c>
      <c r="L96" s="34" t="s">
        <v>48</v>
      </c>
      <c r="M96" s="33" t="n">
        <f>3155</f>
        <v>3155.0</v>
      </c>
      <c r="N96" s="34" t="s">
        <v>69</v>
      </c>
      <c r="O96" s="33" t="n">
        <f>2936</f>
        <v>2936.0</v>
      </c>
      <c r="P96" s="34" t="s">
        <v>50</v>
      </c>
      <c r="Q96" s="33" t="n">
        <f>2975</f>
        <v>2975.0</v>
      </c>
      <c r="R96" s="34" t="s">
        <v>50</v>
      </c>
      <c r="S96" s="35" t="n">
        <f>3091.94</f>
        <v>3091.94</v>
      </c>
      <c r="T96" s="32" t="n">
        <f>212683</f>
        <v>212683.0</v>
      </c>
      <c r="U96" s="32" t="n">
        <f>82673</f>
        <v>82673.0</v>
      </c>
      <c r="V96" s="32" t="n">
        <f>650569322</f>
        <v>6.50569322E8</v>
      </c>
      <c r="W96" s="32" t="n">
        <f>250133950</f>
        <v>2.5013395E8</v>
      </c>
      <c r="X96" s="36" t="n">
        <f>18</f>
        <v>18.0</v>
      </c>
    </row>
    <row r="97">
      <c r="A97" s="27" t="s">
        <v>42</v>
      </c>
      <c r="B97" s="27" t="s">
        <v>333</v>
      </c>
      <c r="C97" s="27" t="s">
        <v>334</v>
      </c>
      <c r="D97" s="27" t="s">
        <v>335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281.4</f>
        <v>281.4</v>
      </c>
      <c r="L97" s="34" t="s">
        <v>48</v>
      </c>
      <c r="M97" s="33" t="n">
        <f>296.5</f>
        <v>296.5</v>
      </c>
      <c r="N97" s="34" t="s">
        <v>69</v>
      </c>
      <c r="O97" s="33" t="n">
        <f>256.2</f>
        <v>256.2</v>
      </c>
      <c r="P97" s="34" t="s">
        <v>50</v>
      </c>
      <c r="Q97" s="33" t="n">
        <f>261</f>
        <v>261.0</v>
      </c>
      <c r="R97" s="34" t="s">
        <v>50</v>
      </c>
      <c r="S97" s="35" t="n">
        <f>283.88</f>
        <v>283.88</v>
      </c>
      <c r="T97" s="32" t="n">
        <f>696825240</f>
        <v>6.9682524E8</v>
      </c>
      <c r="U97" s="32" t="n">
        <f>17619510</f>
        <v>1.761951E7</v>
      </c>
      <c r="V97" s="32" t="n">
        <f>196587298459</f>
        <v>1.96587298459E11</v>
      </c>
      <c r="W97" s="32" t="n">
        <f>4935841533</f>
        <v>4.935841533E9</v>
      </c>
      <c r="X97" s="36" t="n">
        <f>18</f>
        <v>18.0</v>
      </c>
    </row>
    <row r="98">
      <c r="A98" s="27" t="s">
        <v>42</v>
      </c>
      <c r="B98" s="27" t="s">
        <v>336</v>
      </c>
      <c r="C98" s="27" t="s">
        <v>337</v>
      </c>
      <c r="D98" s="27" t="s">
        <v>338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1549.5</f>
        <v>1549.5</v>
      </c>
      <c r="L98" s="34" t="s">
        <v>48</v>
      </c>
      <c r="M98" s="33" t="n">
        <f>1621</f>
        <v>1621.0</v>
      </c>
      <c r="N98" s="34" t="s">
        <v>50</v>
      </c>
      <c r="O98" s="33" t="n">
        <f>1515</f>
        <v>1515.0</v>
      </c>
      <c r="P98" s="34" t="s">
        <v>79</v>
      </c>
      <c r="Q98" s="33" t="n">
        <f>1608.5</f>
        <v>1608.5</v>
      </c>
      <c r="R98" s="34" t="s">
        <v>50</v>
      </c>
      <c r="S98" s="35" t="n">
        <f>1546.03</f>
        <v>1546.03</v>
      </c>
      <c r="T98" s="32" t="n">
        <f>9410900</f>
        <v>9410900.0</v>
      </c>
      <c r="U98" s="32" t="n">
        <f>111870</f>
        <v>111870.0</v>
      </c>
      <c r="V98" s="32" t="n">
        <f>14641110485</f>
        <v>1.4641110485E10</v>
      </c>
      <c r="W98" s="32" t="n">
        <f>173962310</f>
        <v>1.7396231E8</v>
      </c>
      <c r="X98" s="36" t="n">
        <f>18</f>
        <v>18.0</v>
      </c>
    </row>
    <row r="99">
      <c r="A99" s="27" t="s">
        <v>42</v>
      </c>
      <c r="B99" s="27" t="s">
        <v>339</v>
      </c>
      <c r="C99" s="27" t="s">
        <v>340</v>
      </c>
      <c r="D99" s="27" t="s">
        <v>341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1850</f>
        <v>1850.0</v>
      </c>
      <c r="L99" s="34" t="s">
        <v>48</v>
      </c>
      <c r="M99" s="33" t="n">
        <f>1880</f>
        <v>1880.0</v>
      </c>
      <c r="N99" s="34" t="s">
        <v>61</v>
      </c>
      <c r="O99" s="33" t="n">
        <f>1805</f>
        <v>1805.0</v>
      </c>
      <c r="P99" s="34" t="s">
        <v>50</v>
      </c>
      <c r="Q99" s="33" t="n">
        <f>1805</f>
        <v>1805.0</v>
      </c>
      <c r="R99" s="34" t="s">
        <v>50</v>
      </c>
      <c r="S99" s="35" t="n">
        <f>1842.73</f>
        <v>1842.73</v>
      </c>
      <c r="T99" s="32" t="n">
        <f>1080</f>
        <v>1080.0</v>
      </c>
      <c r="U99" s="32" t="str">
        <f>"－"</f>
        <v>－</v>
      </c>
      <c r="V99" s="32" t="n">
        <f>1986520</f>
        <v>1986520.0</v>
      </c>
      <c r="W99" s="32" t="str">
        <f>"－"</f>
        <v>－</v>
      </c>
      <c r="X99" s="36" t="n">
        <f>13</f>
        <v>13.0</v>
      </c>
    </row>
    <row r="100">
      <c r="A100" s="27" t="s">
        <v>42</v>
      </c>
      <c r="B100" s="27" t="s">
        <v>342</v>
      </c>
      <c r="C100" s="27" t="s">
        <v>343</v>
      </c>
      <c r="D100" s="27" t="s">
        <v>344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2200</f>
        <v>2200.0</v>
      </c>
      <c r="L100" s="34" t="s">
        <v>48</v>
      </c>
      <c r="M100" s="33" t="n">
        <f>2200</f>
        <v>2200.0</v>
      </c>
      <c r="N100" s="34" t="s">
        <v>48</v>
      </c>
      <c r="O100" s="33" t="n">
        <f>2090</f>
        <v>2090.0</v>
      </c>
      <c r="P100" s="34" t="s">
        <v>50</v>
      </c>
      <c r="Q100" s="33" t="n">
        <f>2100</f>
        <v>2100.0</v>
      </c>
      <c r="R100" s="34" t="s">
        <v>50</v>
      </c>
      <c r="S100" s="35" t="n">
        <f>2149</f>
        <v>2149.0</v>
      </c>
      <c r="T100" s="32" t="n">
        <f>15955</f>
        <v>15955.0</v>
      </c>
      <c r="U100" s="32" t="n">
        <f>1</f>
        <v>1.0</v>
      </c>
      <c r="V100" s="32" t="n">
        <f>34368404</f>
        <v>3.4368404E7</v>
      </c>
      <c r="W100" s="32" t="n">
        <f>2150</f>
        <v>2150.0</v>
      </c>
      <c r="X100" s="36" t="n">
        <f>18</f>
        <v>18.0</v>
      </c>
    </row>
    <row r="101">
      <c r="A101" s="27" t="s">
        <v>42</v>
      </c>
      <c r="B101" s="27" t="s">
        <v>345</v>
      </c>
      <c r="C101" s="27" t="s">
        <v>346</v>
      </c>
      <c r="D101" s="27" t="s">
        <v>347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24895</f>
        <v>24895.0</v>
      </c>
      <c r="L101" s="34" t="s">
        <v>48</v>
      </c>
      <c r="M101" s="33" t="n">
        <f>25280</f>
        <v>25280.0</v>
      </c>
      <c r="N101" s="34" t="s">
        <v>49</v>
      </c>
      <c r="O101" s="33" t="n">
        <f>24300</f>
        <v>24300.0</v>
      </c>
      <c r="P101" s="34" t="s">
        <v>50</v>
      </c>
      <c r="Q101" s="33" t="n">
        <f>24470</f>
        <v>24470.0</v>
      </c>
      <c r="R101" s="34" t="s">
        <v>50</v>
      </c>
      <c r="S101" s="35" t="n">
        <f>24908.06</f>
        <v>24908.06</v>
      </c>
      <c r="T101" s="32" t="n">
        <f>175700</f>
        <v>175700.0</v>
      </c>
      <c r="U101" s="32" t="n">
        <f>42819</f>
        <v>42819.0</v>
      </c>
      <c r="V101" s="32" t="n">
        <f>4368186870</f>
        <v>4.36818687E9</v>
      </c>
      <c r="W101" s="32" t="n">
        <f>1063860395</f>
        <v>1.063860395E9</v>
      </c>
      <c r="X101" s="36" t="n">
        <f>18</f>
        <v>18.0</v>
      </c>
    </row>
    <row r="102">
      <c r="A102" s="27" t="s">
        <v>42</v>
      </c>
      <c r="B102" s="27" t="s">
        <v>348</v>
      </c>
      <c r="C102" s="27" t="s">
        <v>349</v>
      </c>
      <c r="D102" s="27" t="s">
        <v>350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2256</f>
        <v>2256.0</v>
      </c>
      <c r="L102" s="34" t="s">
        <v>48</v>
      </c>
      <c r="M102" s="33" t="n">
        <f>2305</f>
        <v>2305.0</v>
      </c>
      <c r="N102" s="34" t="s">
        <v>49</v>
      </c>
      <c r="O102" s="33" t="n">
        <f>2215</f>
        <v>2215.0</v>
      </c>
      <c r="P102" s="34" t="s">
        <v>50</v>
      </c>
      <c r="Q102" s="33" t="n">
        <f>2235</f>
        <v>2235.0</v>
      </c>
      <c r="R102" s="34" t="s">
        <v>50</v>
      </c>
      <c r="S102" s="35" t="n">
        <f>2271.78</f>
        <v>2271.78</v>
      </c>
      <c r="T102" s="32" t="n">
        <f>270228</f>
        <v>270228.0</v>
      </c>
      <c r="U102" s="32" t="n">
        <f>220293</f>
        <v>220293.0</v>
      </c>
      <c r="V102" s="32" t="n">
        <f>613084276</f>
        <v>6.13084276E8</v>
      </c>
      <c r="W102" s="32" t="n">
        <f>499999022</f>
        <v>4.99999022E8</v>
      </c>
      <c r="X102" s="36" t="n">
        <f>18</f>
        <v>18.0</v>
      </c>
    </row>
    <row r="103">
      <c r="A103" s="27" t="s">
        <v>42</v>
      </c>
      <c r="B103" s="27" t="s">
        <v>351</v>
      </c>
      <c r="C103" s="27" t="s">
        <v>352</v>
      </c>
      <c r="D103" s="27" t="s">
        <v>353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25250</f>
        <v>25250.0</v>
      </c>
      <c r="L103" s="34" t="s">
        <v>48</v>
      </c>
      <c r="M103" s="33" t="n">
        <f>25800</f>
        <v>25800.0</v>
      </c>
      <c r="N103" s="34" t="s">
        <v>49</v>
      </c>
      <c r="O103" s="33" t="n">
        <f>24790</f>
        <v>24790.0</v>
      </c>
      <c r="P103" s="34" t="s">
        <v>50</v>
      </c>
      <c r="Q103" s="33" t="n">
        <f>25000</f>
        <v>25000.0</v>
      </c>
      <c r="R103" s="34" t="s">
        <v>50</v>
      </c>
      <c r="S103" s="35" t="n">
        <f>25430.83</f>
        <v>25430.83</v>
      </c>
      <c r="T103" s="32" t="n">
        <f>22383</f>
        <v>22383.0</v>
      </c>
      <c r="U103" s="32" t="n">
        <f>16580</f>
        <v>16580.0</v>
      </c>
      <c r="V103" s="32" t="n">
        <f>566429678</f>
        <v>5.66429678E8</v>
      </c>
      <c r="W103" s="32" t="n">
        <f>419541388</f>
        <v>4.19541388E8</v>
      </c>
      <c r="X103" s="36" t="n">
        <f>18</f>
        <v>18.0</v>
      </c>
    </row>
    <row r="104">
      <c r="A104" s="27" t="s">
        <v>42</v>
      </c>
      <c r="B104" s="27" t="s">
        <v>354</v>
      </c>
      <c r="C104" s="27" t="s">
        <v>355</v>
      </c>
      <c r="D104" s="27" t="s">
        <v>356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10.0</v>
      </c>
      <c r="K104" s="33" t="n">
        <f>1735</f>
        <v>1735.0</v>
      </c>
      <c r="L104" s="34" t="s">
        <v>48</v>
      </c>
      <c r="M104" s="33" t="n">
        <f>1754</f>
        <v>1754.0</v>
      </c>
      <c r="N104" s="34" t="s">
        <v>50</v>
      </c>
      <c r="O104" s="33" t="n">
        <f>1692.5</f>
        <v>1692.5</v>
      </c>
      <c r="P104" s="34" t="s">
        <v>232</v>
      </c>
      <c r="Q104" s="33" t="n">
        <f>1730</f>
        <v>1730.0</v>
      </c>
      <c r="R104" s="34" t="s">
        <v>50</v>
      </c>
      <c r="S104" s="35" t="n">
        <f>1718.86</f>
        <v>1718.86</v>
      </c>
      <c r="T104" s="32" t="n">
        <f>1064220</f>
        <v>1064220.0</v>
      </c>
      <c r="U104" s="32" t="n">
        <f>315010</f>
        <v>315010.0</v>
      </c>
      <c r="V104" s="32" t="n">
        <f>1836250540</f>
        <v>1.83625054E9</v>
      </c>
      <c r="W104" s="32" t="n">
        <f>543653825</f>
        <v>5.43653825E8</v>
      </c>
      <c r="X104" s="36" t="n">
        <f>18</f>
        <v>18.0</v>
      </c>
    </row>
    <row r="105">
      <c r="A105" s="27" t="s">
        <v>42</v>
      </c>
      <c r="B105" s="27" t="s">
        <v>357</v>
      </c>
      <c r="C105" s="27" t="s">
        <v>358</v>
      </c>
      <c r="D105" s="27" t="s">
        <v>359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2270</f>
        <v>2270.0</v>
      </c>
      <c r="L105" s="34" t="s">
        <v>69</v>
      </c>
      <c r="M105" s="33" t="n">
        <f>2320</f>
        <v>2320.0</v>
      </c>
      <c r="N105" s="34" t="s">
        <v>69</v>
      </c>
      <c r="O105" s="33" t="n">
        <f>2160.5</f>
        <v>2160.5</v>
      </c>
      <c r="P105" s="34" t="s">
        <v>50</v>
      </c>
      <c r="Q105" s="33" t="n">
        <f>2161.5</f>
        <v>2161.5</v>
      </c>
      <c r="R105" s="34" t="s">
        <v>50</v>
      </c>
      <c r="S105" s="35" t="n">
        <f>2234.25</f>
        <v>2234.25</v>
      </c>
      <c r="T105" s="32" t="n">
        <f>16190</f>
        <v>16190.0</v>
      </c>
      <c r="U105" s="32" t="str">
        <f>"－"</f>
        <v>－</v>
      </c>
      <c r="V105" s="32" t="n">
        <f>35027880</f>
        <v>3.502788E7</v>
      </c>
      <c r="W105" s="32" t="str">
        <f>"－"</f>
        <v>－</v>
      </c>
      <c r="X105" s="36" t="n">
        <f>4</f>
        <v>4.0</v>
      </c>
    </row>
    <row r="106">
      <c r="A106" s="27" t="s">
        <v>42</v>
      </c>
      <c r="B106" s="27" t="s">
        <v>360</v>
      </c>
      <c r="C106" s="27" t="s">
        <v>361</v>
      </c>
      <c r="D106" s="27" t="s">
        <v>362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1763</f>
        <v>1763.0</v>
      </c>
      <c r="L106" s="34" t="s">
        <v>48</v>
      </c>
      <c r="M106" s="33" t="n">
        <f>1779</f>
        <v>1779.0</v>
      </c>
      <c r="N106" s="34" t="s">
        <v>50</v>
      </c>
      <c r="O106" s="33" t="n">
        <f>1715.5</f>
        <v>1715.5</v>
      </c>
      <c r="P106" s="34" t="s">
        <v>103</v>
      </c>
      <c r="Q106" s="33" t="n">
        <f>1756</f>
        <v>1756.0</v>
      </c>
      <c r="R106" s="34" t="s">
        <v>50</v>
      </c>
      <c r="S106" s="35" t="n">
        <f>1745.67</f>
        <v>1745.67</v>
      </c>
      <c r="T106" s="32" t="n">
        <f>4830360</f>
        <v>4830360.0</v>
      </c>
      <c r="U106" s="32" t="n">
        <f>3392610</f>
        <v>3392610.0</v>
      </c>
      <c r="V106" s="32" t="n">
        <f>8410738960</f>
        <v>8.41073896E9</v>
      </c>
      <c r="W106" s="32" t="n">
        <f>5900794800</f>
        <v>5.9007948E9</v>
      </c>
      <c r="X106" s="36" t="n">
        <f>18</f>
        <v>18.0</v>
      </c>
    </row>
    <row r="107">
      <c r="A107" s="27" t="s">
        <v>42</v>
      </c>
      <c r="B107" s="27" t="s">
        <v>363</v>
      </c>
      <c r="C107" s="27" t="s">
        <v>364</v>
      </c>
      <c r="D107" s="27" t="s">
        <v>365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25170</f>
        <v>25170.0</v>
      </c>
      <c r="L107" s="34" t="s">
        <v>48</v>
      </c>
      <c r="M107" s="33" t="n">
        <f>25655</f>
        <v>25655.0</v>
      </c>
      <c r="N107" s="34" t="s">
        <v>48</v>
      </c>
      <c r="O107" s="33" t="n">
        <f>24590</f>
        <v>24590.0</v>
      </c>
      <c r="P107" s="34" t="s">
        <v>50</v>
      </c>
      <c r="Q107" s="33" t="n">
        <f>24600</f>
        <v>24600.0</v>
      </c>
      <c r="R107" s="34" t="s">
        <v>50</v>
      </c>
      <c r="S107" s="35" t="n">
        <f>25186.18</f>
        <v>25186.18</v>
      </c>
      <c r="T107" s="32" t="n">
        <f>3707</f>
        <v>3707.0</v>
      </c>
      <c r="U107" s="32" t="n">
        <f>2</f>
        <v>2.0</v>
      </c>
      <c r="V107" s="32" t="n">
        <f>93480155</f>
        <v>9.3480155E7</v>
      </c>
      <c r="W107" s="32" t="n">
        <f>50305</f>
        <v>50305.0</v>
      </c>
      <c r="X107" s="36" t="n">
        <f>17</f>
        <v>17.0</v>
      </c>
    </row>
    <row r="108">
      <c r="A108" s="27" t="s">
        <v>42</v>
      </c>
      <c r="B108" s="27" t="s">
        <v>366</v>
      </c>
      <c r="C108" s="27" t="s">
        <v>367</v>
      </c>
      <c r="D108" s="27" t="s">
        <v>368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521.2</f>
        <v>521.2</v>
      </c>
      <c r="L108" s="34" t="s">
        <v>48</v>
      </c>
      <c r="M108" s="33" t="n">
        <f>530</f>
        <v>530.0</v>
      </c>
      <c r="N108" s="34" t="s">
        <v>60</v>
      </c>
      <c r="O108" s="33" t="n">
        <f>500.3</f>
        <v>500.3</v>
      </c>
      <c r="P108" s="34" t="s">
        <v>50</v>
      </c>
      <c r="Q108" s="33" t="n">
        <f>520</f>
        <v>520.0</v>
      </c>
      <c r="R108" s="34" t="s">
        <v>50</v>
      </c>
      <c r="S108" s="35" t="n">
        <f>519.14</f>
        <v>519.14</v>
      </c>
      <c r="T108" s="32" t="n">
        <f>688190</f>
        <v>688190.0</v>
      </c>
      <c r="U108" s="32" t="n">
        <f>3470</f>
        <v>3470.0</v>
      </c>
      <c r="V108" s="32" t="n">
        <f>353219774</f>
        <v>3.53219774E8</v>
      </c>
      <c r="W108" s="32" t="n">
        <f>1794252</f>
        <v>1794252.0</v>
      </c>
      <c r="X108" s="36" t="n">
        <f>18</f>
        <v>18.0</v>
      </c>
    </row>
    <row r="109">
      <c r="A109" s="27" t="s">
        <v>42</v>
      </c>
      <c r="B109" s="27" t="s">
        <v>369</v>
      </c>
      <c r="C109" s="27" t="s">
        <v>370</v>
      </c>
      <c r="D109" s="27" t="s">
        <v>371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100.0</v>
      </c>
      <c r="K109" s="33" t="n">
        <f>401.9</f>
        <v>401.9</v>
      </c>
      <c r="L109" s="34" t="s">
        <v>48</v>
      </c>
      <c r="M109" s="33" t="n">
        <f>418.9</f>
        <v>418.9</v>
      </c>
      <c r="N109" s="34" t="s">
        <v>236</v>
      </c>
      <c r="O109" s="33" t="n">
        <f>388.5</f>
        <v>388.5</v>
      </c>
      <c r="P109" s="34" t="s">
        <v>232</v>
      </c>
      <c r="Q109" s="33" t="n">
        <f>393.8</f>
        <v>393.8</v>
      </c>
      <c r="R109" s="34" t="s">
        <v>50</v>
      </c>
      <c r="S109" s="35" t="n">
        <f>399.98</f>
        <v>399.98</v>
      </c>
      <c r="T109" s="32" t="n">
        <f>242717800</f>
        <v>2.427178E8</v>
      </c>
      <c r="U109" s="32" t="n">
        <f>96977900</f>
        <v>9.69779E7</v>
      </c>
      <c r="V109" s="32" t="n">
        <f>96751571942</f>
        <v>9.6751571942E10</v>
      </c>
      <c r="W109" s="32" t="n">
        <f>38699940872</f>
        <v>3.8699940872E10</v>
      </c>
      <c r="X109" s="36" t="n">
        <f>18</f>
        <v>18.0</v>
      </c>
    </row>
    <row r="110">
      <c r="A110" s="27" t="s">
        <v>42</v>
      </c>
      <c r="B110" s="27" t="s">
        <v>372</v>
      </c>
      <c r="C110" s="27" t="s">
        <v>373</v>
      </c>
      <c r="D110" s="27" t="s">
        <v>374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36130</f>
        <v>36130.0</v>
      </c>
      <c r="L110" s="34" t="s">
        <v>48</v>
      </c>
      <c r="M110" s="33" t="n">
        <f>36440</f>
        <v>36440.0</v>
      </c>
      <c r="N110" s="34" t="s">
        <v>68</v>
      </c>
      <c r="O110" s="33" t="n">
        <f>35250</f>
        <v>35250.0</v>
      </c>
      <c r="P110" s="34" t="s">
        <v>157</v>
      </c>
      <c r="Q110" s="33" t="n">
        <f>36060</f>
        <v>36060.0</v>
      </c>
      <c r="R110" s="34" t="s">
        <v>50</v>
      </c>
      <c r="S110" s="35" t="n">
        <f>35740.56</f>
        <v>35740.56</v>
      </c>
      <c r="T110" s="32" t="n">
        <f>5650</f>
        <v>5650.0</v>
      </c>
      <c r="U110" s="32" t="n">
        <f>33</f>
        <v>33.0</v>
      </c>
      <c r="V110" s="32" t="n">
        <f>203107510</f>
        <v>2.0310751E8</v>
      </c>
      <c r="W110" s="32" t="n">
        <f>1185160</f>
        <v>1185160.0</v>
      </c>
      <c r="X110" s="36" t="n">
        <f>18</f>
        <v>18.0</v>
      </c>
    </row>
    <row r="111">
      <c r="A111" s="27" t="s">
        <v>42</v>
      </c>
      <c r="B111" s="27" t="s">
        <v>375</v>
      </c>
      <c r="C111" s="27" t="s">
        <v>376</v>
      </c>
      <c r="D111" s="27" t="s">
        <v>377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20500</f>
        <v>20500.0</v>
      </c>
      <c r="L111" s="34" t="s">
        <v>48</v>
      </c>
      <c r="M111" s="33" t="n">
        <f>21785</f>
        <v>21785.0</v>
      </c>
      <c r="N111" s="34" t="s">
        <v>156</v>
      </c>
      <c r="O111" s="33" t="n">
        <f>20285</f>
        <v>20285.0</v>
      </c>
      <c r="P111" s="34" t="s">
        <v>68</v>
      </c>
      <c r="Q111" s="33" t="n">
        <f>21030</f>
        <v>21030.0</v>
      </c>
      <c r="R111" s="34" t="s">
        <v>50</v>
      </c>
      <c r="S111" s="35" t="n">
        <f>20956.11</f>
        <v>20956.11</v>
      </c>
      <c r="T111" s="32" t="n">
        <f>27078</f>
        <v>27078.0</v>
      </c>
      <c r="U111" s="32" t="n">
        <f>10015</f>
        <v>10015.0</v>
      </c>
      <c r="V111" s="32" t="n">
        <f>559421658</f>
        <v>5.59421658E8</v>
      </c>
      <c r="W111" s="32" t="n">
        <f>205478638</f>
        <v>2.05478638E8</v>
      </c>
      <c r="X111" s="36" t="n">
        <f>18</f>
        <v>18.0</v>
      </c>
    </row>
    <row r="112">
      <c r="A112" s="27" t="s">
        <v>42</v>
      </c>
      <c r="B112" s="27" t="s">
        <v>378</v>
      </c>
      <c r="C112" s="27" t="s">
        <v>379</v>
      </c>
      <c r="D112" s="27" t="s">
        <v>380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1.0</v>
      </c>
      <c r="K112" s="33" t="n">
        <f>30630</f>
        <v>30630.0</v>
      </c>
      <c r="L112" s="34" t="s">
        <v>48</v>
      </c>
      <c r="M112" s="33" t="n">
        <f>31450</f>
        <v>31450.0</v>
      </c>
      <c r="N112" s="34" t="s">
        <v>60</v>
      </c>
      <c r="O112" s="33" t="n">
        <f>30420</f>
        <v>30420.0</v>
      </c>
      <c r="P112" s="34" t="s">
        <v>99</v>
      </c>
      <c r="Q112" s="33" t="n">
        <f>30560</f>
        <v>30560.0</v>
      </c>
      <c r="R112" s="34" t="s">
        <v>50</v>
      </c>
      <c r="S112" s="35" t="n">
        <f>30902.78</f>
        <v>30902.78</v>
      </c>
      <c r="T112" s="32" t="n">
        <f>5656</f>
        <v>5656.0</v>
      </c>
      <c r="U112" s="32" t="str">
        <f>"－"</f>
        <v>－</v>
      </c>
      <c r="V112" s="32" t="n">
        <f>173823870</f>
        <v>1.7382387E8</v>
      </c>
      <c r="W112" s="32" t="str">
        <f>"－"</f>
        <v>－</v>
      </c>
      <c r="X112" s="36" t="n">
        <f>18</f>
        <v>18.0</v>
      </c>
    </row>
    <row r="113">
      <c r="A113" s="27" t="s">
        <v>42</v>
      </c>
      <c r="B113" s="27" t="s">
        <v>381</v>
      </c>
      <c r="C113" s="27" t="s">
        <v>382</v>
      </c>
      <c r="D113" s="27" t="s">
        <v>383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28315</f>
        <v>28315.0</v>
      </c>
      <c r="L113" s="34" t="s">
        <v>48</v>
      </c>
      <c r="M113" s="33" t="n">
        <f>28565</f>
        <v>28565.0</v>
      </c>
      <c r="N113" s="34" t="s">
        <v>79</v>
      </c>
      <c r="O113" s="33" t="n">
        <f>27570</f>
        <v>27570.0</v>
      </c>
      <c r="P113" s="34" t="s">
        <v>50</v>
      </c>
      <c r="Q113" s="33" t="n">
        <f>27690</f>
        <v>27690.0</v>
      </c>
      <c r="R113" s="34" t="s">
        <v>50</v>
      </c>
      <c r="S113" s="35" t="n">
        <f>28038.61</f>
        <v>28038.61</v>
      </c>
      <c r="T113" s="32" t="n">
        <f>3276</f>
        <v>3276.0</v>
      </c>
      <c r="U113" s="32" t="str">
        <f>"－"</f>
        <v>－</v>
      </c>
      <c r="V113" s="32" t="n">
        <f>91568385</f>
        <v>9.1568385E7</v>
      </c>
      <c r="W113" s="32" t="str">
        <f>"－"</f>
        <v>－</v>
      </c>
      <c r="X113" s="36" t="n">
        <f>18</f>
        <v>18.0</v>
      </c>
    </row>
    <row r="114">
      <c r="A114" s="27" t="s">
        <v>42</v>
      </c>
      <c r="B114" s="27" t="s">
        <v>384</v>
      </c>
      <c r="C114" s="27" t="s">
        <v>385</v>
      </c>
      <c r="D114" s="27" t="s">
        <v>386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26700</f>
        <v>26700.0</v>
      </c>
      <c r="L114" s="34" t="s">
        <v>48</v>
      </c>
      <c r="M114" s="33" t="n">
        <f>27100</f>
        <v>27100.0</v>
      </c>
      <c r="N114" s="34" t="s">
        <v>116</v>
      </c>
      <c r="O114" s="33" t="n">
        <f>25100</f>
        <v>25100.0</v>
      </c>
      <c r="P114" s="34" t="s">
        <v>83</v>
      </c>
      <c r="Q114" s="33" t="n">
        <f>25775</f>
        <v>25775.0</v>
      </c>
      <c r="R114" s="34" t="s">
        <v>50</v>
      </c>
      <c r="S114" s="35" t="n">
        <f>25935.83</f>
        <v>25935.83</v>
      </c>
      <c r="T114" s="32" t="n">
        <f>11180</f>
        <v>11180.0</v>
      </c>
      <c r="U114" s="32" t="n">
        <f>7</f>
        <v>7.0</v>
      </c>
      <c r="V114" s="32" t="n">
        <f>289567217</f>
        <v>2.89567217E8</v>
      </c>
      <c r="W114" s="32" t="n">
        <f>184002</f>
        <v>184002.0</v>
      </c>
      <c r="X114" s="36" t="n">
        <f>18</f>
        <v>18.0</v>
      </c>
    </row>
    <row r="115">
      <c r="A115" s="27" t="s">
        <v>42</v>
      </c>
      <c r="B115" s="27" t="s">
        <v>387</v>
      </c>
      <c r="C115" s="27" t="s">
        <v>388</v>
      </c>
      <c r="D115" s="27" t="s">
        <v>389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30510</f>
        <v>30510.0</v>
      </c>
      <c r="L115" s="34" t="s">
        <v>48</v>
      </c>
      <c r="M115" s="33" t="n">
        <f>31500</f>
        <v>31500.0</v>
      </c>
      <c r="N115" s="34" t="s">
        <v>116</v>
      </c>
      <c r="O115" s="33" t="n">
        <f>29360</f>
        <v>29360.0</v>
      </c>
      <c r="P115" s="34" t="s">
        <v>157</v>
      </c>
      <c r="Q115" s="33" t="n">
        <f>29750</f>
        <v>29750.0</v>
      </c>
      <c r="R115" s="34" t="s">
        <v>50</v>
      </c>
      <c r="S115" s="35" t="n">
        <f>30357.5</f>
        <v>30357.5</v>
      </c>
      <c r="T115" s="32" t="n">
        <f>9356</f>
        <v>9356.0</v>
      </c>
      <c r="U115" s="32" t="n">
        <f>40</f>
        <v>40.0</v>
      </c>
      <c r="V115" s="32" t="n">
        <f>282593150</f>
        <v>2.8259315E8</v>
      </c>
      <c r="W115" s="32" t="n">
        <f>1212800</f>
        <v>1212800.0</v>
      </c>
      <c r="X115" s="36" t="n">
        <f>18</f>
        <v>18.0</v>
      </c>
    </row>
    <row r="116">
      <c r="A116" s="27" t="s">
        <v>42</v>
      </c>
      <c r="B116" s="27" t="s">
        <v>390</v>
      </c>
      <c r="C116" s="27" t="s">
        <v>391</v>
      </c>
      <c r="D116" s="27" t="s">
        <v>392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27190</f>
        <v>27190.0</v>
      </c>
      <c r="L116" s="34" t="s">
        <v>48</v>
      </c>
      <c r="M116" s="33" t="n">
        <f>28930</f>
        <v>28930.0</v>
      </c>
      <c r="N116" s="34" t="s">
        <v>232</v>
      </c>
      <c r="O116" s="33" t="n">
        <f>26800</f>
        <v>26800.0</v>
      </c>
      <c r="P116" s="34" t="s">
        <v>48</v>
      </c>
      <c r="Q116" s="33" t="n">
        <f>27315</f>
        <v>27315.0</v>
      </c>
      <c r="R116" s="34" t="s">
        <v>50</v>
      </c>
      <c r="S116" s="35" t="n">
        <f>27955</f>
        <v>27955.0</v>
      </c>
      <c r="T116" s="32" t="n">
        <f>9782</f>
        <v>9782.0</v>
      </c>
      <c r="U116" s="32" t="str">
        <f>"－"</f>
        <v>－</v>
      </c>
      <c r="V116" s="32" t="n">
        <f>269310880</f>
        <v>2.6931088E8</v>
      </c>
      <c r="W116" s="32" t="str">
        <f>"－"</f>
        <v>－</v>
      </c>
      <c r="X116" s="36" t="n">
        <f>18</f>
        <v>18.0</v>
      </c>
    </row>
    <row r="117">
      <c r="A117" s="27" t="s">
        <v>42</v>
      </c>
      <c r="B117" s="27" t="s">
        <v>393</v>
      </c>
      <c r="C117" s="27" t="s">
        <v>394</v>
      </c>
      <c r="D117" s="27" t="s">
        <v>395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57520</f>
        <v>57520.0</v>
      </c>
      <c r="L117" s="34" t="s">
        <v>48</v>
      </c>
      <c r="M117" s="33" t="n">
        <f>58470</f>
        <v>58470.0</v>
      </c>
      <c r="N117" s="34" t="s">
        <v>68</v>
      </c>
      <c r="O117" s="33" t="n">
        <f>54270</f>
        <v>54270.0</v>
      </c>
      <c r="P117" s="34" t="s">
        <v>50</v>
      </c>
      <c r="Q117" s="33" t="n">
        <f>54770</f>
        <v>54770.0</v>
      </c>
      <c r="R117" s="34" t="s">
        <v>50</v>
      </c>
      <c r="S117" s="35" t="n">
        <f>57046.67</f>
        <v>57046.67</v>
      </c>
      <c r="T117" s="32" t="n">
        <f>5885</f>
        <v>5885.0</v>
      </c>
      <c r="U117" s="32" t="n">
        <f>2042</f>
        <v>2042.0</v>
      </c>
      <c r="V117" s="32" t="n">
        <f>336273297</f>
        <v>3.36273297E8</v>
      </c>
      <c r="W117" s="32" t="n">
        <f>116976267</f>
        <v>1.16976267E8</v>
      </c>
      <c r="X117" s="36" t="n">
        <f>18</f>
        <v>18.0</v>
      </c>
    </row>
    <row r="118">
      <c r="A118" s="27" t="s">
        <v>42</v>
      </c>
      <c r="B118" s="27" t="s">
        <v>396</v>
      </c>
      <c r="C118" s="27" t="s">
        <v>397</v>
      </c>
      <c r="D118" s="27" t="s">
        <v>398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38830</f>
        <v>38830.0</v>
      </c>
      <c r="L118" s="34" t="s">
        <v>48</v>
      </c>
      <c r="M118" s="33" t="n">
        <f>40380</f>
        <v>40380.0</v>
      </c>
      <c r="N118" s="34" t="s">
        <v>49</v>
      </c>
      <c r="O118" s="33" t="n">
        <f>37420</f>
        <v>37420.0</v>
      </c>
      <c r="P118" s="34" t="s">
        <v>50</v>
      </c>
      <c r="Q118" s="33" t="n">
        <f>37560</f>
        <v>37560.0</v>
      </c>
      <c r="R118" s="34" t="s">
        <v>50</v>
      </c>
      <c r="S118" s="35" t="n">
        <f>39045</f>
        <v>39045.0</v>
      </c>
      <c r="T118" s="32" t="n">
        <f>27383</f>
        <v>27383.0</v>
      </c>
      <c r="U118" s="32" t="n">
        <f>10007</f>
        <v>10007.0</v>
      </c>
      <c r="V118" s="32" t="n">
        <f>1074630125</f>
        <v>1.074630125E9</v>
      </c>
      <c r="W118" s="32" t="n">
        <f>389305745</f>
        <v>3.89305745E8</v>
      </c>
      <c r="X118" s="36" t="n">
        <f>18</f>
        <v>18.0</v>
      </c>
    </row>
    <row r="119">
      <c r="A119" s="27" t="s">
        <v>42</v>
      </c>
      <c r="B119" s="27" t="s">
        <v>399</v>
      </c>
      <c r="C119" s="27" t="s">
        <v>400</v>
      </c>
      <c r="D119" s="27" t="s">
        <v>401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37710</f>
        <v>37710.0</v>
      </c>
      <c r="L119" s="34" t="s">
        <v>48</v>
      </c>
      <c r="M119" s="33" t="n">
        <f>39840</f>
        <v>39840.0</v>
      </c>
      <c r="N119" s="34" t="s">
        <v>103</v>
      </c>
      <c r="O119" s="33" t="n">
        <f>36910</f>
        <v>36910.0</v>
      </c>
      <c r="P119" s="34" t="s">
        <v>50</v>
      </c>
      <c r="Q119" s="33" t="n">
        <f>37190</f>
        <v>37190.0</v>
      </c>
      <c r="R119" s="34" t="s">
        <v>50</v>
      </c>
      <c r="S119" s="35" t="n">
        <f>38606.11</f>
        <v>38606.11</v>
      </c>
      <c r="T119" s="32" t="n">
        <f>5227</f>
        <v>5227.0</v>
      </c>
      <c r="U119" s="32" t="n">
        <f>7</f>
        <v>7.0</v>
      </c>
      <c r="V119" s="32" t="n">
        <f>199326100</f>
        <v>1.993261E8</v>
      </c>
      <c r="W119" s="32" t="n">
        <f>269960</f>
        <v>269960.0</v>
      </c>
      <c r="X119" s="36" t="n">
        <f>18</f>
        <v>18.0</v>
      </c>
    </row>
    <row r="120">
      <c r="A120" s="27" t="s">
        <v>42</v>
      </c>
      <c r="B120" s="27" t="s">
        <v>402</v>
      </c>
      <c r="C120" s="27" t="s">
        <v>403</v>
      </c>
      <c r="D120" s="27" t="s">
        <v>404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8034</f>
        <v>8034.0</v>
      </c>
      <c r="L120" s="34" t="s">
        <v>48</v>
      </c>
      <c r="M120" s="33" t="n">
        <f>8230</f>
        <v>8230.0</v>
      </c>
      <c r="N120" s="34" t="s">
        <v>50</v>
      </c>
      <c r="O120" s="33" t="n">
        <f>7830</f>
        <v>7830.0</v>
      </c>
      <c r="P120" s="34" t="s">
        <v>232</v>
      </c>
      <c r="Q120" s="33" t="n">
        <f>8143</f>
        <v>8143.0</v>
      </c>
      <c r="R120" s="34" t="s">
        <v>50</v>
      </c>
      <c r="S120" s="35" t="n">
        <f>8018.83</f>
        <v>8018.83</v>
      </c>
      <c r="T120" s="32" t="n">
        <f>39566</f>
        <v>39566.0</v>
      </c>
      <c r="U120" s="32" t="str">
        <f>"－"</f>
        <v>－</v>
      </c>
      <c r="V120" s="32" t="n">
        <f>316833998</f>
        <v>3.16833998E8</v>
      </c>
      <c r="W120" s="32" t="str">
        <f>"－"</f>
        <v>－</v>
      </c>
      <c r="X120" s="36" t="n">
        <f>18</f>
        <v>18.0</v>
      </c>
    </row>
    <row r="121">
      <c r="A121" s="27" t="s">
        <v>42</v>
      </c>
      <c r="B121" s="27" t="s">
        <v>405</v>
      </c>
      <c r="C121" s="27" t="s">
        <v>406</v>
      </c>
      <c r="D121" s="27" t="s">
        <v>407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17900</f>
        <v>17900.0</v>
      </c>
      <c r="L121" s="34" t="s">
        <v>48</v>
      </c>
      <c r="M121" s="33" t="n">
        <f>18750</f>
        <v>18750.0</v>
      </c>
      <c r="N121" s="34" t="s">
        <v>50</v>
      </c>
      <c r="O121" s="33" t="n">
        <f>17885</f>
        <v>17885.0</v>
      </c>
      <c r="P121" s="34" t="s">
        <v>116</v>
      </c>
      <c r="Q121" s="33" t="n">
        <f>18570</f>
        <v>18570.0</v>
      </c>
      <c r="R121" s="34" t="s">
        <v>50</v>
      </c>
      <c r="S121" s="35" t="n">
        <f>18296.67</f>
        <v>18296.67</v>
      </c>
      <c r="T121" s="32" t="n">
        <f>30166</f>
        <v>30166.0</v>
      </c>
      <c r="U121" s="32" t="n">
        <f>13541</f>
        <v>13541.0</v>
      </c>
      <c r="V121" s="32" t="n">
        <f>547658481</f>
        <v>5.47658481E8</v>
      </c>
      <c r="W121" s="32" t="n">
        <f>246191826</f>
        <v>2.46191826E8</v>
      </c>
      <c r="X121" s="36" t="n">
        <f>18</f>
        <v>18.0</v>
      </c>
    </row>
    <row r="122">
      <c r="A122" s="27" t="s">
        <v>42</v>
      </c>
      <c r="B122" s="27" t="s">
        <v>408</v>
      </c>
      <c r="C122" s="27" t="s">
        <v>409</v>
      </c>
      <c r="D122" s="27" t="s">
        <v>410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78570</f>
        <v>78570.0</v>
      </c>
      <c r="L122" s="34" t="s">
        <v>48</v>
      </c>
      <c r="M122" s="33" t="n">
        <f>79840</f>
        <v>79840.0</v>
      </c>
      <c r="N122" s="34" t="s">
        <v>61</v>
      </c>
      <c r="O122" s="33" t="n">
        <f>73670</f>
        <v>73670.0</v>
      </c>
      <c r="P122" s="34" t="s">
        <v>156</v>
      </c>
      <c r="Q122" s="33" t="n">
        <f>76970</f>
        <v>76970.0</v>
      </c>
      <c r="R122" s="34" t="s">
        <v>50</v>
      </c>
      <c r="S122" s="35" t="n">
        <f>76944.44</f>
        <v>76944.44</v>
      </c>
      <c r="T122" s="32" t="n">
        <f>17486</f>
        <v>17486.0</v>
      </c>
      <c r="U122" s="32" t="n">
        <f>166</f>
        <v>166.0</v>
      </c>
      <c r="V122" s="32" t="n">
        <f>1349905980</f>
        <v>1.34990598E9</v>
      </c>
      <c r="W122" s="32" t="n">
        <f>12780400</f>
        <v>1.27804E7</v>
      </c>
      <c r="X122" s="36" t="n">
        <f>18</f>
        <v>18.0</v>
      </c>
    </row>
    <row r="123">
      <c r="A123" s="27" t="s">
        <v>42</v>
      </c>
      <c r="B123" s="27" t="s">
        <v>411</v>
      </c>
      <c r="C123" s="27" t="s">
        <v>412</v>
      </c>
      <c r="D123" s="27" t="s">
        <v>413</v>
      </c>
      <c r="E123" s="28" t="s">
        <v>46</v>
      </c>
      <c r="F123" s="29" t="s">
        <v>46</v>
      </c>
      <c r="G123" s="30" t="s">
        <v>46</v>
      </c>
      <c r="H123" s="31"/>
      <c r="I123" s="31" t="s">
        <v>414</v>
      </c>
      <c r="J123" s="32" t="n">
        <v>1.0</v>
      </c>
      <c r="K123" s="33" t="n">
        <f>9939</f>
        <v>9939.0</v>
      </c>
      <c r="L123" s="34" t="s">
        <v>48</v>
      </c>
      <c r="M123" s="33" t="n">
        <f>10250</f>
        <v>10250.0</v>
      </c>
      <c r="N123" s="34" t="s">
        <v>69</v>
      </c>
      <c r="O123" s="33" t="n">
        <f>9806</f>
        <v>9806.0</v>
      </c>
      <c r="P123" s="34" t="s">
        <v>116</v>
      </c>
      <c r="Q123" s="33" t="n">
        <f>9922</f>
        <v>9922.0</v>
      </c>
      <c r="R123" s="34" t="s">
        <v>50</v>
      </c>
      <c r="S123" s="35" t="n">
        <f>10043.69</f>
        <v>10043.69</v>
      </c>
      <c r="T123" s="32" t="n">
        <f>1712</f>
        <v>1712.0</v>
      </c>
      <c r="U123" s="32" t="str">
        <f>"－"</f>
        <v>－</v>
      </c>
      <c r="V123" s="32" t="n">
        <f>17221036</f>
        <v>1.7221036E7</v>
      </c>
      <c r="W123" s="32" t="str">
        <f>"－"</f>
        <v>－</v>
      </c>
      <c r="X123" s="36" t="n">
        <f>16</f>
        <v>16.0</v>
      </c>
    </row>
    <row r="124">
      <c r="A124" s="27" t="s">
        <v>42</v>
      </c>
      <c r="B124" s="27" t="s">
        <v>415</v>
      </c>
      <c r="C124" s="27" t="s">
        <v>416</v>
      </c>
      <c r="D124" s="27" t="s">
        <v>417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31820</f>
        <v>31820.0</v>
      </c>
      <c r="L124" s="34" t="s">
        <v>48</v>
      </c>
      <c r="M124" s="33" t="n">
        <f>32270</f>
        <v>32270.0</v>
      </c>
      <c r="N124" s="34" t="s">
        <v>68</v>
      </c>
      <c r="O124" s="33" t="n">
        <f>30230</f>
        <v>30230.0</v>
      </c>
      <c r="P124" s="34" t="s">
        <v>50</v>
      </c>
      <c r="Q124" s="33" t="n">
        <f>30440</f>
        <v>30440.0</v>
      </c>
      <c r="R124" s="34" t="s">
        <v>50</v>
      </c>
      <c r="S124" s="35" t="n">
        <f>31533.89</f>
        <v>31533.89</v>
      </c>
      <c r="T124" s="32" t="n">
        <f>2978</f>
        <v>2978.0</v>
      </c>
      <c r="U124" s="32" t="n">
        <f>17</f>
        <v>17.0</v>
      </c>
      <c r="V124" s="32" t="n">
        <f>93463245</f>
        <v>9.3463245E7</v>
      </c>
      <c r="W124" s="32" t="n">
        <f>539845</f>
        <v>539845.0</v>
      </c>
      <c r="X124" s="36" t="n">
        <f>18</f>
        <v>18.0</v>
      </c>
    </row>
    <row r="125">
      <c r="A125" s="27" t="s">
        <v>42</v>
      </c>
      <c r="B125" s="27" t="s">
        <v>418</v>
      </c>
      <c r="C125" s="27" t="s">
        <v>419</v>
      </c>
      <c r="D125" s="27" t="s">
        <v>420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21220</f>
        <v>21220.0</v>
      </c>
      <c r="L125" s="34" t="s">
        <v>48</v>
      </c>
      <c r="M125" s="33" t="n">
        <f>22280</f>
        <v>22280.0</v>
      </c>
      <c r="N125" s="34" t="s">
        <v>236</v>
      </c>
      <c r="O125" s="33" t="n">
        <f>20650</f>
        <v>20650.0</v>
      </c>
      <c r="P125" s="34" t="s">
        <v>232</v>
      </c>
      <c r="Q125" s="33" t="n">
        <f>21030</f>
        <v>21030.0</v>
      </c>
      <c r="R125" s="34" t="s">
        <v>50</v>
      </c>
      <c r="S125" s="35" t="n">
        <f>21307.22</f>
        <v>21307.22</v>
      </c>
      <c r="T125" s="32" t="n">
        <f>455741</f>
        <v>455741.0</v>
      </c>
      <c r="U125" s="32" t="n">
        <f>339043</f>
        <v>339043.0</v>
      </c>
      <c r="V125" s="32" t="n">
        <f>9621005119</f>
        <v>9.621005119E9</v>
      </c>
      <c r="W125" s="32" t="n">
        <f>7141110979</f>
        <v>7.141110979E9</v>
      </c>
      <c r="X125" s="36" t="n">
        <f>18</f>
        <v>18.0</v>
      </c>
    </row>
    <row r="126">
      <c r="A126" s="27" t="s">
        <v>42</v>
      </c>
      <c r="B126" s="27" t="s">
        <v>421</v>
      </c>
      <c r="C126" s="27" t="s">
        <v>422</v>
      </c>
      <c r="D126" s="27" t="s">
        <v>423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27600</f>
        <v>27600.0</v>
      </c>
      <c r="L126" s="34" t="s">
        <v>48</v>
      </c>
      <c r="M126" s="33" t="n">
        <f>28235</f>
        <v>28235.0</v>
      </c>
      <c r="N126" s="34" t="s">
        <v>49</v>
      </c>
      <c r="O126" s="33" t="n">
        <f>26830</f>
        <v>26830.0</v>
      </c>
      <c r="P126" s="34" t="s">
        <v>48</v>
      </c>
      <c r="Q126" s="33" t="n">
        <f>27765</f>
        <v>27765.0</v>
      </c>
      <c r="R126" s="34" t="s">
        <v>50</v>
      </c>
      <c r="S126" s="35" t="n">
        <f>27628.61</f>
        <v>27628.61</v>
      </c>
      <c r="T126" s="32" t="n">
        <f>41263</f>
        <v>41263.0</v>
      </c>
      <c r="U126" s="32" t="n">
        <f>12502</f>
        <v>12502.0</v>
      </c>
      <c r="V126" s="32" t="n">
        <f>1134550044</f>
        <v>1.134550044E9</v>
      </c>
      <c r="W126" s="32" t="n">
        <f>343817054</f>
        <v>3.43817054E8</v>
      </c>
      <c r="X126" s="36" t="n">
        <f>18</f>
        <v>18.0</v>
      </c>
    </row>
    <row r="127">
      <c r="A127" s="27" t="s">
        <v>42</v>
      </c>
      <c r="B127" s="27" t="s">
        <v>424</v>
      </c>
      <c r="C127" s="27" t="s">
        <v>425</v>
      </c>
      <c r="D127" s="27" t="s">
        <v>426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39140</f>
        <v>39140.0</v>
      </c>
      <c r="L127" s="34" t="s">
        <v>48</v>
      </c>
      <c r="M127" s="33" t="n">
        <f>40120</f>
        <v>40120.0</v>
      </c>
      <c r="N127" s="34" t="s">
        <v>68</v>
      </c>
      <c r="O127" s="33" t="n">
        <f>37410</f>
        <v>37410.0</v>
      </c>
      <c r="P127" s="34" t="s">
        <v>83</v>
      </c>
      <c r="Q127" s="33" t="n">
        <f>38440</f>
        <v>38440.0</v>
      </c>
      <c r="R127" s="34" t="s">
        <v>50</v>
      </c>
      <c r="S127" s="35" t="n">
        <f>38657.22</f>
        <v>38657.22</v>
      </c>
      <c r="T127" s="32" t="n">
        <f>9737</f>
        <v>9737.0</v>
      </c>
      <c r="U127" s="32" t="n">
        <f>5028</f>
        <v>5028.0</v>
      </c>
      <c r="V127" s="32" t="n">
        <f>381082883</f>
        <v>3.81082883E8</v>
      </c>
      <c r="W127" s="32" t="n">
        <f>198203863</f>
        <v>1.98203863E8</v>
      </c>
      <c r="X127" s="36" t="n">
        <f>18</f>
        <v>18.0</v>
      </c>
    </row>
    <row r="128">
      <c r="A128" s="27" t="s">
        <v>42</v>
      </c>
      <c r="B128" s="27" t="s">
        <v>427</v>
      </c>
      <c r="C128" s="27" t="s">
        <v>428</v>
      </c>
      <c r="D128" s="27" t="s">
        <v>429</v>
      </c>
      <c r="E128" s="28" t="s">
        <v>46</v>
      </c>
      <c r="F128" s="29" t="s">
        <v>46</v>
      </c>
      <c r="G128" s="30" t="s">
        <v>46</v>
      </c>
      <c r="H128" s="31"/>
      <c r="I128" s="31" t="s">
        <v>414</v>
      </c>
      <c r="J128" s="32" t="n">
        <v>1.0</v>
      </c>
      <c r="K128" s="33" t="n">
        <f>8403</f>
        <v>8403.0</v>
      </c>
      <c r="L128" s="34" t="s">
        <v>48</v>
      </c>
      <c r="M128" s="33" t="n">
        <f>8948</f>
        <v>8948.0</v>
      </c>
      <c r="N128" s="34" t="s">
        <v>83</v>
      </c>
      <c r="O128" s="33" t="n">
        <f>8111</f>
        <v>8111.0</v>
      </c>
      <c r="P128" s="34" t="s">
        <v>50</v>
      </c>
      <c r="Q128" s="33" t="n">
        <f>8261</f>
        <v>8261.0</v>
      </c>
      <c r="R128" s="34" t="s">
        <v>50</v>
      </c>
      <c r="S128" s="35" t="n">
        <f>8566.83</f>
        <v>8566.83</v>
      </c>
      <c r="T128" s="32" t="n">
        <f>38603</f>
        <v>38603.0</v>
      </c>
      <c r="U128" s="32" t="n">
        <f>3</f>
        <v>3.0</v>
      </c>
      <c r="V128" s="32" t="n">
        <f>330821189</f>
        <v>3.30821189E8</v>
      </c>
      <c r="W128" s="32" t="n">
        <f>25865</f>
        <v>25865.0</v>
      </c>
      <c r="X128" s="36" t="n">
        <f>18</f>
        <v>18.0</v>
      </c>
    </row>
    <row r="129">
      <c r="A129" s="27" t="s">
        <v>42</v>
      </c>
      <c r="B129" s="27" t="s">
        <v>430</v>
      </c>
      <c r="C129" s="27" t="s">
        <v>431</v>
      </c>
      <c r="D129" s="27" t="s">
        <v>432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2085</f>
        <v>2085.0</v>
      </c>
      <c r="L129" s="34" t="s">
        <v>48</v>
      </c>
      <c r="M129" s="33" t="n">
        <f>2086</f>
        <v>2086.0</v>
      </c>
      <c r="N129" s="34" t="s">
        <v>236</v>
      </c>
      <c r="O129" s="33" t="n">
        <f>2017</f>
        <v>2017.0</v>
      </c>
      <c r="P129" s="34" t="s">
        <v>48</v>
      </c>
      <c r="Q129" s="33" t="n">
        <f>2051</f>
        <v>2051.0</v>
      </c>
      <c r="R129" s="34" t="s">
        <v>50</v>
      </c>
      <c r="S129" s="35" t="n">
        <f>2056</f>
        <v>2056.0</v>
      </c>
      <c r="T129" s="32" t="n">
        <f>1625327</f>
        <v>1625327.0</v>
      </c>
      <c r="U129" s="32" t="n">
        <f>1300271</f>
        <v>1300271.0</v>
      </c>
      <c r="V129" s="32" t="n">
        <f>3328029529</f>
        <v>3.328029529E9</v>
      </c>
      <c r="W129" s="32" t="n">
        <f>2662840180</f>
        <v>2.66284018E9</v>
      </c>
      <c r="X129" s="36" t="n">
        <f>18</f>
        <v>18.0</v>
      </c>
    </row>
    <row r="130">
      <c r="A130" s="27" t="s">
        <v>42</v>
      </c>
      <c r="B130" s="27" t="s">
        <v>433</v>
      </c>
      <c r="C130" s="27" t="s">
        <v>434</v>
      </c>
      <c r="D130" s="27" t="s">
        <v>435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10.0</v>
      </c>
      <c r="K130" s="33" t="n">
        <f>3254</f>
        <v>3254.0</v>
      </c>
      <c r="L130" s="34" t="s">
        <v>48</v>
      </c>
      <c r="M130" s="33" t="n">
        <f>3320</f>
        <v>3320.0</v>
      </c>
      <c r="N130" s="34" t="s">
        <v>236</v>
      </c>
      <c r="O130" s="33" t="n">
        <f>3185</f>
        <v>3185.0</v>
      </c>
      <c r="P130" s="34" t="s">
        <v>50</v>
      </c>
      <c r="Q130" s="33" t="n">
        <f>3185</f>
        <v>3185.0</v>
      </c>
      <c r="R130" s="34" t="s">
        <v>50</v>
      </c>
      <c r="S130" s="35" t="n">
        <f>3273.73</f>
        <v>3273.73</v>
      </c>
      <c r="T130" s="32" t="n">
        <f>28520</f>
        <v>28520.0</v>
      </c>
      <c r="U130" s="32" t="n">
        <f>10</f>
        <v>10.0</v>
      </c>
      <c r="V130" s="32" t="n">
        <f>92416180</f>
        <v>9.241618E7</v>
      </c>
      <c r="W130" s="32" t="n">
        <f>33170</f>
        <v>33170.0</v>
      </c>
      <c r="X130" s="36" t="n">
        <f>11</f>
        <v>11.0</v>
      </c>
    </row>
    <row r="131">
      <c r="A131" s="27" t="s">
        <v>42</v>
      </c>
      <c r="B131" s="27" t="s">
        <v>436</v>
      </c>
      <c r="C131" s="27" t="s">
        <v>437</v>
      </c>
      <c r="D131" s="27" t="s">
        <v>438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10.0</v>
      </c>
      <c r="K131" s="33" t="n">
        <f>3559</f>
        <v>3559.0</v>
      </c>
      <c r="L131" s="34" t="s">
        <v>48</v>
      </c>
      <c r="M131" s="33" t="n">
        <f>3614</f>
        <v>3614.0</v>
      </c>
      <c r="N131" s="34" t="s">
        <v>49</v>
      </c>
      <c r="O131" s="33" t="n">
        <f>3457</f>
        <v>3457.0</v>
      </c>
      <c r="P131" s="34" t="s">
        <v>50</v>
      </c>
      <c r="Q131" s="33" t="n">
        <f>3472</f>
        <v>3472.0</v>
      </c>
      <c r="R131" s="34" t="s">
        <v>50</v>
      </c>
      <c r="S131" s="35" t="n">
        <f>3549.81</f>
        <v>3549.81</v>
      </c>
      <c r="T131" s="32" t="n">
        <f>77160</f>
        <v>77160.0</v>
      </c>
      <c r="U131" s="32" t="n">
        <f>29010</f>
        <v>29010.0</v>
      </c>
      <c r="V131" s="32" t="n">
        <f>271174120</f>
        <v>2.7117412E8</v>
      </c>
      <c r="W131" s="32" t="n">
        <f>100725360</f>
        <v>1.0072536E8</v>
      </c>
      <c r="X131" s="36" t="n">
        <f>16</f>
        <v>16.0</v>
      </c>
    </row>
    <row r="132">
      <c r="A132" s="27" t="s">
        <v>42</v>
      </c>
      <c r="B132" s="27" t="s">
        <v>439</v>
      </c>
      <c r="C132" s="27" t="s">
        <v>440</v>
      </c>
      <c r="D132" s="27" t="s">
        <v>441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2206.5</f>
        <v>2206.5</v>
      </c>
      <c r="L132" s="34" t="s">
        <v>48</v>
      </c>
      <c r="M132" s="33" t="n">
        <f>2315</f>
        <v>2315.0</v>
      </c>
      <c r="N132" s="34" t="s">
        <v>79</v>
      </c>
      <c r="O132" s="33" t="n">
        <f>2169</f>
        <v>2169.0</v>
      </c>
      <c r="P132" s="34" t="s">
        <v>99</v>
      </c>
      <c r="Q132" s="33" t="n">
        <f>2169</f>
        <v>2169.0</v>
      </c>
      <c r="R132" s="34" t="s">
        <v>99</v>
      </c>
      <c r="S132" s="35" t="n">
        <f>2195</f>
        <v>2195.0</v>
      </c>
      <c r="T132" s="32" t="n">
        <f>44760</f>
        <v>44760.0</v>
      </c>
      <c r="U132" s="32" t="str">
        <f>"－"</f>
        <v>－</v>
      </c>
      <c r="V132" s="32" t="n">
        <f>97691105</f>
        <v>9.7691105E7</v>
      </c>
      <c r="W132" s="32" t="str">
        <f>"－"</f>
        <v>－</v>
      </c>
      <c r="X132" s="36" t="n">
        <f>5</f>
        <v>5.0</v>
      </c>
    </row>
    <row r="133">
      <c r="A133" s="27" t="s">
        <v>42</v>
      </c>
      <c r="B133" s="27" t="s">
        <v>442</v>
      </c>
      <c r="C133" s="27" t="s">
        <v>443</v>
      </c>
      <c r="D133" s="27" t="s">
        <v>444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667.7</f>
        <v>667.7</v>
      </c>
      <c r="L133" s="34" t="s">
        <v>48</v>
      </c>
      <c r="M133" s="33" t="n">
        <f>676.9</f>
        <v>676.9</v>
      </c>
      <c r="N133" s="34" t="s">
        <v>68</v>
      </c>
      <c r="O133" s="33" t="n">
        <f>628.1</f>
        <v>628.1</v>
      </c>
      <c r="P133" s="34" t="s">
        <v>50</v>
      </c>
      <c r="Q133" s="33" t="n">
        <f>634.1</f>
        <v>634.1</v>
      </c>
      <c r="R133" s="34" t="s">
        <v>50</v>
      </c>
      <c r="S133" s="35" t="n">
        <f>661.31</f>
        <v>661.31</v>
      </c>
      <c r="T133" s="32" t="n">
        <f>44711050</f>
        <v>4.471105E7</v>
      </c>
      <c r="U133" s="32" t="n">
        <f>1542530</f>
        <v>1542530.0</v>
      </c>
      <c r="V133" s="32" t="n">
        <f>29330989541</f>
        <v>2.9330989541E10</v>
      </c>
      <c r="W133" s="32" t="n">
        <f>1013151539</f>
        <v>1.013151539E9</v>
      </c>
      <c r="X133" s="36" t="n">
        <f>18</f>
        <v>18.0</v>
      </c>
    </row>
    <row r="134">
      <c r="A134" s="27" t="s">
        <v>42</v>
      </c>
      <c r="B134" s="27" t="s">
        <v>445</v>
      </c>
      <c r="C134" s="27" t="s">
        <v>446</v>
      </c>
      <c r="D134" s="27" t="s">
        <v>447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301.8</f>
        <v>301.8</v>
      </c>
      <c r="L134" s="34" t="s">
        <v>48</v>
      </c>
      <c r="M134" s="33" t="n">
        <f>302.8</f>
        <v>302.8</v>
      </c>
      <c r="N134" s="34" t="s">
        <v>48</v>
      </c>
      <c r="O134" s="33" t="n">
        <f>291.2</f>
        <v>291.2</v>
      </c>
      <c r="P134" s="34" t="s">
        <v>156</v>
      </c>
      <c r="Q134" s="33" t="n">
        <f>297.9</f>
        <v>297.9</v>
      </c>
      <c r="R134" s="34" t="s">
        <v>50</v>
      </c>
      <c r="S134" s="35" t="n">
        <f>296.65</f>
        <v>296.65</v>
      </c>
      <c r="T134" s="32" t="n">
        <f>7084080</f>
        <v>7084080.0</v>
      </c>
      <c r="U134" s="32" t="n">
        <f>4351480</f>
        <v>4351480.0</v>
      </c>
      <c r="V134" s="32" t="n">
        <f>2090769819</f>
        <v>2.090769819E9</v>
      </c>
      <c r="W134" s="32" t="n">
        <f>1279689859</f>
        <v>1.279689859E9</v>
      </c>
      <c r="X134" s="36" t="n">
        <f>18</f>
        <v>18.0</v>
      </c>
    </row>
    <row r="135">
      <c r="A135" s="27" t="s">
        <v>42</v>
      </c>
      <c r="B135" s="27" t="s">
        <v>448</v>
      </c>
      <c r="C135" s="27" t="s">
        <v>449</v>
      </c>
      <c r="D135" s="27" t="s">
        <v>450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5490</f>
        <v>5490.0</v>
      </c>
      <c r="L135" s="34" t="s">
        <v>48</v>
      </c>
      <c r="M135" s="33" t="n">
        <f>5550</f>
        <v>5550.0</v>
      </c>
      <c r="N135" s="34" t="s">
        <v>69</v>
      </c>
      <c r="O135" s="33" t="n">
        <f>5210</f>
        <v>5210.0</v>
      </c>
      <c r="P135" s="34" t="s">
        <v>50</v>
      </c>
      <c r="Q135" s="33" t="n">
        <f>5270</f>
        <v>5270.0</v>
      </c>
      <c r="R135" s="34" t="s">
        <v>50</v>
      </c>
      <c r="S135" s="35" t="n">
        <f>5450</f>
        <v>5450.0</v>
      </c>
      <c r="T135" s="32" t="n">
        <f>355254</f>
        <v>355254.0</v>
      </c>
      <c r="U135" s="32" t="n">
        <f>269276</f>
        <v>269276.0</v>
      </c>
      <c r="V135" s="32" t="n">
        <f>1930089670</f>
        <v>1.93008967E9</v>
      </c>
      <c r="W135" s="32" t="n">
        <f>1462896880</f>
        <v>1.46289688E9</v>
      </c>
      <c r="X135" s="36" t="n">
        <f>18</f>
        <v>18.0</v>
      </c>
    </row>
    <row r="136">
      <c r="A136" s="27" t="s">
        <v>42</v>
      </c>
      <c r="B136" s="27" t="s">
        <v>451</v>
      </c>
      <c r="C136" s="27" t="s">
        <v>452</v>
      </c>
      <c r="D136" s="27" t="s">
        <v>453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2757</f>
        <v>2757.0</v>
      </c>
      <c r="L136" s="34" t="s">
        <v>48</v>
      </c>
      <c r="M136" s="33" t="n">
        <f>2846</f>
        <v>2846.0</v>
      </c>
      <c r="N136" s="34" t="s">
        <v>236</v>
      </c>
      <c r="O136" s="33" t="n">
        <f>2698</f>
        <v>2698.0</v>
      </c>
      <c r="P136" s="34" t="s">
        <v>50</v>
      </c>
      <c r="Q136" s="33" t="n">
        <f>2710</f>
        <v>2710.0</v>
      </c>
      <c r="R136" s="34" t="s">
        <v>50</v>
      </c>
      <c r="S136" s="35" t="n">
        <f>2796.94</f>
        <v>2796.94</v>
      </c>
      <c r="T136" s="32" t="n">
        <f>114264</f>
        <v>114264.0</v>
      </c>
      <c r="U136" s="32" t="n">
        <f>42402</f>
        <v>42402.0</v>
      </c>
      <c r="V136" s="32" t="n">
        <f>316750459</f>
        <v>3.16750459E8</v>
      </c>
      <c r="W136" s="32" t="n">
        <f>117130681</f>
        <v>1.17130681E8</v>
      </c>
      <c r="X136" s="36" t="n">
        <f>18</f>
        <v>18.0</v>
      </c>
    </row>
    <row r="137">
      <c r="A137" s="27" t="s">
        <v>42</v>
      </c>
      <c r="B137" s="27" t="s">
        <v>454</v>
      </c>
      <c r="C137" s="27" t="s">
        <v>455</v>
      </c>
      <c r="D137" s="27" t="s">
        <v>456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3300</f>
        <v>3300.0</v>
      </c>
      <c r="L137" s="34" t="s">
        <v>48</v>
      </c>
      <c r="M137" s="33" t="n">
        <f>3350</f>
        <v>3350.0</v>
      </c>
      <c r="N137" s="34" t="s">
        <v>68</v>
      </c>
      <c r="O137" s="33" t="n">
        <f>3265</f>
        <v>3265.0</v>
      </c>
      <c r="P137" s="34" t="s">
        <v>103</v>
      </c>
      <c r="Q137" s="33" t="n">
        <f>3310</f>
        <v>3310.0</v>
      </c>
      <c r="R137" s="34" t="s">
        <v>50</v>
      </c>
      <c r="S137" s="35" t="n">
        <f>3307.5</f>
        <v>3307.5</v>
      </c>
      <c r="T137" s="32" t="n">
        <f>196580</f>
        <v>196580.0</v>
      </c>
      <c r="U137" s="32" t="n">
        <f>20</f>
        <v>20.0</v>
      </c>
      <c r="V137" s="32" t="n">
        <f>650063395</f>
        <v>6.50063395E8</v>
      </c>
      <c r="W137" s="32" t="n">
        <f>65900</f>
        <v>65900.0</v>
      </c>
      <c r="X137" s="36" t="n">
        <f>18</f>
        <v>18.0</v>
      </c>
    </row>
    <row r="138">
      <c r="A138" s="27" t="s">
        <v>42</v>
      </c>
      <c r="B138" s="27" t="s">
        <v>457</v>
      </c>
      <c r="C138" s="27" t="s">
        <v>458</v>
      </c>
      <c r="D138" s="27" t="s">
        <v>459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9879</f>
        <v>9879.0</v>
      </c>
      <c r="L138" s="34" t="s">
        <v>48</v>
      </c>
      <c r="M138" s="33" t="n">
        <f>9939</f>
        <v>9939.0</v>
      </c>
      <c r="N138" s="34" t="s">
        <v>50</v>
      </c>
      <c r="O138" s="33" t="n">
        <f>9600</f>
        <v>9600.0</v>
      </c>
      <c r="P138" s="34" t="s">
        <v>103</v>
      </c>
      <c r="Q138" s="33" t="n">
        <f>9800</f>
        <v>9800.0</v>
      </c>
      <c r="R138" s="34" t="s">
        <v>50</v>
      </c>
      <c r="S138" s="35" t="n">
        <f>9761.33</f>
        <v>9761.33</v>
      </c>
      <c r="T138" s="32" t="n">
        <f>53199</f>
        <v>53199.0</v>
      </c>
      <c r="U138" s="32" t="n">
        <f>1000</f>
        <v>1000.0</v>
      </c>
      <c r="V138" s="32" t="n">
        <f>520176091</f>
        <v>5.20176091E8</v>
      </c>
      <c r="W138" s="32" t="n">
        <f>9757700</f>
        <v>9757700.0</v>
      </c>
      <c r="X138" s="36" t="n">
        <f>18</f>
        <v>18.0</v>
      </c>
    </row>
    <row r="139">
      <c r="A139" s="27" t="s">
        <v>42</v>
      </c>
      <c r="B139" s="27" t="s">
        <v>460</v>
      </c>
      <c r="C139" s="27" t="s">
        <v>461</v>
      </c>
      <c r="D139" s="27" t="s">
        <v>462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3355</f>
        <v>3355.0</v>
      </c>
      <c r="L139" s="34" t="s">
        <v>48</v>
      </c>
      <c r="M139" s="33" t="n">
        <f>3360</f>
        <v>3360.0</v>
      </c>
      <c r="N139" s="34" t="s">
        <v>48</v>
      </c>
      <c r="O139" s="33" t="n">
        <f>3015</f>
        <v>3015.0</v>
      </c>
      <c r="P139" s="34" t="s">
        <v>204</v>
      </c>
      <c r="Q139" s="33" t="n">
        <f>3085</f>
        <v>3085.0</v>
      </c>
      <c r="R139" s="34" t="s">
        <v>50</v>
      </c>
      <c r="S139" s="35" t="n">
        <f>3197.5</f>
        <v>3197.5</v>
      </c>
      <c r="T139" s="32" t="n">
        <f>1750207</f>
        <v>1750207.0</v>
      </c>
      <c r="U139" s="32" t="str">
        <f>"－"</f>
        <v>－</v>
      </c>
      <c r="V139" s="32" t="n">
        <f>5590105075</f>
        <v>5.590105075E9</v>
      </c>
      <c r="W139" s="32" t="str">
        <f>"－"</f>
        <v>－</v>
      </c>
      <c r="X139" s="36" t="n">
        <f>18</f>
        <v>18.0</v>
      </c>
    </row>
    <row r="140">
      <c r="A140" s="27" t="s">
        <v>42</v>
      </c>
      <c r="B140" s="27" t="s">
        <v>463</v>
      </c>
      <c r="C140" s="27" t="s">
        <v>464</v>
      </c>
      <c r="D140" s="27" t="s">
        <v>465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40500</f>
        <v>40500.0</v>
      </c>
      <c r="L140" s="34" t="s">
        <v>48</v>
      </c>
      <c r="M140" s="33" t="n">
        <f>42940</f>
        <v>42940.0</v>
      </c>
      <c r="N140" s="34" t="s">
        <v>79</v>
      </c>
      <c r="O140" s="33" t="n">
        <f>39920</f>
        <v>39920.0</v>
      </c>
      <c r="P140" s="34" t="s">
        <v>50</v>
      </c>
      <c r="Q140" s="33" t="n">
        <f>40090</f>
        <v>40090.0</v>
      </c>
      <c r="R140" s="34" t="s">
        <v>50</v>
      </c>
      <c r="S140" s="35" t="n">
        <f>40971.67</f>
        <v>40971.67</v>
      </c>
      <c r="T140" s="32" t="n">
        <f>13286</f>
        <v>13286.0</v>
      </c>
      <c r="U140" s="32" t="str">
        <f>"－"</f>
        <v>－</v>
      </c>
      <c r="V140" s="32" t="n">
        <f>544680380</f>
        <v>5.4468038E8</v>
      </c>
      <c r="W140" s="32" t="str">
        <f>"－"</f>
        <v>－</v>
      </c>
      <c r="X140" s="36" t="n">
        <f>18</f>
        <v>18.0</v>
      </c>
    </row>
    <row r="141">
      <c r="A141" s="27" t="s">
        <v>42</v>
      </c>
      <c r="B141" s="27" t="s">
        <v>466</v>
      </c>
      <c r="C141" s="27" t="s">
        <v>467</v>
      </c>
      <c r="D141" s="27" t="s">
        <v>468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10.0</v>
      </c>
      <c r="K141" s="33" t="n">
        <f>4468</f>
        <v>4468.0</v>
      </c>
      <c r="L141" s="34" t="s">
        <v>48</v>
      </c>
      <c r="M141" s="33" t="n">
        <f>4619</f>
        <v>4619.0</v>
      </c>
      <c r="N141" s="34" t="s">
        <v>79</v>
      </c>
      <c r="O141" s="33" t="n">
        <f>4270</f>
        <v>4270.0</v>
      </c>
      <c r="P141" s="34" t="s">
        <v>50</v>
      </c>
      <c r="Q141" s="33" t="n">
        <f>4287</f>
        <v>4287.0</v>
      </c>
      <c r="R141" s="34" t="s">
        <v>50</v>
      </c>
      <c r="S141" s="35" t="n">
        <f>4476.67</f>
        <v>4476.67</v>
      </c>
      <c r="T141" s="32" t="n">
        <f>88460</f>
        <v>88460.0</v>
      </c>
      <c r="U141" s="32" t="str">
        <f>"－"</f>
        <v>－</v>
      </c>
      <c r="V141" s="32" t="n">
        <f>394530580</f>
        <v>3.9453058E8</v>
      </c>
      <c r="W141" s="32" t="str">
        <f>"－"</f>
        <v>－</v>
      </c>
      <c r="X141" s="36" t="n">
        <f>18</f>
        <v>18.0</v>
      </c>
    </row>
    <row r="142">
      <c r="A142" s="27" t="s">
        <v>42</v>
      </c>
      <c r="B142" s="27" t="s">
        <v>469</v>
      </c>
      <c r="C142" s="27" t="s">
        <v>470</v>
      </c>
      <c r="D142" s="27" t="s">
        <v>471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13955</f>
        <v>13955.0</v>
      </c>
      <c r="L142" s="34" t="s">
        <v>48</v>
      </c>
      <c r="M142" s="33" t="n">
        <f>14395</f>
        <v>14395.0</v>
      </c>
      <c r="N142" s="34" t="s">
        <v>69</v>
      </c>
      <c r="O142" s="33" t="n">
        <f>13150</f>
        <v>13150.0</v>
      </c>
      <c r="P142" s="34" t="s">
        <v>50</v>
      </c>
      <c r="Q142" s="33" t="n">
        <f>13335</f>
        <v>13335.0</v>
      </c>
      <c r="R142" s="34" t="s">
        <v>50</v>
      </c>
      <c r="S142" s="35" t="n">
        <f>13690.83</f>
        <v>13690.83</v>
      </c>
      <c r="T142" s="32" t="n">
        <f>9089</f>
        <v>9089.0</v>
      </c>
      <c r="U142" s="32" t="str">
        <f>"－"</f>
        <v>－</v>
      </c>
      <c r="V142" s="32" t="n">
        <f>125186965</f>
        <v>1.25186965E8</v>
      </c>
      <c r="W142" s="32" t="str">
        <f>"－"</f>
        <v>－</v>
      </c>
      <c r="X142" s="36" t="n">
        <f>18</f>
        <v>18.0</v>
      </c>
    </row>
    <row r="143">
      <c r="A143" s="27" t="s">
        <v>42</v>
      </c>
      <c r="B143" s="27" t="s">
        <v>472</v>
      </c>
      <c r="C143" s="27" t="s">
        <v>473</v>
      </c>
      <c r="D143" s="27" t="s">
        <v>474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14985</f>
        <v>14985.0</v>
      </c>
      <c r="L143" s="34" t="s">
        <v>48</v>
      </c>
      <c r="M143" s="33" t="n">
        <f>14985</f>
        <v>14985.0</v>
      </c>
      <c r="N143" s="34" t="s">
        <v>48</v>
      </c>
      <c r="O143" s="33" t="n">
        <f>12620</f>
        <v>12620.0</v>
      </c>
      <c r="P143" s="34" t="s">
        <v>50</v>
      </c>
      <c r="Q143" s="33" t="n">
        <f>12910</f>
        <v>12910.0</v>
      </c>
      <c r="R143" s="34" t="s">
        <v>50</v>
      </c>
      <c r="S143" s="35" t="n">
        <f>13902.22</f>
        <v>13902.22</v>
      </c>
      <c r="T143" s="32" t="n">
        <f>20034</f>
        <v>20034.0</v>
      </c>
      <c r="U143" s="32" t="str">
        <f>"－"</f>
        <v>－</v>
      </c>
      <c r="V143" s="32" t="n">
        <f>276301255</f>
        <v>2.76301255E8</v>
      </c>
      <c r="W143" s="32" t="str">
        <f>"－"</f>
        <v>－</v>
      </c>
      <c r="X143" s="36" t="n">
        <f>18</f>
        <v>18.0</v>
      </c>
    </row>
    <row r="144">
      <c r="A144" s="27" t="s">
        <v>42</v>
      </c>
      <c r="B144" s="27" t="s">
        <v>475</v>
      </c>
      <c r="C144" s="27" t="s">
        <v>476</v>
      </c>
      <c r="D144" s="27" t="s">
        <v>477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25995</f>
        <v>25995.0</v>
      </c>
      <c r="L144" s="34" t="s">
        <v>48</v>
      </c>
      <c r="M144" s="33" t="n">
        <f>26595</f>
        <v>26595.0</v>
      </c>
      <c r="N144" s="34" t="s">
        <v>156</v>
      </c>
      <c r="O144" s="33" t="n">
        <f>25055</f>
        <v>25055.0</v>
      </c>
      <c r="P144" s="34" t="s">
        <v>50</v>
      </c>
      <c r="Q144" s="33" t="n">
        <f>25055</f>
        <v>25055.0</v>
      </c>
      <c r="R144" s="34" t="s">
        <v>50</v>
      </c>
      <c r="S144" s="35" t="n">
        <f>25980.63</f>
        <v>25980.63</v>
      </c>
      <c r="T144" s="32" t="n">
        <f>468</f>
        <v>468.0</v>
      </c>
      <c r="U144" s="32" t="str">
        <f>"－"</f>
        <v>－</v>
      </c>
      <c r="V144" s="32" t="n">
        <f>12148955</f>
        <v>1.2148955E7</v>
      </c>
      <c r="W144" s="32" t="str">
        <f>"－"</f>
        <v>－</v>
      </c>
      <c r="X144" s="36" t="n">
        <f>16</f>
        <v>16.0</v>
      </c>
    </row>
    <row r="145">
      <c r="A145" s="27" t="s">
        <v>42</v>
      </c>
      <c r="B145" s="27" t="s">
        <v>478</v>
      </c>
      <c r="C145" s="27" t="s">
        <v>479</v>
      </c>
      <c r="D145" s="27" t="s">
        <v>480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55900</f>
        <v>55900.0</v>
      </c>
      <c r="L145" s="34" t="s">
        <v>48</v>
      </c>
      <c r="M145" s="33" t="n">
        <f>56300</f>
        <v>56300.0</v>
      </c>
      <c r="N145" s="34" t="s">
        <v>68</v>
      </c>
      <c r="O145" s="33" t="n">
        <f>54440</f>
        <v>54440.0</v>
      </c>
      <c r="P145" s="34" t="s">
        <v>156</v>
      </c>
      <c r="Q145" s="33" t="n">
        <f>54740</f>
        <v>54740.0</v>
      </c>
      <c r="R145" s="34" t="s">
        <v>50</v>
      </c>
      <c r="S145" s="35" t="n">
        <f>55308.33</f>
        <v>55308.33</v>
      </c>
      <c r="T145" s="32" t="n">
        <f>4310</f>
        <v>4310.0</v>
      </c>
      <c r="U145" s="32" t="n">
        <f>30</f>
        <v>30.0</v>
      </c>
      <c r="V145" s="32" t="n">
        <f>238898200</f>
        <v>2.388982E8</v>
      </c>
      <c r="W145" s="32" t="n">
        <f>1669000</f>
        <v>1669000.0</v>
      </c>
      <c r="X145" s="36" t="n">
        <f>18</f>
        <v>18.0</v>
      </c>
    </row>
    <row r="146">
      <c r="A146" s="27" t="s">
        <v>42</v>
      </c>
      <c r="B146" s="27" t="s">
        <v>481</v>
      </c>
      <c r="C146" s="27" t="s">
        <v>482</v>
      </c>
      <c r="D146" s="27" t="s">
        <v>483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346.5</f>
        <v>346.5</v>
      </c>
      <c r="L146" s="34" t="s">
        <v>48</v>
      </c>
      <c r="M146" s="33" t="n">
        <f>349.9</f>
        <v>349.9</v>
      </c>
      <c r="N146" s="34" t="s">
        <v>116</v>
      </c>
      <c r="O146" s="33" t="n">
        <f>315</f>
        <v>315.0</v>
      </c>
      <c r="P146" s="34" t="s">
        <v>50</v>
      </c>
      <c r="Q146" s="33" t="n">
        <f>315.7</f>
        <v>315.7</v>
      </c>
      <c r="R146" s="34" t="s">
        <v>50</v>
      </c>
      <c r="S146" s="35" t="n">
        <f>334.07</f>
        <v>334.07</v>
      </c>
      <c r="T146" s="32" t="n">
        <f>29381000</f>
        <v>2.9381E7</v>
      </c>
      <c r="U146" s="32" t="n">
        <f>129390</f>
        <v>129390.0</v>
      </c>
      <c r="V146" s="32" t="n">
        <f>9788825155</f>
        <v>9.788825155E9</v>
      </c>
      <c r="W146" s="32" t="n">
        <f>43585146</f>
        <v>4.3585146E7</v>
      </c>
      <c r="X146" s="36" t="n">
        <f>18</f>
        <v>18.0</v>
      </c>
    </row>
    <row r="147">
      <c r="A147" s="27" t="s">
        <v>42</v>
      </c>
      <c r="B147" s="27" t="s">
        <v>484</v>
      </c>
      <c r="C147" s="27" t="s">
        <v>485</v>
      </c>
      <c r="D147" s="27" t="s">
        <v>486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56160</f>
        <v>56160.0</v>
      </c>
      <c r="L147" s="34" t="s">
        <v>48</v>
      </c>
      <c r="M147" s="33" t="n">
        <f>56980</f>
        <v>56980.0</v>
      </c>
      <c r="N147" s="34" t="s">
        <v>60</v>
      </c>
      <c r="O147" s="33" t="n">
        <f>53030</f>
        <v>53030.0</v>
      </c>
      <c r="P147" s="34" t="s">
        <v>50</v>
      </c>
      <c r="Q147" s="33" t="n">
        <f>53030</f>
        <v>53030.0</v>
      </c>
      <c r="R147" s="34" t="s">
        <v>50</v>
      </c>
      <c r="S147" s="35" t="n">
        <f>55138.67</f>
        <v>55138.67</v>
      </c>
      <c r="T147" s="32" t="n">
        <f>760</f>
        <v>760.0</v>
      </c>
      <c r="U147" s="32" t="str">
        <f>"－"</f>
        <v>－</v>
      </c>
      <c r="V147" s="32" t="n">
        <f>41447400</f>
        <v>4.14474E7</v>
      </c>
      <c r="W147" s="32" t="str">
        <f>"－"</f>
        <v>－</v>
      </c>
      <c r="X147" s="36" t="n">
        <f>15</f>
        <v>15.0</v>
      </c>
    </row>
    <row r="148">
      <c r="A148" s="27" t="s">
        <v>42</v>
      </c>
      <c r="B148" s="27" t="s">
        <v>487</v>
      </c>
      <c r="C148" s="27" t="s">
        <v>488</v>
      </c>
      <c r="D148" s="27" t="s">
        <v>489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10.0</v>
      </c>
      <c r="K148" s="33" t="n">
        <f>6280</f>
        <v>6280.0</v>
      </c>
      <c r="L148" s="34" t="s">
        <v>48</v>
      </c>
      <c r="M148" s="33" t="n">
        <f>6352</f>
        <v>6352.0</v>
      </c>
      <c r="N148" s="34" t="s">
        <v>69</v>
      </c>
      <c r="O148" s="33" t="n">
        <f>5955</f>
        <v>5955.0</v>
      </c>
      <c r="P148" s="34" t="s">
        <v>50</v>
      </c>
      <c r="Q148" s="33" t="n">
        <f>6002</f>
        <v>6002.0</v>
      </c>
      <c r="R148" s="34" t="s">
        <v>50</v>
      </c>
      <c r="S148" s="35" t="n">
        <f>6218.39</f>
        <v>6218.39</v>
      </c>
      <c r="T148" s="32" t="n">
        <f>53990</f>
        <v>53990.0</v>
      </c>
      <c r="U148" s="32" t="str">
        <f>"－"</f>
        <v>－</v>
      </c>
      <c r="V148" s="32" t="n">
        <f>334364710</f>
        <v>3.3436471E8</v>
      </c>
      <c r="W148" s="32" t="str">
        <f>"－"</f>
        <v>－</v>
      </c>
      <c r="X148" s="36" t="n">
        <f>18</f>
        <v>18.0</v>
      </c>
    </row>
    <row r="149">
      <c r="A149" s="27" t="s">
        <v>42</v>
      </c>
      <c r="B149" s="27" t="s">
        <v>490</v>
      </c>
      <c r="C149" s="27" t="s">
        <v>491</v>
      </c>
      <c r="D149" s="27" t="s">
        <v>492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10.0</v>
      </c>
      <c r="K149" s="33" t="n">
        <f>2070.5</f>
        <v>2070.5</v>
      </c>
      <c r="L149" s="34" t="s">
        <v>48</v>
      </c>
      <c r="M149" s="33" t="n">
        <f>2140</f>
        <v>2140.0</v>
      </c>
      <c r="N149" s="34" t="s">
        <v>236</v>
      </c>
      <c r="O149" s="33" t="n">
        <f>2026</f>
        <v>2026.0</v>
      </c>
      <c r="P149" s="34" t="s">
        <v>50</v>
      </c>
      <c r="Q149" s="33" t="n">
        <f>2038</f>
        <v>2038.0</v>
      </c>
      <c r="R149" s="34" t="s">
        <v>50</v>
      </c>
      <c r="S149" s="35" t="n">
        <f>2096.92</f>
        <v>2096.92</v>
      </c>
      <c r="T149" s="32" t="n">
        <f>78620</f>
        <v>78620.0</v>
      </c>
      <c r="U149" s="32" t="n">
        <f>30</f>
        <v>30.0</v>
      </c>
      <c r="V149" s="32" t="n">
        <f>165599470</f>
        <v>1.6559947E8</v>
      </c>
      <c r="W149" s="32" t="n">
        <f>61530</f>
        <v>61530.0</v>
      </c>
      <c r="X149" s="36" t="n">
        <f>18</f>
        <v>18.0</v>
      </c>
    </row>
    <row r="150">
      <c r="A150" s="27" t="s">
        <v>42</v>
      </c>
      <c r="B150" s="27" t="s">
        <v>493</v>
      </c>
      <c r="C150" s="27" t="s">
        <v>494</v>
      </c>
      <c r="D150" s="27" t="s">
        <v>495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1773.5</f>
        <v>1773.5</v>
      </c>
      <c r="L150" s="34" t="s">
        <v>48</v>
      </c>
      <c r="M150" s="33" t="n">
        <f>1862</f>
        <v>1862.0</v>
      </c>
      <c r="N150" s="34" t="s">
        <v>50</v>
      </c>
      <c r="O150" s="33" t="n">
        <f>1773.5</f>
        <v>1773.5</v>
      </c>
      <c r="P150" s="34" t="s">
        <v>48</v>
      </c>
      <c r="Q150" s="33" t="n">
        <f>1799</f>
        <v>1799.0</v>
      </c>
      <c r="R150" s="34" t="s">
        <v>50</v>
      </c>
      <c r="S150" s="35" t="n">
        <f>1811.11</f>
        <v>1811.11</v>
      </c>
      <c r="T150" s="32" t="n">
        <f>970</f>
        <v>970.0</v>
      </c>
      <c r="U150" s="32" t="str">
        <f>"－"</f>
        <v>－</v>
      </c>
      <c r="V150" s="32" t="n">
        <f>1750590</f>
        <v>1750590.0</v>
      </c>
      <c r="W150" s="32" t="str">
        <f>"－"</f>
        <v>－</v>
      </c>
      <c r="X150" s="36" t="n">
        <f>14</f>
        <v>14.0</v>
      </c>
    </row>
    <row r="151">
      <c r="A151" s="27" t="s">
        <v>42</v>
      </c>
      <c r="B151" s="27" t="s">
        <v>496</v>
      </c>
      <c r="C151" s="27" t="s">
        <v>497</v>
      </c>
      <c r="D151" s="27" t="s">
        <v>498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10.0</v>
      </c>
      <c r="K151" s="33" t="n">
        <f>560.6</f>
        <v>560.6</v>
      </c>
      <c r="L151" s="34" t="s">
        <v>48</v>
      </c>
      <c r="M151" s="33" t="n">
        <f>601.1</f>
        <v>601.1</v>
      </c>
      <c r="N151" s="34" t="s">
        <v>83</v>
      </c>
      <c r="O151" s="33" t="n">
        <f>550.8</f>
        <v>550.8</v>
      </c>
      <c r="P151" s="34" t="s">
        <v>103</v>
      </c>
      <c r="Q151" s="33" t="n">
        <f>569.3</f>
        <v>569.3</v>
      </c>
      <c r="R151" s="34" t="s">
        <v>50</v>
      </c>
      <c r="S151" s="35" t="n">
        <f>574.82</f>
        <v>574.82</v>
      </c>
      <c r="T151" s="32" t="n">
        <f>38020</f>
        <v>38020.0</v>
      </c>
      <c r="U151" s="32" t="str">
        <f>"－"</f>
        <v>－</v>
      </c>
      <c r="V151" s="32" t="n">
        <f>21751678</f>
        <v>2.1751678E7</v>
      </c>
      <c r="W151" s="32" t="str">
        <f>"－"</f>
        <v>－</v>
      </c>
      <c r="X151" s="36" t="n">
        <f>18</f>
        <v>18.0</v>
      </c>
    </row>
    <row r="152">
      <c r="A152" s="27" t="s">
        <v>42</v>
      </c>
      <c r="B152" s="27" t="s">
        <v>499</v>
      </c>
      <c r="C152" s="27" t="s">
        <v>500</v>
      </c>
      <c r="D152" s="27" t="s">
        <v>501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10.0</v>
      </c>
      <c r="K152" s="33" t="n">
        <f>2370.5</f>
        <v>2370.5</v>
      </c>
      <c r="L152" s="34" t="s">
        <v>48</v>
      </c>
      <c r="M152" s="33" t="n">
        <f>2424</f>
        <v>2424.0</v>
      </c>
      <c r="N152" s="34" t="s">
        <v>103</v>
      </c>
      <c r="O152" s="33" t="n">
        <f>2260.5</f>
        <v>2260.5</v>
      </c>
      <c r="P152" s="34" t="s">
        <v>157</v>
      </c>
      <c r="Q152" s="33" t="n">
        <f>2300</f>
        <v>2300.0</v>
      </c>
      <c r="R152" s="34" t="s">
        <v>50</v>
      </c>
      <c r="S152" s="35" t="n">
        <f>2360.32</f>
        <v>2360.32</v>
      </c>
      <c r="T152" s="32" t="n">
        <f>1010</f>
        <v>1010.0</v>
      </c>
      <c r="U152" s="32" t="str">
        <f>"－"</f>
        <v>－</v>
      </c>
      <c r="V152" s="32" t="n">
        <f>2399810</f>
        <v>2399810.0</v>
      </c>
      <c r="W152" s="32" t="str">
        <f>"－"</f>
        <v>－</v>
      </c>
      <c r="X152" s="36" t="n">
        <f>17</f>
        <v>17.0</v>
      </c>
    </row>
    <row r="153">
      <c r="A153" s="27" t="s">
        <v>42</v>
      </c>
      <c r="B153" s="27" t="s">
        <v>502</v>
      </c>
      <c r="C153" s="27" t="s">
        <v>503</v>
      </c>
      <c r="D153" s="27" t="s">
        <v>504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982</f>
        <v>982.0</v>
      </c>
      <c r="L153" s="34" t="s">
        <v>48</v>
      </c>
      <c r="M153" s="33" t="n">
        <f>1009.5</f>
        <v>1009.5</v>
      </c>
      <c r="N153" s="34" t="s">
        <v>236</v>
      </c>
      <c r="O153" s="33" t="n">
        <f>937.7</f>
        <v>937.7</v>
      </c>
      <c r="P153" s="34" t="s">
        <v>50</v>
      </c>
      <c r="Q153" s="33" t="n">
        <f>938.5</f>
        <v>938.5</v>
      </c>
      <c r="R153" s="34" t="s">
        <v>50</v>
      </c>
      <c r="S153" s="35" t="n">
        <f>983.38</f>
        <v>983.38</v>
      </c>
      <c r="T153" s="32" t="n">
        <f>26690</f>
        <v>26690.0</v>
      </c>
      <c r="U153" s="32" t="str">
        <f>"－"</f>
        <v>－</v>
      </c>
      <c r="V153" s="32" t="n">
        <f>26263642</f>
        <v>2.6263642E7</v>
      </c>
      <c r="W153" s="32" t="str">
        <f>"－"</f>
        <v>－</v>
      </c>
      <c r="X153" s="36" t="n">
        <f>18</f>
        <v>18.0</v>
      </c>
    </row>
    <row r="154">
      <c r="A154" s="27" t="s">
        <v>42</v>
      </c>
      <c r="B154" s="27" t="s">
        <v>505</v>
      </c>
      <c r="C154" s="27" t="s">
        <v>506</v>
      </c>
      <c r="D154" s="27" t="s">
        <v>507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557.1</f>
        <v>557.1</v>
      </c>
      <c r="L154" s="34" t="s">
        <v>48</v>
      </c>
      <c r="M154" s="33" t="n">
        <f>581.3</f>
        <v>581.3</v>
      </c>
      <c r="N154" s="34" t="s">
        <v>116</v>
      </c>
      <c r="O154" s="33" t="n">
        <f>537.3</f>
        <v>537.3</v>
      </c>
      <c r="P154" s="34" t="s">
        <v>50</v>
      </c>
      <c r="Q154" s="33" t="n">
        <f>539.6</f>
        <v>539.6</v>
      </c>
      <c r="R154" s="34" t="s">
        <v>50</v>
      </c>
      <c r="S154" s="35" t="n">
        <f>563.93</f>
        <v>563.93</v>
      </c>
      <c r="T154" s="32" t="n">
        <f>102660</f>
        <v>102660.0</v>
      </c>
      <c r="U154" s="32" t="str">
        <f>"－"</f>
        <v>－</v>
      </c>
      <c r="V154" s="32" t="n">
        <f>57287530</f>
        <v>5.728753E7</v>
      </c>
      <c r="W154" s="32" t="str">
        <f>"－"</f>
        <v>－</v>
      </c>
      <c r="X154" s="36" t="n">
        <f>18</f>
        <v>18.0</v>
      </c>
    </row>
    <row r="155">
      <c r="A155" s="27" t="s">
        <v>42</v>
      </c>
      <c r="B155" s="27" t="s">
        <v>508</v>
      </c>
      <c r="C155" s="27" t="s">
        <v>509</v>
      </c>
      <c r="D155" s="27" t="s">
        <v>510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1313</f>
        <v>1313.0</v>
      </c>
      <c r="L155" s="34" t="s">
        <v>48</v>
      </c>
      <c r="M155" s="33" t="n">
        <f>1636</f>
        <v>1636.0</v>
      </c>
      <c r="N155" s="34" t="s">
        <v>83</v>
      </c>
      <c r="O155" s="33" t="n">
        <f>1242</f>
        <v>1242.0</v>
      </c>
      <c r="P155" s="34" t="s">
        <v>116</v>
      </c>
      <c r="Q155" s="33" t="n">
        <f>1486</f>
        <v>1486.0</v>
      </c>
      <c r="R155" s="34" t="s">
        <v>50</v>
      </c>
      <c r="S155" s="35" t="n">
        <f>1419.44</f>
        <v>1419.44</v>
      </c>
      <c r="T155" s="32" t="n">
        <f>757222</f>
        <v>757222.0</v>
      </c>
      <c r="U155" s="32" t="str">
        <f>"－"</f>
        <v>－</v>
      </c>
      <c r="V155" s="32" t="n">
        <f>1104792005</f>
        <v>1.104792005E9</v>
      </c>
      <c r="W155" s="32" t="str">
        <f>"－"</f>
        <v>－</v>
      </c>
      <c r="X155" s="36" t="n">
        <f>18</f>
        <v>18.0</v>
      </c>
    </row>
    <row r="156">
      <c r="A156" s="27" t="s">
        <v>42</v>
      </c>
      <c r="B156" s="27" t="s">
        <v>511</v>
      </c>
      <c r="C156" s="27" t="s">
        <v>512</v>
      </c>
      <c r="D156" s="27" t="s">
        <v>513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1588.5</f>
        <v>1588.5</v>
      </c>
      <c r="L156" s="34" t="s">
        <v>48</v>
      </c>
      <c r="M156" s="33" t="n">
        <f>1620</f>
        <v>1620.0</v>
      </c>
      <c r="N156" s="34" t="s">
        <v>68</v>
      </c>
      <c r="O156" s="33" t="n">
        <f>1444.5</f>
        <v>1444.5</v>
      </c>
      <c r="P156" s="34" t="s">
        <v>204</v>
      </c>
      <c r="Q156" s="33" t="n">
        <f>1480.5</f>
        <v>1480.5</v>
      </c>
      <c r="R156" s="34" t="s">
        <v>50</v>
      </c>
      <c r="S156" s="35" t="n">
        <f>1526.12</f>
        <v>1526.12</v>
      </c>
      <c r="T156" s="32" t="n">
        <f>12210</f>
        <v>12210.0</v>
      </c>
      <c r="U156" s="32" t="str">
        <f>"－"</f>
        <v>－</v>
      </c>
      <c r="V156" s="32" t="n">
        <f>18398890</f>
        <v>1.839889E7</v>
      </c>
      <c r="W156" s="32" t="str">
        <f>"－"</f>
        <v>－</v>
      </c>
      <c r="X156" s="36" t="n">
        <f>17</f>
        <v>17.0</v>
      </c>
    </row>
    <row r="157">
      <c r="A157" s="27" t="s">
        <v>42</v>
      </c>
      <c r="B157" s="27" t="s">
        <v>514</v>
      </c>
      <c r="C157" s="27" t="s">
        <v>515</v>
      </c>
      <c r="D157" s="27" t="s">
        <v>516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8615</f>
        <v>8615.0</v>
      </c>
      <c r="L157" s="34" t="s">
        <v>48</v>
      </c>
      <c r="M157" s="33" t="n">
        <f>8630</f>
        <v>8630.0</v>
      </c>
      <c r="N157" s="34" t="s">
        <v>48</v>
      </c>
      <c r="O157" s="33" t="n">
        <f>7665</f>
        <v>7665.0</v>
      </c>
      <c r="P157" s="34" t="s">
        <v>204</v>
      </c>
      <c r="Q157" s="33" t="n">
        <f>8168</f>
        <v>8168.0</v>
      </c>
      <c r="R157" s="34" t="s">
        <v>50</v>
      </c>
      <c r="S157" s="35" t="n">
        <f>8226.67</f>
        <v>8226.67</v>
      </c>
      <c r="T157" s="32" t="n">
        <f>5150</f>
        <v>5150.0</v>
      </c>
      <c r="U157" s="32" t="str">
        <f>"－"</f>
        <v>－</v>
      </c>
      <c r="V157" s="32" t="n">
        <f>42469396</f>
        <v>4.2469396E7</v>
      </c>
      <c r="W157" s="32" t="str">
        <f>"－"</f>
        <v>－</v>
      </c>
      <c r="X157" s="36" t="n">
        <f>18</f>
        <v>18.0</v>
      </c>
    </row>
    <row r="158">
      <c r="A158" s="27" t="s">
        <v>42</v>
      </c>
      <c r="B158" s="27" t="s">
        <v>517</v>
      </c>
      <c r="C158" s="27" t="s">
        <v>518</v>
      </c>
      <c r="D158" s="27" t="s">
        <v>519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100.0</v>
      </c>
      <c r="K158" s="33" t="n">
        <f>541.4</f>
        <v>541.4</v>
      </c>
      <c r="L158" s="34" t="s">
        <v>48</v>
      </c>
      <c r="M158" s="33" t="n">
        <f>544.8</f>
        <v>544.8</v>
      </c>
      <c r="N158" s="34" t="s">
        <v>48</v>
      </c>
      <c r="O158" s="33" t="n">
        <f>503.9</f>
        <v>503.9</v>
      </c>
      <c r="P158" s="34" t="s">
        <v>204</v>
      </c>
      <c r="Q158" s="33" t="n">
        <f>504.2</f>
        <v>504.2</v>
      </c>
      <c r="R158" s="34" t="s">
        <v>50</v>
      </c>
      <c r="S158" s="35" t="n">
        <f>521.69</f>
        <v>521.69</v>
      </c>
      <c r="T158" s="32" t="n">
        <f>33300</f>
        <v>33300.0</v>
      </c>
      <c r="U158" s="32" t="str">
        <f>"－"</f>
        <v>－</v>
      </c>
      <c r="V158" s="32" t="n">
        <f>17324480</f>
        <v>1.732448E7</v>
      </c>
      <c r="W158" s="32" t="str">
        <f>"－"</f>
        <v>－</v>
      </c>
      <c r="X158" s="36" t="n">
        <f>16</f>
        <v>16.0</v>
      </c>
    </row>
    <row r="159">
      <c r="A159" s="27" t="s">
        <v>42</v>
      </c>
      <c r="B159" s="27" t="s">
        <v>520</v>
      </c>
      <c r="C159" s="27" t="s">
        <v>521</v>
      </c>
      <c r="D159" s="27" t="s">
        <v>522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5929</f>
        <v>5929.0</v>
      </c>
      <c r="L159" s="34" t="s">
        <v>48</v>
      </c>
      <c r="M159" s="33" t="n">
        <f>6633</f>
        <v>6633.0</v>
      </c>
      <c r="N159" s="34" t="s">
        <v>79</v>
      </c>
      <c r="O159" s="33" t="n">
        <f>5876</f>
        <v>5876.0</v>
      </c>
      <c r="P159" s="34" t="s">
        <v>48</v>
      </c>
      <c r="Q159" s="33" t="n">
        <f>6114</f>
        <v>6114.0</v>
      </c>
      <c r="R159" s="34" t="s">
        <v>50</v>
      </c>
      <c r="S159" s="35" t="n">
        <f>6226.22</f>
        <v>6226.22</v>
      </c>
      <c r="T159" s="32" t="n">
        <f>56620</f>
        <v>56620.0</v>
      </c>
      <c r="U159" s="32" t="str">
        <f>"－"</f>
        <v>－</v>
      </c>
      <c r="V159" s="32" t="n">
        <f>354082000</f>
        <v>3.54082E8</v>
      </c>
      <c r="W159" s="32" t="str">
        <f>"－"</f>
        <v>－</v>
      </c>
      <c r="X159" s="36" t="n">
        <f>18</f>
        <v>18.0</v>
      </c>
    </row>
    <row r="160">
      <c r="A160" s="27" t="s">
        <v>42</v>
      </c>
      <c r="B160" s="27" t="s">
        <v>523</v>
      </c>
      <c r="C160" s="27" t="s">
        <v>524</v>
      </c>
      <c r="D160" s="27" t="s">
        <v>525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10.0</v>
      </c>
      <c r="K160" s="33" t="n">
        <f>2140.5</f>
        <v>2140.5</v>
      </c>
      <c r="L160" s="34" t="s">
        <v>48</v>
      </c>
      <c r="M160" s="33" t="n">
        <f>2200</f>
        <v>2200.0</v>
      </c>
      <c r="N160" s="34" t="s">
        <v>68</v>
      </c>
      <c r="O160" s="33" t="n">
        <f>2073</f>
        <v>2073.0</v>
      </c>
      <c r="P160" s="34" t="s">
        <v>204</v>
      </c>
      <c r="Q160" s="33" t="n">
        <f>2104.5</f>
        <v>2104.5</v>
      </c>
      <c r="R160" s="34" t="s">
        <v>50</v>
      </c>
      <c r="S160" s="35" t="n">
        <f>2126.75</f>
        <v>2126.75</v>
      </c>
      <c r="T160" s="32" t="n">
        <f>8880</f>
        <v>8880.0</v>
      </c>
      <c r="U160" s="32" t="str">
        <f>"－"</f>
        <v>－</v>
      </c>
      <c r="V160" s="32" t="n">
        <f>18860725</f>
        <v>1.8860725E7</v>
      </c>
      <c r="W160" s="32" t="str">
        <f>"－"</f>
        <v>－</v>
      </c>
      <c r="X160" s="36" t="n">
        <f>18</f>
        <v>18.0</v>
      </c>
    </row>
    <row r="161">
      <c r="A161" s="27" t="s">
        <v>42</v>
      </c>
      <c r="B161" s="27" t="s">
        <v>526</v>
      </c>
      <c r="C161" s="27" t="s">
        <v>527</v>
      </c>
      <c r="D161" s="27" t="s">
        <v>528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3295</f>
        <v>3295.0</v>
      </c>
      <c r="L161" s="34" t="s">
        <v>48</v>
      </c>
      <c r="M161" s="33" t="n">
        <f>3485</f>
        <v>3485.0</v>
      </c>
      <c r="N161" s="34" t="s">
        <v>236</v>
      </c>
      <c r="O161" s="33" t="n">
        <f>3105</f>
        <v>3105.0</v>
      </c>
      <c r="P161" s="34" t="s">
        <v>50</v>
      </c>
      <c r="Q161" s="33" t="n">
        <f>3130</f>
        <v>3130.0</v>
      </c>
      <c r="R161" s="34" t="s">
        <v>50</v>
      </c>
      <c r="S161" s="35" t="n">
        <f>3326.67</f>
        <v>3326.67</v>
      </c>
      <c r="T161" s="32" t="n">
        <f>195235</f>
        <v>195235.0</v>
      </c>
      <c r="U161" s="32" t="str">
        <f>"－"</f>
        <v>－</v>
      </c>
      <c r="V161" s="32" t="n">
        <f>645868675</f>
        <v>6.45868675E8</v>
      </c>
      <c r="W161" s="32" t="str">
        <f>"－"</f>
        <v>－</v>
      </c>
      <c r="X161" s="36" t="n">
        <f>18</f>
        <v>18.0</v>
      </c>
    </row>
    <row r="162">
      <c r="A162" s="27" t="s">
        <v>42</v>
      </c>
      <c r="B162" s="27" t="s">
        <v>529</v>
      </c>
      <c r="C162" s="27" t="s">
        <v>530</v>
      </c>
      <c r="D162" s="27" t="s">
        <v>531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3465</f>
        <v>3465.0</v>
      </c>
      <c r="L162" s="34" t="s">
        <v>48</v>
      </c>
      <c r="M162" s="33" t="n">
        <f>3535</f>
        <v>3535.0</v>
      </c>
      <c r="N162" s="34" t="s">
        <v>236</v>
      </c>
      <c r="O162" s="33" t="n">
        <f>3240</f>
        <v>3240.0</v>
      </c>
      <c r="P162" s="34" t="s">
        <v>50</v>
      </c>
      <c r="Q162" s="33" t="n">
        <f>3265</f>
        <v>3265.0</v>
      </c>
      <c r="R162" s="34" t="s">
        <v>50</v>
      </c>
      <c r="S162" s="35" t="n">
        <f>3441.11</f>
        <v>3441.11</v>
      </c>
      <c r="T162" s="32" t="n">
        <f>23392</f>
        <v>23392.0</v>
      </c>
      <c r="U162" s="32" t="str">
        <f>"－"</f>
        <v>－</v>
      </c>
      <c r="V162" s="32" t="n">
        <f>80309230</f>
        <v>8.030923E7</v>
      </c>
      <c r="W162" s="32" t="str">
        <f>"－"</f>
        <v>－</v>
      </c>
      <c r="X162" s="36" t="n">
        <f>18</f>
        <v>18.0</v>
      </c>
    </row>
    <row r="163">
      <c r="A163" s="27" t="s">
        <v>42</v>
      </c>
      <c r="B163" s="27" t="s">
        <v>532</v>
      </c>
      <c r="C163" s="27" t="s">
        <v>533</v>
      </c>
      <c r="D163" s="27" t="s">
        <v>534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10.0</v>
      </c>
      <c r="K163" s="33" t="n">
        <f>3986</f>
        <v>3986.0</v>
      </c>
      <c r="L163" s="34" t="s">
        <v>48</v>
      </c>
      <c r="M163" s="33" t="n">
        <f>4074</f>
        <v>4074.0</v>
      </c>
      <c r="N163" s="34" t="s">
        <v>116</v>
      </c>
      <c r="O163" s="33" t="n">
        <f>3750</f>
        <v>3750.0</v>
      </c>
      <c r="P163" s="34" t="s">
        <v>204</v>
      </c>
      <c r="Q163" s="33" t="n">
        <f>3790</f>
        <v>3790.0</v>
      </c>
      <c r="R163" s="34" t="s">
        <v>50</v>
      </c>
      <c r="S163" s="35" t="n">
        <f>3893.44</f>
        <v>3893.44</v>
      </c>
      <c r="T163" s="32" t="n">
        <f>12760</f>
        <v>12760.0</v>
      </c>
      <c r="U163" s="32" t="str">
        <f>"－"</f>
        <v>－</v>
      </c>
      <c r="V163" s="32" t="n">
        <f>49522820</f>
        <v>4.952282E7</v>
      </c>
      <c r="W163" s="32" t="str">
        <f>"－"</f>
        <v>－</v>
      </c>
      <c r="X163" s="36" t="n">
        <f>18</f>
        <v>18.0</v>
      </c>
    </row>
    <row r="164">
      <c r="A164" s="27" t="s">
        <v>42</v>
      </c>
      <c r="B164" s="27" t="s">
        <v>535</v>
      </c>
      <c r="C164" s="27" t="s">
        <v>536</v>
      </c>
      <c r="D164" s="27" t="s">
        <v>537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10.0</v>
      </c>
      <c r="K164" s="33" t="n">
        <f>2977</f>
        <v>2977.0</v>
      </c>
      <c r="L164" s="34" t="s">
        <v>48</v>
      </c>
      <c r="M164" s="33" t="n">
        <f>3025</f>
        <v>3025.0</v>
      </c>
      <c r="N164" s="34" t="s">
        <v>236</v>
      </c>
      <c r="O164" s="33" t="n">
        <f>2937</f>
        <v>2937.0</v>
      </c>
      <c r="P164" s="34" t="s">
        <v>161</v>
      </c>
      <c r="Q164" s="33" t="n">
        <f>3020</f>
        <v>3020.0</v>
      </c>
      <c r="R164" s="34" t="s">
        <v>50</v>
      </c>
      <c r="S164" s="35" t="n">
        <f>2986.53</f>
        <v>2986.53</v>
      </c>
      <c r="T164" s="32" t="n">
        <f>448100</f>
        <v>448100.0</v>
      </c>
      <c r="U164" s="32" t="n">
        <f>247790</f>
        <v>247790.0</v>
      </c>
      <c r="V164" s="32" t="n">
        <f>1338973288</f>
        <v>1.338973288E9</v>
      </c>
      <c r="W164" s="32" t="n">
        <f>741521283</f>
        <v>7.41521283E8</v>
      </c>
      <c r="X164" s="36" t="n">
        <f>18</f>
        <v>18.0</v>
      </c>
    </row>
    <row r="165">
      <c r="A165" s="27" t="s">
        <v>42</v>
      </c>
      <c r="B165" s="27" t="s">
        <v>538</v>
      </c>
      <c r="C165" s="27" t="s">
        <v>539</v>
      </c>
      <c r="D165" s="27" t="s">
        <v>540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435.5</f>
        <v>435.5</v>
      </c>
      <c r="L165" s="34" t="s">
        <v>48</v>
      </c>
      <c r="M165" s="33" t="n">
        <f>435.8</f>
        <v>435.8</v>
      </c>
      <c r="N165" s="34" t="s">
        <v>48</v>
      </c>
      <c r="O165" s="33" t="n">
        <f>398.6</f>
        <v>398.6</v>
      </c>
      <c r="P165" s="34" t="s">
        <v>204</v>
      </c>
      <c r="Q165" s="33" t="n">
        <f>406.4</f>
        <v>406.4</v>
      </c>
      <c r="R165" s="34" t="s">
        <v>50</v>
      </c>
      <c r="S165" s="35" t="n">
        <f>420.39</f>
        <v>420.39</v>
      </c>
      <c r="T165" s="32" t="n">
        <f>4644380</f>
        <v>4644380.0</v>
      </c>
      <c r="U165" s="32" t="n">
        <f>5000</f>
        <v>5000.0</v>
      </c>
      <c r="V165" s="32" t="n">
        <f>1944433984</f>
        <v>1.944433984E9</v>
      </c>
      <c r="W165" s="32" t="n">
        <f>2120500</f>
        <v>2120500.0</v>
      </c>
      <c r="X165" s="36" t="n">
        <f>18</f>
        <v>18.0</v>
      </c>
    </row>
    <row r="166">
      <c r="A166" s="27" t="s">
        <v>42</v>
      </c>
      <c r="B166" s="27" t="s">
        <v>541</v>
      </c>
      <c r="C166" s="27" t="s">
        <v>542</v>
      </c>
      <c r="D166" s="27" t="s">
        <v>543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2020</f>
        <v>2020.0</v>
      </c>
      <c r="L166" s="34" t="s">
        <v>48</v>
      </c>
      <c r="M166" s="33" t="n">
        <f>2030</f>
        <v>2030.0</v>
      </c>
      <c r="N166" s="34" t="s">
        <v>236</v>
      </c>
      <c r="O166" s="33" t="n">
        <f>1960</f>
        <v>1960.0</v>
      </c>
      <c r="P166" s="34" t="s">
        <v>50</v>
      </c>
      <c r="Q166" s="33" t="n">
        <f>1969</f>
        <v>1969.0</v>
      </c>
      <c r="R166" s="34" t="s">
        <v>50</v>
      </c>
      <c r="S166" s="35" t="n">
        <f>1998.94</f>
        <v>1998.94</v>
      </c>
      <c r="T166" s="32" t="n">
        <f>3153</f>
        <v>3153.0</v>
      </c>
      <c r="U166" s="32" t="str">
        <f>"－"</f>
        <v>－</v>
      </c>
      <c r="V166" s="32" t="n">
        <f>6299835</f>
        <v>6299835.0</v>
      </c>
      <c r="W166" s="32" t="str">
        <f>"－"</f>
        <v>－</v>
      </c>
      <c r="X166" s="36" t="n">
        <f>18</f>
        <v>18.0</v>
      </c>
    </row>
    <row r="167">
      <c r="A167" s="27" t="s">
        <v>42</v>
      </c>
      <c r="B167" s="27" t="s">
        <v>544</v>
      </c>
      <c r="C167" s="27" t="s">
        <v>545</v>
      </c>
      <c r="D167" s="27" t="s">
        <v>546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1192</f>
        <v>1192.0</v>
      </c>
      <c r="L167" s="34" t="s">
        <v>48</v>
      </c>
      <c r="M167" s="33" t="n">
        <f>1244</f>
        <v>1244.0</v>
      </c>
      <c r="N167" s="34" t="s">
        <v>79</v>
      </c>
      <c r="O167" s="33" t="n">
        <f>1130</f>
        <v>1130.0</v>
      </c>
      <c r="P167" s="34" t="s">
        <v>50</v>
      </c>
      <c r="Q167" s="33" t="n">
        <f>1140</f>
        <v>1140.0</v>
      </c>
      <c r="R167" s="34" t="s">
        <v>50</v>
      </c>
      <c r="S167" s="35" t="n">
        <f>1208.56</f>
        <v>1208.56</v>
      </c>
      <c r="T167" s="32" t="n">
        <f>1135806</f>
        <v>1135806.0</v>
      </c>
      <c r="U167" s="32" t="n">
        <f>1</f>
        <v>1.0</v>
      </c>
      <c r="V167" s="32" t="n">
        <f>1362452133</f>
        <v>1.362452133E9</v>
      </c>
      <c r="W167" s="32" t="n">
        <f>1201</f>
        <v>1201.0</v>
      </c>
      <c r="X167" s="36" t="n">
        <f>18</f>
        <v>18.0</v>
      </c>
    </row>
    <row r="168">
      <c r="A168" s="27" t="s">
        <v>42</v>
      </c>
      <c r="B168" s="27" t="s">
        <v>547</v>
      </c>
      <c r="C168" s="27" t="s">
        <v>548</v>
      </c>
      <c r="D168" s="27" t="s">
        <v>549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276.4</f>
        <v>276.4</v>
      </c>
      <c r="L168" s="34" t="s">
        <v>48</v>
      </c>
      <c r="M168" s="33" t="n">
        <f>285.7</f>
        <v>285.7</v>
      </c>
      <c r="N168" s="34" t="s">
        <v>50</v>
      </c>
      <c r="O168" s="33" t="n">
        <f>273.3</f>
        <v>273.3</v>
      </c>
      <c r="P168" s="34" t="s">
        <v>83</v>
      </c>
      <c r="Q168" s="33" t="n">
        <f>285.6</f>
        <v>285.6</v>
      </c>
      <c r="R168" s="34" t="s">
        <v>50</v>
      </c>
      <c r="S168" s="35" t="n">
        <f>278.64</f>
        <v>278.64</v>
      </c>
      <c r="T168" s="32" t="n">
        <f>3525930</f>
        <v>3525930.0</v>
      </c>
      <c r="U168" s="32" t="str">
        <f>"－"</f>
        <v>－</v>
      </c>
      <c r="V168" s="32" t="n">
        <f>990874597</f>
        <v>9.90874597E8</v>
      </c>
      <c r="W168" s="32" t="str">
        <f>"－"</f>
        <v>－</v>
      </c>
      <c r="X168" s="36" t="n">
        <f>18</f>
        <v>18.0</v>
      </c>
    </row>
    <row r="169">
      <c r="A169" s="27" t="s">
        <v>42</v>
      </c>
      <c r="B169" s="27" t="s">
        <v>550</v>
      </c>
      <c r="C169" s="27" t="s">
        <v>551</v>
      </c>
      <c r="D169" s="27" t="s">
        <v>552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296.6</f>
        <v>296.6</v>
      </c>
      <c r="L169" s="34" t="s">
        <v>48</v>
      </c>
      <c r="M169" s="33" t="n">
        <f>302.7</f>
        <v>302.7</v>
      </c>
      <c r="N169" s="34" t="s">
        <v>99</v>
      </c>
      <c r="O169" s="33" t="n">
        <f>284.2</f>
        <v>284.2</v>
      </c>
      <c r="P169" s="34" t="s">
        <v>156</v>
      </c>
      <c r="Q169" s="33" t="n">
        <f>297.1</f>
        <v>297.1</v>
      </c>
      <c r="R169" s="34" t="s">
        <v>50</v>
      </c>
      <c r="S169" s="35" t="n">
        <f>294.01</f>
        <v>294.01</v>
      </c>
      <c r="T169" s="32" t="n">
        <f>993970</f>
        <v>993970.0</v>
      </c>
      <c r="U169" s="32" t="str">
        <f>"－"</f>
        <v>－</v>
      </c>
      <c r="V169" s="32" t="n">
        <f>290904388</f>
        <v>2.90904388E8</v>
      </c>
      <c r="W169" s="32" t="str">
        <f>"－"</f>
        <v>－</v>
      </c>
      <c r="X169" s="36" t="n">
        <f>18</f>
        <v>18.0</v>
      </c>
    </row>
    <row r="170">
      <c r="A170" s="27" t="s">
        <v>42</v>
      </c>
      <c r="B170" s="27" t="s">
        <v>553</v>
      </c>
      <c r="C170" s="27" t="s">
        <v>554</v>
      </c>
      <c r="D170" s="27" t="s">
        <v>555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518.9</f>
        <v>518.9</v>
      </c>
      <c r="L170" s="34" t="s">
        <v>48</v>
      </c>
      <c r="M170" s="33" t="n">
        <f>518.9</f>
        <v>518.9</v>
      </c>
      <c r="N170" s="34" t="s">
        <v>48</v>
      </c>
      <c r="O170" s="33" t="n">
        <f>494.5</f>
        <v>494.5</v>
      </c>
      <c r="P170" s="34" t="s">
        <v>204</v>
      </c>
      <c r="Q170" s="33" t="n">
        <f>494.5</f>
        <v>494.5</v>
      </c>
      <c r="R170" s="34" t="s">
        <v>50</v>
      </c>
      <c r="S170" s="35" t="n">
        <f>501.82</f>
        <v>501.82</v>
      </c>
      <c r="T170" s="32" t="n">
        <f>805450</f>
        <v>805450.0</v>
      </c>
      <c r="U170" s="32" t="n">
        <f>800000</f>
        <v>800000.0</v>
      </c>
      <c r="V170" s="32" t="n">
        <f>398650542</f>
        <v>3.98650542E8</v>
      </c>
      <c r="W170" s="32" t="n">
        <f>395905920</f>
        <v>3.9590592E8</v>
      </c>
      <c r="X170" s="36" t="n">
        <f>13</f>
        <v>13.0</v>
      </c>
    </row>
    <row r="171">
      <c r="A171" s="27" t="s">
        <v>42</v>
      </c>
      <c r="B171" s="27" t="s">
        <v>556</v>
      </c>
      <c r="C171" s="27" t="s">
        <v>557</v>
      </c>
      <c r="D171" s="27" t="s">
        <v>558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514.5</f>
        <v>514.5</v>
      </c>
      <c r="L171" s="34" t="s">
        <v>48</v>
      </c>
      <c r="M171" s="33" t="n">
        <f>571.4</f>
        <v>571.4</v>
      </c>
      <c r="N171" s="34" t="s">
        <v>157</v>
      </c>
      <c r="O171" s="33" t="n">
        <f>488.9</f>
        <v>488.9</v>
      </c>
      <c r="P171" s="34" t="s">
        <v>156</v>
      </c>
      <c r="Q171" s="33" t="n">
        <f>505</f>
        <v>505.0</v>
      </c>
      <c r="R171" s="34" t="s">
        <v>50</v>
      </c>
      <c r="S171" s="35" t="n">
        <f>499.66</f>
        <v>499.66</v>
      </c>
      <c r="T171" s="32" t="n">
        <f>34420</f>
        <v>34420.0</v>
      </c>
      <c r="U171" s="32" t="str">
        <f>"－"</f>
        <v>－</v>
      </c>
      <c r="V171" s="32" t="n">
        <f>17597428</f>
        <v>1.7597428E7</v>
      </c>
      <c r="W171" s="32" t="str">
        <f>"－"</f>
        <v>－</v>
      </c>
      <c r="X171" s="36" t="n">
        <f>18</f>
        <v>18.0</v>
      </c>
    </row>
    <row r="172">
      <c r="A172" s="27" t="s">
        <v>42</v>
      </c>
      <c r="B172" s="27" t="s">
        <v>559</v>
      </c>
      <c r="C172" s="27" t="s">
        <v>560</v>
      </c>
      <c r="D172" s="27" t="s">
        <v>561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489.6</f>
        <v>489.6</v>
      </c>
      <c r="L172" s="34" t="s">
        <v>48</v>
      </c>
      <c r="M172" s="33" t="n">
        <f>534</f>
        <v>534.0</v>
      </c>
      <c r="N172" s="34" t="s">
        <v>204</v>
      </c>
      <c r="O172" s="33" t="n">
        <f>477</f>
        <v>477.0</v>
      </c>
      <c r="P172" s="34" t="s">
        <v>48</v>
      </c>
      <c r="Q172" s="33" t="n">
        <f>499.9</f>
        <v>499.9</v>
      </c>
      <c r="R172" s="34" t="s">
        <v>50</v>
      </c>
      <c r="S172" s="35" t="n">
        <f>487.68</f>
        <v>487.68</v>
      </c>
      <c r="T172" s="32" t="n">
        <f>39110</f>
        <v>39110.0</v>
      </c>
      <c r="U172" s="32" t="n">
        <f>20</f>
        <v>20.0</v>
      </c>
      <c r="V172" s="32" t="n">
        <f>19554247</f>
        <v>1.9554247E7</v>
      </c>
      <c r="W172" s="32" t="n">
        <f>9658</f>
        <v>9658.0</v>
      </c>
      <c r="X172" s="36" t="n">
        <f>15</f>
        <v>15.0</v>
      </c>
    </row>
    <row r="173">
      <c r="A173" s="27" t="s">
        <v>42</v>
      </c>
      <c r="B173" s="27" t="s">
        <v>562</v>
      </c>
      <c r="C173" s="27" t="s">
        <v>563</v>
      </c>
      <c r="D173" s="27" t="s">
        <v>564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1.0</v>
      </c>
      <c r="K173" s="33" t="n">
        <f>957</f>
        <v>957.0</v>
      </c>
      <c r="L173" s="34" t="s">
        <v>48</v>
      </c>
      <c r="M173" s="33" t="n">
        <f>966</f>
        <v>966.0</v>
      </c>
      <c r="N173" s="34" t="s">
        <v>116</v>
      </c>
      <c r="O173" s="33" t="n">
        <f>862</f>
        <v>862.0</v>
      </c>
      <c r="P173" s="34" t="s">
        <v>50</v>
      </c>
      <c r="Q173" s="33" t="n">
        <f>863</f>
        <v>863.0</v>
      </c>
      <c r="R173" s="34" t="s">
        <v>50</v>
      </c>
      <c r="S173" s="35" t="n">
        <f>917.89</f>
        <v>917.89</v>
      </c>
      <c r="T173" s="32" t="n">
        <f>328370</f>
        <v>328370.0</v>
      </c>
      <c r="U173" s="32" t="n">
        <f>251</f>
        <v>251.0</v>
      </c>
      <c r="V173" s="32" t="n">
        <f>303298543</f>
        <v>3.03298543E8</v>
      </c>
      <c r="W173" s="32" t="n">
        <f>229880</f>
        <v>229880.0</v>
      </c>
      <c r="X173" s="36" t="n">
        <f>18</f>
        <v>18.0</v>
      </c>
    </row>
    <row r="174">
      <c r="A174" s="27" t="s">
        <v>42</v>
      </c>
      <c r="B174" s="27" t="s">
        <v>565</v>
      </c>
      <c r="C174" s="27" t="s">
        <v>566</v>
      </c>
      <c r="D174" s="27" t="s">
        <v>567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1.0</v>
      </c>
      <c r="K174" s="33" t="n">
        <f>1623</f>
        <v>1623.0</v>
      </c>
      <c r="L174" s="34" t="s">
        <v>48</v>
      </c>
      <c r="M174" s="33" t="n">
        <f>1763</f>
        <v>1763.0</v>
      </c>
      <c r="N174" s="34" t="s">
        <v>83</v>
      </c>
      <c r="O174" s="33" t="n">
        <f>1556</f>
        <v>1556.0</v>
      </c>
      <c r="P174" s="34" t="s">
        <v>50</v>
      </c>
      <c r="Q174" s="33" t="n">
        <f>1575</f>
        <v>1575.0</v>
      </c>
      <c r="R174" s="34" t="s">
        <v>50</v>
      </c>
      <c r="S174" s="35" t="n">
        <f>1678</f>
        <v>1678.0</v>
      </c>
      <c r="T174" s="32" t="n">
        <f>2140994</f>
        <v>2140994.0</v>
      </c>
      <c r="U174" s="32" t="n">
        <f>514821</f>
        <v>514821.0</v>
      </c>
      <c r="V174" s="32" t="n">
        <f>3557920594</f>
        <v>3.557920594E9</v>
      </c>
      <c r="W174" s="32" t="n">
        <f>861259835</f>
        <v>8.61259835E8</v>
      </c>
      <c r="X174" s="36" t="n">
        <f>18</f>
        <v>18.0</v>
      </c>
    </row>
    <row r="175">
      <c r="A175" s="27" t="s">
        <v>42</v>
      </c>
      <c r="B175" s="27" t="s">
        <v>568</v>
      </c>
      <c r="C175" s="27" t="s">
        <v>569</v>
      </c>
      <c r="D175" s="27" t="s">
        <v>570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580</f>
        <v>580.0</v>
      </c>
      <c r="L175" s="34" t="s">
        <v>48</v>
      </c>
      <c r="M175" s="33" t="n">
        <f>587</f>
        <v>587.0</v>
      </c>
      <c r="N175" s="34" t="s">
        <v>236</v>
      </c>
      <c r="O175" s="33" t="n">
        <f>569.2</f>
        <v>569.2</v>
      </c>
      <c r="P175" s="34" t="s">
        <v>157</v>
      </c>
      <c r="Q175" s="33" t="n">
        <f>577</f>
        <v>577.0</v>
      </c>
      <c r="R175" s="34" t="s">
        <v>50</v>
      </c>
      <c r="S175" s="35" t="n">
        <f>578.04</f>
        <v>578.04</v>
      </c>
      <c r="T175" s="32" t="n">
        <f>1795370</f>
        <v>1795370.0</v>
      </c>
      <c r="U175" s="32" t="str">
        <f>"－"</f>
        <v>－</v>
      </c>
      <c r="V175" s="32" t="n">
        <f>1035640465</f>
        <v>1.035640465E9</v>
      </c>
      <c r="W175" s="32" t="str">
        <f>"－"</f>
        <v>－</v>
      </c>
      <c r="X175" s="36" t="n">
        <f>18</f>
        <v>18.0</v>
      </c>
    </row>
    <row r="176">
      <c r="A176" s="27" t="s">
        <v>42</v>
      </c>
      <c r="B176" s="27" t="s">
        <v>571</v>
      </c>
      <c r="C176" s="27" t="s">
        <v>572</v>
      </c>
      <c r="D176" s="27" t="s">
        <v>573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222.9</f>
        <v>222.9</v>
      </c>
      <c r="L176" s="34" t="s">
        <v>48</v>
      </c>
      <c r="M176" s="33" t="n">
        <f>223.4</f>
        <v>223.4</v>
      </c>
      <c r="N176" s="34" t="s">
        <v>48</v>
      </c>
      <c r="O176" s="33" t="n">
        <f>213.1</f>
        <v>213.1</v>
      </c>
      <c r="P176" s="34" t="s">
        <v>99</v>
      </c>
      <c r="Q176" s="33" t="n">
        <f>215.6</f>
        <v>215.6</v>
      </c>
      <c r="R176" s="34" t="s">
        <v>50</v>
      </c>
      <c r="S176" s="35" t="n">
        <f>218.17</f>
        <v>218.17</v>
      </c>
      <c r="T176" s="32" t="n">
        <f>17914810</f>
        <v>1.791481E7</v>
      </c>
      <c r="U176" s="32" t="n">
        <f>14900000</f>
        <v>1.49E7</v>
      </c>
      <c r="V176" s="32" t="n">
        <f>3904205887</f>
        <v>3.904205887E9</v>
      </c>
      <c r="W176" s="32" t="n">
        <f>3245580000</f>
        <v>3.24558E9</v>
      </c>
      <c r="X176" s="36" t="n">
        <f>18</f>
        <v>18.0</v>
      </c>
    </row>
    <row r="177">
      <c r="A177" s="27" t="s">
        <v>42</v>
      </c>
      <c r="B177" s="27" t="s">
        <v>574</v>
      </c>
      <c r="C177" s="27" t="s">
        <v>575</v>
      </c>
      <c r="D177" s="27" t="s">
        <v>576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238.2</f>
        <v>238.2</v>
      </c>
      <c r="L177" s="34" t="s">
        <v>48</v>
      </c>
      <c r="M177" s="33" t="n">
        <f>242.4</f>
        <v>242.4</v>
      </c>
      <c r="N177" s="34" t="s">
        <v>157</v>
      </c>
      <c r="O177" s="33" t="n">
        <f>233</f>
        <v>233.0</v>
      </c>
      <c r="P177" s="34" t="s">
        <v>161</v>
      </c>
      <c r="Q177" s="33" t="n">
        <f>239.7</f>
        <v>239.7</v>
      </c>
      <c r="R177" s="34" t="s">
        <v>50</v>
      </c>
      <c r="S177" s="35" t="n">
        <f>238.33</f>
        <v>238.33</v>
      </c>
      <c r="T177" s="32" t="n">
        <f>7279760</f>
        <v>7279760.0</v>
      </c>
      <c r="U177" s="32" t="n">
        <f>511700</f>
        <v>511700.0</v>
      </c>
      <c r="V177" s="32" t="n">
        <f>1737458638</f>
        <v>1.737458638E9</v>
      </c>
      <c r="W177" s="32" t="n">
        <f>122456280</f>
        <v>1.2245628E8</v>
      </c>
      <c r="X177" s="36" t="n">
        <f>18</f>
        <v>18.0</v>
      </c>
    </row>
    <row r="178">
      <c r="A178" s="27" t="s">
        <v>42</v>
      </c>
      <c r="B178" s="27" t="s">
        <v>577</v>
      </c>
      <c r="C178" s="27" t="s">
        <v>578</v>
      </c>
      <c r="D178" s="27" t="s">
        <v>579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249.5</f>
        <v>249.5</v>
      </c>
      <c r="L178" s="34" t="s">
        <v>48</v>
      </c>
      <c r="M178" s="33" t="n">
        <f>252.6</f>
        <v>252.6</v>
      </c>
      <c r="N178" s="34" t="s">
        <v>68</v>
      </c>
      <c r="O178" s="33" t="n">
        <f>240.7</f>
        <v>240.7</v>
      </c>
      <c r="P178" s="34" t="s">
        <v>50</v>
      </c>
      <c r="Q178" s="33" t="n">
        <f>242.6</f>
        <v>242.6</v>
      </c>
      <c r="R178" s="34" t="s">
        <v>50</v>
      </c>
      <c r="S178" s="35" t="n">
        <f>247.14</f>
        <v>247.14</v>
      </c>
      <c r="T178" s="32" t="n">
        <f>6466850</f>
        <v>6466850.0</v>
      </c>
      <c r="U178" s="32" t="str">
        <f>"－"</f>
        <v>－</v>
      </c>
      <c r="V178" s="32" t="n">
        <f>1599923361</f>
        <v>1.599923361E9</v>
      </c>
      <c r="W178" s="32" t="str">
        <f>"－"</f>
        <v>－</v>
      </c>
      <c r="X178" s="36" t="n">
        <f>18</f>
        <v>18.0</v>
      </c>
    </row>
    <row r="179">
      <c r="A179" s="27" t="s">
        <v>42</v>
      </c>
      <c r="B179" s="27" t="s">
        <v>580</v>
      </c>
      <c r="C179" s="27" t="s">
        <v>581</v>
      </c>
      <c r="D179" s="27" t="s">
        <v>582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1.0</v>
      </c>
      <c r="K179" s="33" t="n">
        <f>2079</f>
        <v>2079.0</v>
      </c>
      <c r="L179" s="34" t="s">
        <v>48</v>
      </c>
      <c r="M179" s="33" t="n">
        <f>2096</f>
        <v>2096.0</v>
      </c>
      <c r="N179" s="34" t="s">
        <v>68</v>
      </c>
      <c r="O179" s="33" t="n">
        <f>1995</f>
        <v>1995.0</v>
      </c>
      <c r="P179" s="34" t="s">
        <v>156</v>
      </c>
      <c r="Q179" s="33" t="n">
        <f>2043</f>
        <v>2043.0</v>
      </c>
      <c r="R179" s="34" t="s">
        <v>50</v>
      </c>
      <c r="S179" s="35" t="n">
        <f>2046.56</f>
        <v>2046.56</v>
      </c>
      <c r="T179" s="32" t="n">
        <f>39700</f>
        <v>39700.0</v>
      </c>
      <c r="U179" s="32" t="n">
        <f>2</f>
        <v>2.0</v>
      </c>
      <c r="V179" s="32" t="n">
        <f>81507745</f>
        <v>8.1507745E7</v>
      </c>
      <c r="W179" s="32" t="n">
        <f>4120</f>
        <v>4120.0</v>
      </c>
      <c r="X179" s="36" t="n">
        <f>18</f>
        <v>18.0</v>
      </c>
    </row>
    <row r="180">
      <c r="A180" s="27" t="s">
        <v>42</v>
      </c>
      <c r="B180" s="27" t="s">
        <v>583</v>
      </c>
      <c r="C180" s="27" t="s">
        <v>584</v>
      </c>
      <c r="D180" s="27" t="s">
        <v>585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1.0</v>
      </c>
      <c r="K180" s="33" t="n">
        <f>1828</f>
        <v>1828.0</v>
      </c>
      <c r="L180" s="34" t="s">
        <v>48</v>
      </c>
      <c r="M180" s="33" t="n">
        <f>1946</f>
        <v>1946.0</v>
      </c>
      <c r="N180" s="34" t="s">
        <v>69</v>
      </c>
      <c r="O180" s="33" t="n">
        <f>1828</f>
        <v>1828.0</v>
      </c>
      <c r="P180" s="34" t="s">
        <v>48</v>
      </c>
      <c r="Q180" s="33" t="n">
        <f>1894</f>
        <v>1894.0</v>
      </c>
      <c r="R180" s="34" t="s">
        <v>50</v>
      </c>
      <c r="S180" s="35" t="n">
        <f>1872.28</f>
        <v>1872.28</v>
      </c>
      <c r="T180" s="32" t="n">
        <f>138268</f>
        <v>138268.0</v>
      </c>
      <c r="U180" s="32" t="n">
        <f>2</f>
        <v>2.0</v>
      </c>
      <c r="V180" s="32" t="n">
        <f>258032378</f>
        <v>2.58032378E8</v>
      </c>
      <c r="W180" s="32" t="n">
        <f>3745</f>
        <v>3745.0</v>
      </c>
      <c r="X180" s="36" t="n">
        <f>18</f>
        <v>18.0</v>
      </c>
    </row>
    <row r="181">
      <c r="A181" s="27" t="s">
        <v>42</v>
      </c>
      <c r="B181" s="27" t="s">
        <v>586</v>
      </c>
      <c r="C181" s="27" t="s">
        <v>587</v>
      </c>
      <c r="D181" s="27" t="s">
        <v>588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1.0</v>
      </c>
      <c r="K181" s="33" t="n">
        <f>1070</f>
        <v>1070.0</v>
      </c>
      <c r="L181" s="34" t="s">
        <v>48</v>
      </c>
      <c r="M181" s="33" t="n">
        <f>1087</f>
        <v>1087.0</v>
      </c>
      <c r="N181" s="34" t="s">
        <v>79</v>
      </c>
      <c r="O181" s="33" t="n">
        <f>1030</f>
        <v>1030.0</v>
      </c>
      <c r="P181" s="34" t="s">
        <v>50</v>
      </c>
      <c r="Q181" s="33" t="n">
        <f>1037</f>
        <v>1037.0</v>
      </c>
      <c r="R181" s="34" t="s">
        <v>50</v>
      </c>
      <c r="S181" s="35" t="n">
        <f>1066.83</f>
        <v>1066.83</v>
      </c>
      <c r="T181" s="32" t="n">
        <f>1596888</f>
        <v>1596888.0</v>
      </c>
      <c r="U181" s="32" t="n">
        <f>692990</f>
        <v>692990.0</v>
      </c>
      <c r="V181" s="32" t="n">
        <f>1697947403</f>
        <v>1.697947403E9</v>
      </c>
      <c r="W181" s="32" t="n">
        <f>738364899</f>
        <v>7.38364899E8</v>
      </c>
      <c r="X181" s="36" t="n">
        <f>18</f>
        <v>18.0</v>
      </c>
    </row>
    <row r="182">
      <c r="A182" s="27" t="s">
        <v>42</v>
      </c>
      <c r="B182" s="27" t="s">
        <v>589</v>
      </c>
      <c r="C182" s="27" t="s">
        <v>590</v>
      </c>
      <c r="D182" s="27" t="s">
        <v>591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1.0</v>
      </c>
      <c r="K182" s="33" t="n">
        <f>1137</f>
        <v>1137.0</v>
      </c>
      <c r="L182" s="34" t="s">
        <v>48</v>
      </c>
      <c r="M182" s="33" t="n">
        <f>1156</f>
        <v>1156.0</v>
      </c>
      <c r="N182" s="34" t="s">
        <v>79</v>
      </c>
      <c r="O182" s="33" t="n">
        <f>1117</f>
        <v>1117.0</v>
      </c>
      <c r="P182" s="34" t="s">
        <v>116</v>
      </c>
      <c r="Q182" s="33" t="n">
        <f>1139</f>
        <v>1139.0</v>
      </c>
      <c r="R182" s="34" t="s">
        <v>50</v>
      </c>
      <c r="S182" s="35" t="n">
        <f>1132.89</f>
        <v>1132.89</v>
      </c>
      <c r="T182" s="32" t="n">
        <f>112268</f>
        <v>112268.0</v>
      </c>
      <c r="U182" s="32" t="str">
        <f>"－"</f>
        <v>－</v>
      </c>
      <c r="V182" s="32" t="n">
        <f>126837460</f>
        <v>1.2683746E8</v>
      </c>
      <c r="W182" s="32" t="str">
        <f>"－"</f>
        <v>－</v>
      </c>
      <c r="X182" s="36" t="n">
        <f>18</f>
        <v>18.0</v>
      </c>
    </row>
    <row r="183">
      <c r="A183" s="27" t="s">
        <v>42</v>
      </c>
      <c r="B183" s="27" t="s">
        <v>592</v>
      </c>
      <c r="C183" s="27" t="s">
        <v>593</v>
      </c>
      <c r="D183" s="27" t="s">
        <v>594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1.0</v>
      </c>
      <c r="K183" s="33" t="n">
        <f>1075</f>
        <v>1075.0</v>
      </c>
      <c r="L183" s="34" t="s">
        <v>48</v>
      </c>
      <c r="M183" s="33" t="n">
        <f>1090</f>
        <v>1090.0</v>
      </c>
      <c r="N183" s="34" t="s">
        <v>48</v>
      </c>
      <c r="O183" s="33" t="n">
        <f>1021</f>
        <v>1021.0</v>
      </c>
      <c r="P183" s="34" t="s">
        <v>99</v>
      </c>
      <c r="Q183" s="33" t="n">
        <f>1036</f>
        <v>1036.0</v>
      </c>
      <c r="R183" s="34" t="s">
        <v>50</v>
      </c>
      <c r="S183" s="35" t="n">
        <f>1042.78</f>
        <v>1042.78</v>
      </c>
      <c r="T183" s="32" t="n">
        <f>153970</f>
        <v>153970.0</v>
      </c>
      <c r="U183" s="32" t="n">
        <f>1</f>
        <v>1.0</v>
      </c>
      <c r="V183" s="32" t="n">
        <f>160460963</f>
        <v>1.60460963E8</v>
      </c>
      <c r="W183" s="32" t="n">
        <f>1070</f>
        <v>1070.0</v>
      </c>
      <c r="X183" s="36" t="n">
        <f>18</f>
        <v>18.0</v>
      </c>
    </row>
    <row r="184">
      <c r="A184" s="27" t="s">
        <v>42</v>
      </c>
      <c r="B184" s="27" t="s">
        <v>595</v>
      </c>
      <c r="C184" s="27" t="s">
        <v>596</v>
      </c>
      <c r="D184" s="27" t="s">
        <v>597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190.7</f>
        <v>190.7</v>
      </c>
      <c r="L184" s="34" t="s">
        <v>48</v>
      </c>
      <c r="M184" s="33" t="n">
        <f>192.1</f>
        <v>192.1</v>
      </c>
      <c r="N184" s="34" t="s">
        <v>116</v>
      </c>
      <c r="O184" s="33" t="n">
        <f>172.1</f>
        <v>172.1</v>
      </c>
      <c r="P184" s="34" t="s">
        <v>50</v>
      </c>
      <c r="Q184" s="33" t="n">
        <f>172.3</f>
        <v>172.3</v>
      </c>
      <c r="R184" s="34" t="s">
        <v>50</v>
      </c>
      <c r="S184" s="35" t="n">
        <f>182.14</f>
        <v>182.14</v>
      </c>
      <c r="T184" s="32" t="n">
        <f>6060580</f>
        <v>6060580.0</v>
      </c>
      <c r="U184" s="32" t="n">
        <f>2510</f>
        <v>2510.0</v>
      </c>
      <c r="V184" s="32" t="n">
        <f>1104388245</f>
        <v>1.104388245E9</v>
      </c>
      <c r="W184" s="32" t="n">
        <f>444885</f>
        <v>444885.0</v>
      </c>
      <c r="X184" s="36" t="n">
        <f>18</f>
        <v>18.0</v>
      </c>
    </row>
    <row r="185">
      <c r="A185" s="27" t="s">
        <v>42</v>
      </c>
      <c r="B185" s="27" t="s">
        <v>598</v>
      </c>
      <c r="C185" s="27" t="s">
        <v>599</v>
      </c>
      <c r="D185" s="27" t="s">
        <v>600</v>
      </c>
      <c r="E185" s="28" t="s">
        <v>46</v>
      </c>
      <c r="F185" s="29" t="s">
        <v>46</v>
      </c>
      <c r="G185" s="30" t="s">
        <v>46</v>
      </c>
      <c r="H185" s="31"/>
      <c r="I185" s="31" t="s">
        <v>414</v>
      </c>
      <c r="J185" s="32" t="n">
        <v>1.0</v>
      </c>
      <c r="K185" s="33" t="n">
        <f>5622</f>
        <v>5622.0</v>
      </c>
      <c r="L185" s="34" t="s">
        <v>48</v>
      </c>
      <c r="M185" s="33" t="n">
        <f>7760</f>
        <v>7760.0</v>
      </c>
      <c r="N185" s="34" t="s">
        <v>204</v>
      </c>
      <c r="O185" s="33" t="n">
        <f>5465</f>
        <v>5465.0</v>
      </c>
      <c r="P185" s="34" t="s">
        <v>48</v>
      </c>
      <c r="Q185" s="33" t="n">
        <f>6990</f>
        <v>6990.0</v>
      </c>
      <c r="R185" s="34" t="s">
        <v>50</v>
      </c>
      <c r="S185" s="35" t="n">
        <f>6664.61</f>
        <v>6664.61</v>
      </c>
      <c r="T185" s="32" t="n">
        <f>128367</f>
        <v>128367.0</v>
      </c>
      <c r="U185" s="32" t="str">
        <f>"－"</f>
        <v>－</v>
      </c>
      <c r="V185" s="32" t="n">
        <f>882151867</f>
        <v>8.82151867E8</v>
      </c>
      <c r="W185" s="32" t="str">
        <f>"－"</f>
        <v>－</v>
      </c>
      <c r="X185" s="36" t="n">
        <f>18</f>
        <v>18.0</v>
      </c>
    </row>
    <row r="186">
      <c r="A186" s="27" t="s">
        <v>42</v>
      </c>
      <c r="B186" s="27" t="s">
        <v>601</v>
      </c>
      <c r="C186" s="27" t="s">
        <v>602</v>
      </c>
      <c r="D186" s="27" t="s">
        <v>603</v>
      </c>
      <c r="E186" s="28" t="s">
        <v>46</v>
      </c>
      <c r="F186" s="29" t="s">
        <v>46</v>
      </c>
      <c r="G186" s="30" t="s">
        <v>46</v>
      </c>
      <c r="H186" s="31"/>
      <c r="I186" s="31" t="s">
        <v>414</v>
      </c>
      <c r="J186" s="32" t="n">
        <v>1.0</v>
      </c>
      <c r="K186" s="33" t="n">
        <f>8428</f>
        <v>8428.0</v>
      </c>
      <c r="L186" s="34" t="s">
        <v>48</v>
      </c>
      <c r="M186" s="33" t="n">
        <f>8428</f>
        <v>8428.0</v>
      </c>
      <c r="N186" s="34" t="s">
        <v>48</v>
      </c>
      <c r="O186" s="33" t="n">
        <f>6651</f>
        <v>6651.0</v>
      </c>
      <c r="P186" s="34" t="s">
        <v>204</v>
      </c>
      <c r="Q186" s="33" t="n">
        <f>6890</f>
        <v>6890.0</v>
      </c>
      <c r="R186" s="34" t="s">
        <v>50</v>
      </c>
      <c r="S186" s="35" t="n">
        <f>7427.56</f>
        <v>7427.56</v>
      </c>
      <c r="T186" s="32" t="n">
        <f>12109</f>
        <v>12109.0</v>
      </c>
      <c r="U186" s="32" t="str">
        <f>"－"</f>
        <v>－</v>
      </c>
      <c r="V186" s="32" t="n">
        <f>88731683</f>
        <v>8.8731683E7</v>
      </c>
      <c r="W186" s="32" t="str">
        <f>"－"</f>
        <v>－</v>
      </c>
      <c r="X186" s="36" t="n">
        <f>18</f>
        <v>18.0</v>
      </c>
    </row>
    <row r="187">
      <c r="A187" s="27" t="s">
        <v>42</v>
      </c>
      <c r="B187" s="27" t="s">
        <v>604</v>
      </c>
      <c r="C187" s="27" t="s">
        <v>605</v>
      </c>
      <c r="D187" s="27" t="s">
        <v>606</v>
      </c>
      <c r="E187" s="28" t="s">
        <v>46</v>
      </c>
      <c r="F187" s="29" t="s">
        <v>46</v>
      </c>
      <c r="G187" s="30" t="s">
        <v>46</v>
      </c>
      <c r="H187" s="31"/>
      <c r="I187" s="31" t="s">
        <v>414</v>
      </c>
      <c r="J187" s="32" t="n">
        <v>1.0</v>
      </c>
      <c r="K187" s="33" t="n">
        <f>10160</f>
        <v>10160.0</v>
      </c>
      <c r="L187" s="34" t="s">
        <v>48</v>
      </c>
      <c r="M187" s="33" t="n">
        <f>11595</f>
        <v>11595.0</v>
      </c>
      <c r="N187" s="34" t="s">
        <v>236</v>
      </c>
      <c r="O187" s="33" t="n">
        <f>9580</f>
        <v>9580.0</v>
      </c>
      <c r="P187" s="34" t="s">
        <v>48</v>
      </c>
      <c r="Q187" s="33" t="n">
        <f>10000</f>
        <v>10000.0</v>
      </c>
      <c r="R187" s="34" t="s">
        <v>50</v>
      </c>
      <c r="S187" s="35" t="n">
        <f>10516.72</f>
        <v>10516.72</v>
      </c>
      <c r="T187" s="32" t="n">
        <f>5702</f>
        <v>5702.0</v>
      </c>
      <c r="U187" s="32" t="str">
        <f>"－"</f>
        <v>－</v>
      </c>
      <c r="V187" s="32" t="n">
        <f>60317552</f>
        <v>6.0317552E7</v>
      </c>
      <c r="W187" s="32" t="str">
        <f>"－"</f>
        <v>－</v>
      </c>
      <c r="X187" s="36" t="n">
        <f>18</f>
        <v>18.0</v>
      </c>
    </row>
    <row r="188">
      <c r="A188" s="27" t="s">
        <v>42</v>
      </c>
      <c r="B188" s="27" t="s">
        <v>607</v>
      </c>
      <c r="C188" s="27" t="s">
        <v>608</v>
      </c>
      <c r="D188" s="27" t="s">
        <v>609</v>
      </c>
      <c r="E188" s="28" t="s">
        <v>46</v>
      </c>
      <c r="F188" s="29" t="s">
        <v>46</v>
      </c>
      <c r="G188" s="30" t="s">
        <v>46</v>
      </c>
      <c r="H188" s="31"/>
      <c r="I188" s="31" t="s">
        <v>414</v>
      </c>
      <c r="J188" s="32" t="n">
        <v>1.0</v>
      </c>
      <c r="K188" s="33" t="n">
        <f>7927</f>
        <v>7927.0</v>
      </c>
      <c r="L188" s="34" t="s">
        <v>48</v>
      </c>
      <c r="M188" s="33" t="n">
        <f>8099</f>
        <v>8099.0</v>
      </c>
      <c r="N188" s="34" t="s">
        <v>48</v>
      </c>
      <c r="O188" s="33" t="n">
        <f>7350</f>
        <v>7350.0</v>
      </c>
      <c r="P188" s="34" t="s">
        <v>204</v>
      </c>
      <c r="Q188" s="33" t="n">
        <f>7550</f>
        <v>7550.0</v>
      </c>
      <c r="R188" s="34" t="s">
        <v>50</v>
      </c>
      <c r="S188" s="35" t="n">
        <f>7655.44</f>
        <v>7655.44</v>
      </c>
      <c r="T188" s="32" t="n">
        <f>3701</f>
        <v>3701.0</v>
      </c>
      <c r="U188" s="32" t="str">
        <f>"－"</f>
        <v>－</v>
      </c>
      <c r="V188" s="32" t="n">
        <f>28277318</f>
        <v>2.8277318E7</v>
      </c>
      <c r="W188" s="32" t="str">
        <f>"－"</f>
        <v>－</v>
      </c>
      <c r="X188" s="36" t="n">
        <f>18</f>
        <v>18.0</v>
      </c>
    </row>
    <row r="189">
      <c r="A189" s="27" t="s">
        <v>42</v>
      </c>
      <c r="B189" s="27" t="s">
        <v>610</v>
      </c>
      <c r="C189" s="27" t="s">
        <v>611</v>
      </c>
      <c r="D189" s="27" t="s">
        <v>612</v>
      </c>
      <c r="E189" s="28" t="s">
        <v>46</v>
      </c>
      <c r="F189" s="29" t="s">
        <v>46</v>
      </c>
      <c r="G189" s="30" t="s">
        <v>46</v>
      </c>
      <c r="H189" s="31"/>
      <c r="I189" s="31" t="s">
        <v>414</v>
      </c>
      <c r="J189" s="32" t="n">
        <v>1.0</v>
      </c>
      <c r="K189" s="33" t="n">
        <f>78000</f>
        <v>78000.0</v>
      </c>
      <c r="L189" s="34" t="s">
        <v>48</v>
      </c>
      <c r="M189" s="33" t="n">
        <f>84300</f>
        <v>84300.0</v>
      </c>
      <c r="N189" s="34" t="s">
        <v>69</v>
      </c>
      <c r="O189" s="33" t="n">
        <f>75020</f>
        <v>75020.0</v>
      </c>
      <c r="P189" s="34" t="s">
        <v>50</v>
      </c>
      <c r="Q189" s="33" t="n">
        <f>75590</f>
        <v>75590.0</v>
      </c>
      <c r="R189" s="34" t="s">
        <v>50</v>
      </c>
      <c r="S189" s="35" t="n">
        <f>80130</f>
        <v>80130.0</v>
      </c>
      <c r="T189" s="32" t="n">
        <f>115729</f>
        <v>115729.0</v>
      </c>
      <c r="U189" s="32" t="n">
        <f>68</f>
        <v>68.0</v>
      </c>
      <c r="V189" s="32" t="n">
        <f>9281653820</f>
        <v>9.28165382E9</v>
      </c>
      <c r="W189" s="32" t="n">
        <f>5446090</f>
        <v>5446090.0</v>
      </c>
      <c r="X189" s="36" t="n">
        <f>18</f>
        <v>18.0</v>
      </c>
    </row>
    <row r="190">
      <c r="A190" s="27" t="s">
        <v>42</v>
      </c>
      <c r="B190" s="27" t="s">
        <v>613</v>
      </c>
      <c r="C190" s="27" t="s">
        <v>614</v>
      </c>
      <c r="D190" s="27" t="s">
        <v>615</v>
      </c>
      <c r="E190" s="28" t="s">
        <v>46</v>
      </c>
      <c r="F190" s="29" t="s">
        <v>46</v>
      </c>
      <c r="G190" s="30" t="s">
        <v>46</v>
      </c>
      <c r="H190" s="31"/>
      <c r="I190" s="31" t="s">
        <v>414</v>
      </c>
      <c r="J190" s="32" t="n">
        <v>1.0</v>
      </c>
      <c r="K190" s="33" t="n">
        <f>2315</f>
        <v>2315.0</v>
      </c>
      <c r="L190" s="34" t="s">
        <v>48</v>
      </c>
      <c r="M190" s="33" t="n">
        <f>2330</f>
        <v>2330.0</v>
      </c>
      <c r="N190" s="34" t="s">
        <v>50</v>
      </c>
      <c r="O190" s="33" t="n">
        <f>2223</f>
        <v>2223.0</v>
      </c>
      <c r="P190" s="34" t="s">
        <v>69</v>
      </c>
      <c r="Q190" s="33" t="n">
        <f>2311</f>
        <v>2311.0</v>
      </c>
      <c r="R190" s="34" t="s">
        <v>50</v>
      </c>
      <c r="S190" s="35" t="n">
        <f>2283.78</f>
        <v>2283.78</v>
      </c>
      <c r="T190" s="32" t="n">
        <f>14873</f>
        <v>14873.0</v>
      </c>
      <c r="U190" s="32" t="str">
        <f>"－"</f>
        <v>－</v>
      </c>
      <c r="V190" s="32" t="n">
        <f>33777299</f>
        <v>3.3777299E7</v>
      </c>
      <c r="W190" s="32" t="str">
        <f>"－"</f>
        <v>－</v>
      </c>
      <c r="X190" s="36" t="n">
        <f>18</f>
        <v>18.0</v>
      </c>
    </row>
    <row r="191">
      <c r="A191" s="27" t="s">
        <v>42</v>
      </c>
      <c r="B191" s="27" t="s">
        <v>616</v>
      </c>
      <c r="C191" s="27" t="s">
        <v>617</v>
      </c>
      <c r="D191" s="27" t="s">
        <v>618</v>
      </c>
      <c r="E191" s="28" t="s">
        <v>46</v>
      </c>
      <c r="F191" s="29" t="s">
        <v>46</v>
      </c>
      <c r="G191" s="30" t="s">
        <v>46</v>
      </c>
      <c r="H191" s="31"/>
      <c r="I191" s="31" t="s">
        <v>414</v>
      </c>
      <c r="J191" s="32" t="n">
        <v>1.0</v>
      </c>
      <c r="K191" s="33" t="n">
        <f>2013</f>
        <v>2013.0</v>
      </c>
      <c r="L191" s="34" t="s">
        <v>48</v>
      </c>
      <c r="M191" s="33" t="n">
        <f>2032</f>
        <v>2032.0</v>
      </c>
      <c r="N191" s="34" t="s">
        <v>232</v>
      </c>
      <c r="O191" s="33" t="n">
        <f>1757</f>
        <v>1757.0</v>
      </c>
      <c r="P191" s="34" t="s">
        <v>204</v>
      </c>
      <c r="Q191" s="33" t="n">
        <f>1795</f>
        <v>1795.0</v>
      </c>
      <c r="R191" s="34" t="s">
        <v>50</v>
      </c>
      <c r="S191" s="35" t="n">
        <f>1920.44</f>
        <v>1920.44</v>
      </c>
      <c r="T191" s="32" t="n">
        <f>2730823</f>
        <v>2730823.0</v>
      </c>
      <c r="U191" s="32" t="n">
        <f>71</f>
        <v>71.0</v>
      </c>
      <c r="V191" s="32" t="n">
        <f>5171768420</f>
        <v>5.17176842E9</v>
      </c>
      <c r="W191" s="32" t="n">
        <f>128100</f>
        <v>128100.0</v>
      </c>
      <c r="X191" s="36" t="n">
        <f>18</f>
        <v>18.0</v>
      </c>
    </row>
    <row r="192">
      <c r="A192" s="27" t="s">
        <v>42</v>
      </c>
      <c r="B192" s="27" t="s">
        <v>619</v>
      </c>
      <c r="C192" s="27" t="s">
        <v>620</v>
      </c>
      <c r="D192" s="27" t="s">
        <v>621</v>
      </c>
      <c r="E192" s="28" t="s">
        <v>46</v>
      </c>
      <c r="F192" s="29" t="s">
        <v>46</v>
      </c>
      <c r="G192" s="30" t="s">
        <v>46</v>
      </c>
      <c r="H192" s="31"/>
      <c r="I192" s="31" t="s">
        <v>414</v>
      </c>
      <c r="J192" s="32" t="n">
        <v>1.0</v>
      </c>
      <c r="K192" s="33" t="n">
        <f>899</f>
        <v>899.0</v>
      </c>
      <c r="L192" s="34" t="s">
        <v>48</v>
      </c>
      <c r="M192" s="33" t="n">
        <f>955</f>
        <v>955.0</v>
      </c>
      <c r="N192" s="34" t="s">
        <v>204</v>
      </c>
      <c r="O192" s="33" t="n">
        <f>891</f>
        <v>891.0</v>
      </c>
      <c r="P192" s="34" t="s">
        <v>232</v>
      </c>
      <c r="Q192" s="33" t="n">
        <f>939</f>
        <v>939.0</v>
      </c>
      <c r="R192" s="34" t="s">
        <v>50</v>
      </c>
      <c r="S192" s="35" t="n">
        <f>916.5</f>
        <v>916.5</v>
      </c>
      <c r="T192" s="32" t="n">
        <f>1441697</f>
        <v>1441697.0</v>
      </c>
      <c r="U192" s="32" t="str">
        <f>"－"</f>
        <v>－</v>
      </c>
      <c r="V192" s="32" t="n">
        <f>1327834122</f>
        <v>1.327834122E9</v>
      </c>
      <c r="W192" s="32" t="str">
        <f>"－"</f>
        <v>－</v>
      </c>
      <c r="X192" s="36" t="n">
        <f>18</f>
        <v>18.0</v>
      </c>
    </row>
    <row r="193">
      <c r="A193" s="27" t="s">
        <v>42</v>
      </c>
      <c r="B193" s="27" t="s">
        <v>622</v>
      </c>
      <c r="C193" s="27" t="s">
        <v>623</v>
      </c>
      <c r="D193" s="27" t="s">
        <v>624</v>
      </c>
      <c r="E193" s="28" t="s">
        <v>46</v>
      </c>
      <c r="F193" s="29" t="s">
        <v>46</v>
      </c>
      <c r="G193" s="30" t="s">
        <v>46</v>
      </c>
      <c r="H193" s="31"/>
      <c r="I193" s="31" t="s">
        <v>414</v>
      </c>
      <c r="J193" s="32" t="n">
        <v>1.0</v>
      </c>
      <c r="K193" s="33" t="n">
        <f>32020</f>
        <v>32020.0</v>
      </c>
      <c r="L193" s="34" t="s">
        <v>48</v>
      </c>
      <c r="M193" s="33" t="n">
        <f>33420</f>
        <v>33420.0</v>
      </c>
      <c r="N193" s="34" t="s">
        <v>61</v>
      </c>
      <c r="O193" s="33" t="n">
        <f>30670</f>
        <v>30670.0</v>
      </c>
      <c r="P193" s="34" t="s">
        <v>50</v>
      </c>
      <c r="Q193" s="33" t="n">
        <f>30890</f>
        <v>30890.0</v>
      </c>
      <c r="R193" s="34" t="s">
        <v>50</v>
      </c>
      <c r="S193" s="35" t="n">
        <f>32386.11</f>
        <v>32386.11</v>
      </c>
      <c r="T193" s="32" t="n">
        <f>22219</f>
        <v>22219.0</v>
      </c>
      <c r="U193" s="32" t="str">
        <f>"－"</f>
        <v>－</v>
      </c>
      <c r="V193" s="32" t="n">
        <f>717507340</f>
        <v>7.1750734E8</v>
      </c>
      <c r="W193" s="32" t="str">
        <f>"－"</f>
        <v>－</v>
      </c>
      <c r="X193" s="36" t="n">
        <f>18</f>
        <v>18.0</v>
      </c>
    </row>
    <row r="194">
      <c r="A194" s="27" t="s">
        <v>42</v>
      </c>
      <c r="B194" s="27" t="s">
        <v>625</v>
      </c>
      <c r="C194" s="27" t="s">
        <v>626</v>
      </c>
      <c r="D194" s="27" t="s">
        <v>627</v>
      </c>
      <c r="E194" s="28" t="s">
        <v>46</v>
      </c>
      <c r="F194" s="29" t="s">
        <v>46</v>
      </c>
      <c r="G194" s="30" t="s">
        <v>46</v>
      </c>
      <c r="H194" s="31"/>
      <c r="I194" s="31" t="s">
        <v>414</v>
      </c>
      <c r="J194" s="32" t="n">
        <v>1.0</v>
      </c>
      <c r="K194" s="33" t="n">
        <f>2346</f>
        <v>2346.0</v>
      </c>
      <c r="L194" s="34" t="s">
        <v>48</v>
      </c>
      <c r="M194" s="33" t="n">
        <f>2375</f>
        <v>2375.0</v>
      </c>
      <c r="N194" s="34" t="s">
        <v>50</v>
      </c>
      <c r="O194" s="33" t="n">
        <f>2277</f>
        <v>2277.0</v>
      </c>
      <c r="P194" s="34" t="s">
        <v>61</v>
      </c>
      <c r="Q194" s="33" t="n">
        <f>2365</f>
        <v>2365.0</v>
      </c>
      <c r="R194" s="34" t="s">
        <v>50</v>
      </c>
      <c r="S194" s="35" t="n">
        <f>2317.67</f>
        <v>2317.67</v>
      </c>
      <c r="T194" s="32" t="n">
        <f>178593</f>
        <v>178593.0</v>
      </c>
      <c r="U194" s="32" t="str">
        <f>"－"</f>
        <v>－</v>
      </c>
      <c r="V194" s="32" t="n">
        <f>415407858</f>
        <v>4.15407858E8</v>
      </c>
      <c r="W194" s="32" t="str">
        <f>"－"</f>
        <v>－</v>
      </c>
      <c r="X194" s="36" t="n">
        <f>18</f>
        <v>18.0</v>
      </c>
    </row>
    <row r="195">
      <c r="A195" s="27" t="s">
        <v>42</v>
      </c>
      <c r="B195" s="27" t="s">
        <v>628</v>
      </c>
      <c r="C195" s="27" t="s">
        <v>629</v>
      </c>
      <c r="D195" s="27" t="s">
        <v>630</v>
      </c>
      <c r="E195" s="28" t="s">
        <v>46</v>
      </c>
      <c r="F195" s="29" t="s">
        <v>46</v>
      </c>
      <c r="G195" s="30" t="s">
        <v>46</v>
      </c>
      <c r="H195" s="31"/>
      <c r="I195" s="31" t="s">
        <v>414</v>
      </c>
      <c r="J195" s="32" t="n">
        <v>1.0</v>
      </c>
      <c r="K195" s="33" t="n">
        <f>6768</f>
        <v>6768.0</v>
      </c>
      <c r="L195" s="34" t="s">
        <v>48</v>
      </c>
      <c r="M195" s="33" t="n">
        <f>7297</f>
        <v>7297.0</v>
      </c>
      <c r="N195" s="34" t="s">
        <v>232</v>
      </c>
      <c r="O195" s="33" t="n">
        <f>6755</f>
        <v>6755.0</v>
      </c>
      <c r="P195" s="34" t="s">
        <v>48</v>
      </c>
      <c r="Q195" s="33" t="n">
        <f>6898</f>
        <v>6898.0</v>
      </c>
      <c r="R195" s="34" t="s">
        <v>50</v>
      </c>
      <c r="S195" s="35" t="n">
        <f>7068.78</f>
        <v>7068.78</v>
      </c>
      <c r="T195" s="32" t="n">
        <f>23471</f>
        <v>23471.0</v>
      </c>
      <c r="U195" s="32" t="str">
        <f>"－"</f>
        <v>－</v>
      </c>
      <c r="V195" s="32" t="n">
        <f>166994598</f>
        <v>1.66994598E8</v>
      </c>
      <c r="W195" s="32" t="str">
        <f>"－"</f>
        <v>－</v>
      </c>
      <c r="X195" s="36" t="n">
        <f>18</f>
        <v>18.0</v>
      </c>
    </row>
    <row r="196">
      <c r="A196" s="27" t="s">
        <v>42</v>
      </c>
      <c r="B196" s="27" t="s">
        <v>631</v>
      </c>
      <c r="C196" s="27" t="s">
        <v>632</v>
      </c>
      <c r="D196" s="27" t="s">
        <v>633</v>
      </c>
      <c r="E196" s="28" t="s">
        <v>46</v>
      </c>
      <c r="F196" s="29" t="s">
        <v>46</v>
      </c>
      <c r="G196" s="30" t="s">
        <v>46</v>
      </c>
      <c r="H196" s="31"/>
      <c r="I196" s="31" t="s">
        <v>414</v>
      </c>
      <c r="J196" s="32" t="n">
        <v>1.0</v>
      </c>
      <c r="K196" s="33" t="n">
        <f>21570</f>
        <v>21570.0</v>
      </c>
      <c r="L196" s="34" t="s">
        <v>48</v>
      </c>
      <c r="M196" s="33" t="n">
        <f>21595</f>
        <v>21595.0</v>
      </c>
      <c r="N196" s="34" t="s">
        <v>48</v>
      </c>
      <c r="O196" s="33" t="n">
        <f>19880</f>
        <v>19880.0</v>
      </c>
      <c r="P196" s="34" t="s">
        <v>204</v>
      </c>
      <c r="Q196" s="33" t="n">
        <f>20125</f>
        <v>20125.0</v>
      </c>
      <c r="R196" s="34" t="s">
        <v>50</v>
      </c>
      <c r="S196" s="35" t="n">
        <f>20596.76</f>
        <v>20596.76</v>
      </c>
      <c r="T196" s="32" t="n">
        <f>658</f>
        <v>658.0</v>
      </c>
      <c r="U196" s="32" t="str">
        <f>"－"</f>
        <v>－</v>
      </c>
      <c r="V196" s="32" t="n">
        <f>13598900</f>
        <v>1.35989E7</v>
      </c>
      <c r="W196" s="32" t="str">
        <f>"－"</f>
        <v>－</v>
      </c>
      <c r="X196" s="36" t="n">
        <f>17</f>
        <v>17.0</v>
      </c>
    </row>
    <row r="197">
      <c r="A197" s="27" t="s">
        <v>42</v>
      </c>
      <c r="B197" s="27" t="s">
        <v>634</v>
      </c>
      <c r="C197" s="27" t="s">
        <v>635</v>
      </c>
      <c r="D197" s="27" t="s">
        <v>636</v>
      </c>
      <c r="E197" s="28" t="s">
        <v>46</v>
      </c>
      <c r="F197" s="29" t="s">
        <v>46</v>
      </c>
      <c r="G197" s="30" t="s">
        <v>46</v>
      </c>
      <c r="H197" s="31"/>
      <c r="I197" s="31" t="s">
        <v>414</v>
      </c>
      <c r="J197" s="32" t="n">
        <v>1.0</v>
      </c>
      <c r="K197" s="33" t="n">
        <f>30430</f>
        <v>30430.0</v>
      </c>
      <c r="L197" s="34" t="s">
        <v>48</v>
      </c>
      <c r="M197" s="33" t="n">
        <f>30500</f>
        <v>30500.0</v>
      </c>
      <c r="N197" s="34" t="s">
        <v>68</v>
      </c>
      <c r="O197" s="33" t="n">
        <f>29175</f>
        <v>29175.0</v>
      </c>
      <c r="P197" s="34" t="s">
        <v>156</v>
      </c>
      <c r="Q197" s="33" t="n">
        <f>29350</f>
        <v>29350.0</v>
      </c>
      <c r="R197" s="34" t="s">
        <v>50</v>
      </c>
      <c r="S197" s="35" t="n">
        <f>29758.89</f>
        <v>29758.89</v>
      </c>
      <c r="T197" s="32" t="n">
        <f>13658</f>
        <v>13658.0</v>
      </c>
      <c r="U197" s="32" t="n">
        <f>4000</f>
        <v>4000.0</v>
      </c>
      <c r="V197" s="32" t="n">
        <f>404855330</f>
        <v>4.0485533E8</v>
      </c>
      <c r="W197" s="32" t="n">
        <f>116852000</f>
        <v>1.16852E8</v>
      </c>
      <c r="X197" s="36" t="n">
        <f>18</f>
        <v>18.0</v>
      </c>
    </row>
    <row r="198">
      <c r="A198" s="27" t="s">
        <v>42</v>
      </c>
      <c r="B198" s="27" t="s">
        <v>637</v>
      </c>
      <c r="C198" s="27" t="s">
        <v>638</v>
      </c>
      <c r="D198" s="27" t="s">
        <v>639</v>
      </c>
      <c r="E198" s="28" t="s">
        <v>46</v>
      </c>
      <c r="F198" s="29" t="s">
        <v>46</v>
      </c>
      <c r="G198" s="30" t="s">
        <v>46</v>
      </c>
      <c r="H198" s="31"/>
      <c r="I198" s="31" t="s">
        <v>414</v>
      </c>
      <c r="J198" s="32" t="n">
        <v>1.0</v>
      </c>
      <c r="K198" s="33" t="n">
        <f>15910</f>
        <v>15910.0</v>
      </c>
      <c r="L198" s="34" t="s">
        <v>48</v>
      </c>
      <c r="M198" s="33" t="n">
        <f>16590</f>
        <v>16590.0</v>
      </c>
      <c r="N198" s="34" t="s">
        <v>60</v>
      </c>
      <c r="O198" s="33" t="n">
        <f>15810</f>
        <v>15810.0</v>
      </c>
      <c r="P198" s="34" t="s">
        <v>156</v>
      </c>
      <c r="Q198" s="33" t="n">
        <f>15860</f>
        <v>15860.0</v>
      </c>
      <c r="R198" s="34" t="s">
        <v>50</v>
      </c>
      <c r="S198" s="35" t="n">
        <f>16251.92</f>
        <v>16251.92</v>
      </c>
      <c r="T198" s="32" t="n">
        <f>101</f>
        <v>101.0</v>
      </c>
      <c r="U198" s="32" t="str">
        <f>"－"</f>
        <v>－</v>
      </c>
      <c r="V198" s="32" t="n">
        <f>1627650</f>
        <v>1627650.0</v>
      </c>
      <c r="W198" s="32" t="str">
        <f>"－"</f>
        <v>－</v>
      </c>
      <c r="X198" s="36" t="n">
        <f>13</f>
        <v>13.0</v>
      </c>
    </row>
    <row r="199">
      <c r="A199" s="27" t="s">
        <v>42</v>
      </c>
      <c r="B199" s="27" t="s">
        <v>640</v>
      </c>
      <c r="C199" s="27" t="s">
        <v>641</v>
      </c>
      <c r="D199" s="27" t="s">
        <v>642</v>
      </c>
      <c r="E199" s="28" t="s">
        <v>46</v>
      </c>
      <c r="F199" s="29" t="s">
        <v>46</v>
      </c>
      <c r="G199" s="30" t="s">
        <v>46</v>
      </c>
      <c r="H199" s="31"/>
      <c r="I199" s="31" t="s">
        <v>414</v>
      </c>
      <c r="J199" s="32" t="n">
        <v>1.0</v>
      </c>
      <c r="K199" s="33" t="n">
        <f>29000</f>
        <v>29000.0</v>
      </c>
      <c r="L199" s="34" t="s">
        <v>48</v>
      </c>
      <c r="M199" s="33" t="n">
        <f>29600</f>
        <v>29600.0</v>
      </c>
      <c r="N199" s="34" t="s">
        <v>116</v>
      </c>
      <c r="O199" s="33" t="n">
        <f>24735</f>
        <v>24735.0</v>
      </c>
      <c r="P199" s="34" t="s">
        <v>50</v>
      </c>
      <c r="Q199" s="33" t="n">
        <f>24785</f>
        <v>24785.0</v>
      </c>
      <c r="R199" s="34" t="s">
        <v>50</v>
      </c>
      <c r="S199" s="35" t="n">
        <f>27369.17</f>
        <v>27369.17</v>
      </c>
      <c r="T199" s="32" t="n">
        <f>51227</f>
        <v>51227.0</v>
      </c>
      <c r="U199" s="32" t="n">
        <f>16</f>
        <v>16.0</v>
      </c>
      <c r="V199" s="32" t="n">
        <f>1378067875</f>
        <v>1.378067875E9</v>
      </c>
      <c r="W199" s="32" t="n">
        <f>458800</f>
        <v>458800.0</v>
      </c>
      <c r="X199" s="36" t="n">
        <f>18</f>
        <v>18.0</v>
      </c>
    </row>
    <row r="200">
      <c r="A200" s="27" t="s">
        <v>42</v>
      </c>
      <c r="B200" s="27" t="s">
        <v>643</v>
      </c>
      <c r="C200" s="27" t="s">
        <v>644</v>
      </c>
      <c r="D200" s="27" t="s">
        <v>645</v>
      </c>
      <c r="E200" s="28" t="s">
        <v>46</v>
      </c>
      <c r="F200" s="29" t="s">
        <v>46</v>
      </c>
      <c r="G200" s="30" t="s">
        <v>46</v>
      </c>
      <c r="H200" s="31"/>
      <c r="I200" s="31" t="s">
        <v>414</v>
      </c>
      <c r="J200" s="32" t="n">
        <v>1.0</v>
      </c>
      <c r="K200" s="33" t="n">
        <f>3680</f>
        <v>3680.0</v>
      </c>
      <c r="L200" s="34" t="s">
        <v>48</v>
      </c>
      <c r="M200" s="33" t="n">
        <f>3820</f>
        <v>3820.0</v>
      </c>
      <c r="N200" s="34" t="s">
        <v>157</v>
      </c>
      <c r="O200" s="33" t="n">
        <f>3570</f>
        <v>3570.0</v>
      </c>
      <c r="P200" s="34" t="s">
        <v>61</v>
      </c>
      <c r="Q200" s="33" t="n">
        <f>3740</f>
        <v>3740.0</v>
      </c>
      <c r="R200" s="34" t="s">
        <v>50</v>
      </c>
      <c r="S200" s="35" t="n">
        <f>3692.94</f>
        <v>3692.94</v>
      </c>
      <c r="T200" s="32" t="n">
        <f>10776</f>
        <v>10776.0</v>
      </c>
      <c r="U200" s="32" t="str">
        <f>"－"</f>
        <v>－</v>
      </c>
      <c r="V200" s="32" t="n">
        <f>39754395</f>
        <v>3.9754395E7</v>
      </c>
      <c r="W200" s="32" t="str">
        <f>"－"</f>
        <v>－</v>
      </c>
      <c r="X200" s="36" t="n">
        <f>17</f>
        <v>17.0</v>
      </c>
    </row>
    <row r="201">
      <c r="A201" s="27" t="s">
        <v>42</v>
      </c>
      <c r="B201" s="27" t="s">
        <v>646</v>
      </c>
      <c r="C201" s="27" t="s">
        <v>647</v>
      </c>
      <c r="D201" s="27" t="s">
        <v>648</v>
      </c>
      <c r="E201" s="28" t="s">
        <v>46</v>
      </c>
      <c r="F201" s="29" t="s">
        <v>46</v>
      </c>
      <c r="G201" s="30" t="s">
        <v>46</v>
      </c>
      <c r="H201" s="31"/>
      <c r="I201" s="31" t="s">
        <v>414</v>
      </c>
      <c r="J201" s="32" t="n">
        <v>1.0</v>
      </c>
      <c r="K201" s="33" t="n">
        <f>32620</f>
        <v>32620.0</v>
      </c>
      <c r="L201" s="34" t="s">
        <v>48</v>
      </c>
      <c r="M201" s="33" t="n">
        <f>32620</f>
        <v>32620.0</v>
      </c>
      <c r="N201" s="34" t="s">
        <v>48</v>
      </c>
      <c r="O201" s="33" t="n">
        <f>30940</f>
        <v>30940.0</v>
      </c>
      <c r="P201" s="34" t="s">
        <v>156</v>
      </c>
      <c r="Q201" s="33" t="n">
        <f>31630</f>
        <v>31630.0</v>
      </c>
      <c r="R201" s="34" t="s">
        <v>50</v>
      </c>
      <c r="S201" s="35" t="n">
        <f>31897.33</f>
        <v>31897.33</v>
      </c>
      <c r="T201" s="32" t="n">
        <f>4579</f>
        <v>4579.0</v>
      </c>
      <c r="U201" s="32" t="str">
        <f>"－"</f>
        <v>－</v>
      </c>
      <c r="V201" s="32" t="n">
        <f>145873450</f>
        <v>1.4587345E8</v>
      </c>
      <c r="W201" s="32" t="str">
        <f>"－"</f>
        <v>－</v>
      </c>
      <c r="X201" s="36" t="n">
        <f>15</f>
        <v>15.0</v>
      </c>
    </row>
    <row r="202">
      <c r="A202" s="27" t="s">
        <v>42</v>
      </c>
      <c r="B202" s="27" t="s">
        <v>649</v>
      </c>
      <c r="C202" s="27" t="s">
        <v>650</v>
      </c>
      <c r="D202" s="27" t="s">
        <v>651</v>
      </c>
      <c r="E202" s="28" t="s">
        <v>46</v>
      </c>
      <c r="F202" s="29" t="s">
        <v>46</v>
      </c>
      <c r="G202" s="30" t="s">
        <v>46</v>
      </c>
      <c r="H202" s="31"/>
      <c r="I202" s="31" t="s">
        <v>414</v>
      </c>
      <c r="J202" s="32" t="n">
        <v>1.0</v>
      </c>
      <c r="K202" s="33" t="n">
        <f>19700</f>
        <v>19700.0</v>
      </c>
      <c r="L202" s="34" t="s">
        <v>68</v>
      </c>
      <c r="M202" s="33" t="n">
        <f>20330</f>
        <v>20330.0</v>
      </c>
      <c r="N202" s="34" t="s">
        <v>103</v>
      </c>
      <c r="O202" s="33" t="n">
        <f>19700</f>
        <v>19700.0</v>
      </c>
      <c r="P202" s="34" t="s">
        <v>68</v>
      </c>
      <c r="Q202" s="33" t="n">
        <f>19760</f>
        <v>19760.0</v>
      </c>
      <c r="R202" s="34" t="s">
        <v>99</v>
      </c>
      <c r="S202" s="35" t="n">
        <f>19906.88</f>
        <v>19906.88</v>
      </c>
      <c r="T202" s="32" t="n">
        <f>73</f>
        <v>73.0</v>
      </c>
      <c r="U202" s="32" t="str">
        <f>"－"</f>
        <v>－</v>
      </c>
      <c r="V202" s="32" t="n">
        <f>1443770</f>
        <v>1443770.0</v>
      </c>
      <c r="W202" s="32" t="str">
        <f>"－"</f>
        <v>－</v>
      </c>
      <c r="X202" s="36" t="n">
        <f>8</f>
        <v>8.0</v>
      </c>
    </row>
    <row r="203">
      <c r="A203" s="27" t="s">
        <v>42</v>
      </c>
      <c r="B203" s="27" t="s">
        <v>652</v>
      </c>
      <c r="C203" s="27" t="s">
        <v>653</v>
      </c>
      <c r="D203" s="27" t="s">
        <v>654</v>
      </c>
      <c r="E203" s="28" t="s">
        <v>46</v>
      </c>
      <c r="F203" s="29" t="s">
        <v>46</v>
      </c>
      <c r="G203" s="30" t="s">
        <v>46</v>
      </c>
      <c r="H203" s="31"/>
      <c r="I203" s="31" t="s">
        <v>414</v>
      </c>
      <c r="J203" s="32" t="n">
        <v>1.0</v>
      </c>
      <c r="K203" s="33" t="n">
        <f>37090</f>
        <v>37090.0</v>
      </c>
      <c r="L203" s="34" t="s">
        <v>48</v>
      </c>
      <c r="M203" s="33" t="n">
        <f>37090</f>
        <v>37090.0</v>
      </c>
      <c r="N203" s="34" t="s">
        <v>48</v>
      </c>
      <c r="O203" s="33" t="n">
        <f>35070</f>
        <v>35070.0</v>
      </c>
      <c r="P203" s="34" t="s">
        <v>99</v>
      </c>
      <c r="Q203" s="33" t="n">
        <f>35400</f>
        <v>35400.0</v>
      </c>
      <c r="R203" s="34" t="s">
        <v>204</v>
      </c>
      <c r="S203" s="35" t="n">
        <f>36008.75</f>
        <v>36008.75</v>
      </c>
      <c r="T203" s="32" t="n">
        <f>100</f>
        <v>100.0</v>
      </c>
      <c r="U203" s="32" t="str">
        <f>"－"</f>
        <v>－</v>
      </c>
      <c r="V203" s="32" t="n">
        <f>3597850</f>
        <v>3597850.0</v>
      </c>
      <c r="W203" s="32" t="str">
        <f>"－"</f>
        <v>－</v>
      </c>
      <c r="X203" s="36" t="n">
        <f>8</f>
        <v>8.0</v>
      </c>
    </row>
    <row r="204">
      <c r="A204" s="27" t="s">
        <v>42</v>
      </c>
      <c r="B204" s="27" t="s">
        <v>655</v>
      </c>
      <c r="C204" s="27" t="s">
        <v>656</v>
      </c>
      <c r="D204" s="27" t="s">
        <v>657</v>
      </c>
      <c r="E204" s="28" t="s">
        <v>46</v>
      </c>
      <c r="F204" s="29" t="s">
        <v>46</v>
      </c>
      <c r="G204" s="30" t="s">
        <v>46</v>
      </c>
      <c r="H204" s="31"/>
      <c r="I204" s="31" t="s">
        <v>414</v>
      </c>
      <c r="J204" s="32" t="n">
        <v>1.0</v>
      </c>
      <c r="K204" s="33" t="n">
        <f>19645</f>
        <v>19645.0</v>
      </c>
      <c r="L204" s="34" t="s">
        <v>61</v>
      </c>
      <c r="M204" s="33" t="n">
        <f>19875</f>
        <v>19875.0</v>
      </c>
      <c r="N204" s="34" t="s">
        <v>49</v>
      </c>
      <c r="O204" s="33" t="n">
        <f>19200</f>
        <v>19200.0</v>
      </c>
      <c r="P204" s="34" t="s">
        <v>99</v>
      </c>
      <c r="Q204" s="33" t="n">
        <f>19225</f>
        <v>19225.0</v>
      </c>
      <c r="R204" s="34" t="s">
        <v>99</v>
      </c>
      <c r="S204" s="35" t="n">
        <f>19581.67</f>
        <v>19581.67</v>
      </c>
      <c r="T204" s="32" t="n">
        <f>1235</f>
        <v>1235.0</v>
      </c>
      <c r="U204" s="32" t="str">
        <f>"－"</f>
        <v>－</v>
      </c>
      <c r="V204" s="32" t="n">
        <f>24489375</f>
        <v>2.4489375E7</v>
      </c>
      <c r="W204" s="32" t="str">
        <f>"－"</f>
        <v>－</v>
      </c>
      <c r="X204" s="36" t="n">
        <f>3</f>
        <v>3.0</v>
      </c>
    </row>
    <row r="205">
      <c r="A205" s="27" t="s">
        <v>42</v>
      </c>
      <c r="B205" s="27" t="s">
        <v>658</v>
      </c>
      <c r="C205" s="27" t="s">
        <v>659</v>
      </c>
      <c r="D205" s="27" t="s">
        <v>660</v>
      </c>
      <c r="E205" s="28" t="s">
        <v>46</v>
      </c>
      <c r="F205" s="29" t="s">
        <v>46</v>
      </c>
      <c r="G205" s="30" t="s">
        <v>46</v>
      </c>
      <c r="H205" s="31"/>
      <c r="I205" s="31" t="s">
        <v>414</v>
      </c>
      <c r="J205" s="32" t="n">
        <v>1.0</v>
      </c>
      <c r="K205" s="33" t="n">
        <f>19540</f>
        <v>19540.0</v>
      </c>
      <c r="L205" s="34" t="s">
        <v>48</v>
      </c>
      <c r="M205" s="33" t="n">
        <f>19975</f>
        <v>19975.0</v>
      </c>
      <c r="N205" s="34" t="s">
        <v>79</v>
      </c>
      <c r="O205" s="33" t="n">
        <f>19375</f>
        <v>19375.0</v>
      </c>
      <c r="P205" s="34" t="s">
        <v>99</v>
      </c>
      <c r="Q205" s="33" t="n">
        <f>19775</f>
        <v>19775.0</v>
      </c>
      <c r="R205" s="34" t="s">
        <v>50</v>
      </c>
      <c r="S205" s="35" t="n">
        <f>19708.5</f>
        <v>19708.5</v>
      </c>
      <c r="T205" s="32" t="n">
        <f>41</f>
        <v>41.0</v>
      </c>
      <c r="U205" s="32" t="str">
        <f>"－"</f>
        <v>－</v>
      </c>
      <c r="V205" s="32" t="n">
        <f>806050</f>
        <v>806050.0</v>
      </c>
      <c r="W205" s="32" t="str">
        <f>"－"</f>
        <v>－</v>
      </c>
      <c r="X205" s="36" t="n">
        <f>10</f>
        <v>10.0</v>
      </c>
    </row>
    <row r="206">
      <c r="A206" s="27" t="s">
        <v>42</v>
      </c>
      <c r="B206" s="27" t="s">
        <v>661</v>
      </c>
      <c r="C206" s="27" t="s">
        <v>662</v>
      </c>
      <c r="D206" s="27" t="s">
        <v>663</v>
      </c>
      <c r="E206" s="28" t="s">
        <v>46</v>
      </c>
      <c r="F206" s="29" t="s">
        <v>46</v>
      </c>
      <c r="G206" s="30" t="s">
        <v>46</v>
      </c>
      <c r="H206" s="31"/>
      <c r="I206" s="31" t="s">
        <v>414</v>
      </c>
      <c r="J206" s="32" t="n">
        <v>1.0</v>
      </c>
      <c r="K206" s="33" t="n">
        <f>23145</f>
        <v>23145.0</v>
      </c>
      <c r="L206" s="34" t="s">
        <v>48</v>
      </c>
      <c r="M206" s="33" t="n">
        <f>23265</f>
        <v>23265.0</v>
      </c>
      <c r="N206" s="34" t="s">
        <v>161</v>
      </c>
      <c r="O206" s="33" t="n">
        <f>23145</f>
        <v>23145.0</v>
      </c>
      <c r="P206" s="34" t="s">
        <v>48</v>
      </c>
      <c r="Q206" s="33" t="n">
        <f>23265</f>
        <v>23265.0</v>
      </c>
      <c r="R206" s="34" t="s">
        <v>161</v>
      </c>
      <c r="S206" s="35" t="n">
        <f>23211.67</f>
        <v>23211.67</v>
      </c>
      <c r="T206" s="32" t="n">
        <f>90</f>
        <v>90.0</v>
      </c>
      <c r="U206" s="32" t="str">
        <f>"－"</f>
        <v>－</v>
      </c>
      <c r="V206" s="32" t="n">
        <f>2093140</f>
        <v>2093140.0</v>
      </c>
      <c r="W206" s="32" t="str">
        <f>"－"</f>
        <v>－</v>
      </c>
      <c r="X206" s="36" t="n">
        <f>3</f>
        <v>3.0</v>
      </c>
    </row>
    <row r="207">
      <c r="A207" s="27" t="s">
        <v>42</v>
      </c>
      <c r="B207" s="27" t="s">
        <v>664</v>
      </c>
      <c r="C207" s="27" t="s">
        <v>665</v>
      </c>
      <c r="D207" s="27" t="s">
        <v>666</v>
      </c>
      <c r="E207" s="28" t="s">
        <v>46</v>
      </c>
      <c r="F207" s="29" t="s">
        <v>46</v>
      </c>
      <c r="G207" s="30" t="s">
        <v>46</v>
      </c>
      <c r="H207" s="31"/>
      <c r="I207" s="31" t="s">
        <v>414</v>
      </c>
      <c r="J207" s="32" t="n">
        <v>1.0</v>
      </c>
      <c r="K207" s="33" t="str">
        <f>"－"</f>
        <v>－</v>
      </c>
      <c r="L207" s="34"/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5" t="str">
        <f>"－"</f>
        <v>－</v>
      </c>
      <c r="T207" s="32" t="str">
        <f>"－"</f>
        <v>－</v>
      </c>
      <c r="U207" s="32" t="str">
        <f>"－"</f>
        <v>－</v>
      </c>
      <c r="V207" s="32" t="str">
        <f>"－"</f>
        <v>－</v>
      </c>
      <c r="W207" s="32" t="str">
        <f>"－"</f>
        <v>－</v>
      </c>
      <c r="X207" s="36" t="str">
        <f>"－"</f>
        <v>－</v>
      </c>
    </row>
    <row r="208">
      <c r="A208" s="27" t="s">
        <v>42</v>
      </c>
      <c r="B208" s="27" t="s">
        <v>667</v>
      </c>
      <c r="C208" s="27" t="s">
        <v>668</v>
      </c>
      <c r="D208" s="27" t="s">
        <v>669</v>
      </c>
      <c r="E208" s="28" t="s">
        <v>46</v>
      </c>
      <c r="F208" s="29" t="s">
        <v>46</v>
      </c>
      <c r="G208" s="30" t="s">
        <v>46</v>
      </c>
      <c r="H208" s="31"/>
      <c r="I208" s="31" t="s">
        <v>414</v>
      </c>
      <c r="J208" s="32" t="n">
        <v>1.0</v>
      </c>
      <c r="K208" s="33" t="n">
        <f>11950</f>
        <v>11950.0</v>
      </c>
      <c r="L208" s="34" t="s">
        <v>48</v>
      </c>
      <c r="M208" s="33" t="n">
        <f>12035</f>
        <v>12035.0</v>
      </c>
      <c r="N208" s="34" t="s">
        <v>68</v>
      </c>
      <c r="O208" s="33" t="n">
        <f>11950</f>
        <v>11950.0</v>
      </c>
      <c r="P208" s="34" t="s">
        <v>48</v>
      </c>
      <c r="Q208" s="33" t="n">
        <f>11960</f>
        <v>11960.0</v>
      </c>
      <c r="R208" s="34" t="s">
        <v>204</v>
      </c>
      <c r="S208" s="35" t="n">
        <f>11975</f>
        <v>11975.0</v>
      </c>
      <c r="T208" s="32" t="n">
        <f>34</f>
        <v>34.0</v>
      </c>
      <c r="U208" s="32" t="str">
        <f>"－"</f>
        <v>－</v>
      </c>
      <c r="V208" s="32" t="n">
        <f>408510</f>
        <v>408510.0</v>
      </c>
      <c r="W208" s="32" t="str">
        <f>"－"</f>
        <v>－</v>
      </c>
      <c r="X208" s="36" t="n">
        <f>6</f>
        <v>6.0</v>
      </c>
    </row>
    <row r="209">
      <c r="A209" s="27" t="s">
        <v>42</v>
      </c>
      <c r="B209" s="27" t="s">
        <v>670</v>
      </c>
      <c r="C209" s="27" t="s">
        <v>671</v>
      </c>
      <c r="D209" s="27" t="s">
        <v>672</v>
      </c>
      <c r="E209" s="28" t="s">
        <v>46</v>
      </c>
      <c r="F209" s="29" t="s">
        <v>46</v>
      </c>
      <c r="G209" s="30" t="s">
        <v>46</v>
      </c>
      <c r="H209" s="31"/>
      <c r="I209" s="31" t="s">
        <v>414</v>
      </c>
      <c r="J209" s="32" t="n">
        <v>1.0</v>
      </c>
      <c r="K209" s="33" t="n">
        <f>14560</f>
        <v>14560.0</v>
      </c>
      <c r="L209" s="34" t="s">
        <v>48</v>
      </c>
      <c r="M209" s="33" t="n">
        <f>15045</f>
        <v>15045.0</v>
      </c>
      <c r="N209" s="34" t="s">
        <v>69</v>
      </c>
      <c r="O209" s="33" t="n">
        <f>14065</f>
        <v>14065.0</v>
      </c>
      <c r="P209" s="34" t="s">
        <v>50</v>
      </c>
      <c r="Q209" s="33" t="n">
        <f>14065</f>
        <v>14065.0</v>
      </c>
      <c r="R209" s="34" t="s">
        <v>50</v>
      </c>
      <c r="S209" s="35" t="n">
        <f>14680</f>
        <v>14680.0</v>
      </c>
      <c r="T209" s="32" t="n">
        <f>7981</f>
        <v>7981.0</v>
      </c>
      <c r="U209" s="32" t="str">
        <f>"－"</f>
        <v>－</v>
      </c>
      <c r="V209" s="32" t="n">
        <f>117949680</f>
        <v>1.1794968E8</v>
      </c>
      <c r="W209" s="32" t="str">
        <f>"－"</f>
        <v>－</v>
      </c>
      <c r="X209" s="36" t="n">
        <f>12</f>
        <v>12.0</v>
      </c>
    </row>
    <row r="210">
      <c r="A210" s="27" t="s">
        <v>42</v>
      </c>
      <c r="B210" s="27" t="s">
        <v>673</v>
      </c>
      <c r="C210" s="27" t="s">
        <v>674</v>
      </c>
      <c r="D210" s="27" t="s">
        <v>675</v>
      </c>
      <c r="E210" s="28" t="s">
        <v>46</v>
      </c>
      <c r="F210" s="29" t="s">
        <v>46</v>
      </c>
      <c r="G210" s="30" t="s">
        <v>46</v>
      </c>
      <c r="H210" s="31"/>
      <c r="I210" s="31" t="s">
        <v>414</v>
      </c>
      <c r="J210" s="32" t="n">
        <v>1.0</v>
      </c>
      <c r="K210" s="33" t="n">
        <f>12700</f>
        <v>12700.0</v>
      </c>
      <c r="L210" s="34" t="s">
        <v>69</v>
      </c>
      <c r="M210" s="33" t="n">
        <f>12770</f>
        <v>12770.0</v>
      </c>
      <c r="N210" s="34" t="s">
        <v>49</v>
      </c>
      <c r="O210" s="33" t="n">
        <f>12450</f>
        <v>12450.0</v>
      </c>
      <c r="P210" s="34" t="s">
        <v>50</v>
      </c>
      <c r="Q210" s="33" t="n">
        <f>12450</f>
        <v>12450.0</v>
      </c>
      <c r="R210" s="34" t="s">
        <v>50</v>
      </c>
      <c r="S210" s="35" t="n">
        <f>12601</f>
        <v>12601.0</v>
      </c>
      <c r="T210" s="32" t="n">
        <f>537</f>
        <v>537.0</v>
      </c>
      <c r="U210" s="32" t="str">
        <f>"－"</f>
        <v>－</v>
      </c>
      <c r="V210" s="32" t="n">
        <f>6756070</f>
        <v>6756070.0</v>
      </c>
      <c r="W210" s="32" t="str">
        <f>"－"</f>
        <v>－</v>
      </c>
      <c r="X210" s="36" t="n">
        <f>5</f>
        <v>5.0</v>
      </c>
    </row>
    <row r="211">
      <c r="A211" s="27" t="s">
        <v>42</v>
      </c>
      <c r="B211" s="27" t="s">
        <v>676</v>
      </c>
      <c r="C211" s="27" t="s">
        <v>677</v>
      </c>
      <c r="D211" s="27" t="s">
        <v>678</v>
      </c>
      <c r="E211" s="28" t="s">
        <v>46</v>
      </c>
      <c r="F211" s="29" t="s">
        <v>46</v>
      </c>
      <c r="G211" s="30" t="s">
        <v>46</v>
      </c>
      <c r="H211" s="31"/>
      <c r="I211" s="31" t="s">
        <v>414</v>
      </c>
      <c r="J211" s="32" t="n">
        <v>1.0</v>
      </c>
      <c r="K211" s="33" t="str">
        <f>"－"</f>
        <v>－</v>
      </c>
      <c r="L211" s="34"/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5" t="str">
        <f>"－"</f>
        <v>－</v>
      </c>
      <c r="T211" s="32" t="str">
        <f>"－"</f>
        <v>－</v>
      </c>
      <c r="U211" s="32" t="str">
        <f>"－"</f>
        <v>－</v>
      </c>
      <c r="V211" s="32" t="str">
        <f>"－"</f>
        <v>－</v>
      </c>
      <c r="W211" s="32" t="str">
        <f>"－"</f>
        <v>－</v>
      </c>
      <c r="X211" s="36" t="str">
        <f>"－"</f>
        <v>－</v>
      </c>
    </row>
    <row r="212">
      <c r="A212" s="27" t="s">
        <v>42</v>
      </c>
      <c r="B212" s="27" t="s">
        <v>679</v>
      </c>
      <c r="C212" s="27" t="s">
        <v>680</v>
      </c>
      <c r="D212" s="27" t="s">
        <v>681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1.0</v>
      </c>
      <c r="K212" s="33" t="n">
        <f>1206</f>
        <v>1206.0</v>
      </c>
      <c r="L212" s="34" t="s">
        <v>48</v>
      </c>
      <c r="M212" s="33" t="n">
        <f>1239</f>
        <v>1239.0</v>
      </c>
      <c r="N212" s="34" t="s">
        <v>236</v>
      </c>
      <c r="O212" s="33" t="n">
        <f>1195</f>
        <v>1195.0</v>
      </c>
      <c r="P212" s="34" t="s">
        <v>48</v>
      </c>
      <c r="Q212" s="33" t="n">
        <f>1203</f>
        <v>1203.0</v>
      </c>
      <c r="R212" s="34" t="s">
        <v>50</v>
      </c>
      <c r="S212" s="35" t="n">
        <f>1213.61</f>
        <v>1213.61</v>
      </c>
      <c r="T212" s="32" t="n">
        <f>621672</f>
        <v>621672.0</v>
      </c>
      <c r="U212" s="32" t="n">
        <f>41302</f>
        <v>41302.0</v>
      </c>
      <c r="V212" s="32" t="n">
        <f>754197320</f>
        <v>7.5419732E8</v>
      </c>
      <c r="W212" s="32" t="n">
        <f>49954766</f>
        <v>4.9954766E7</v>
      </c>
      <c r="X212" s="36" t="n">
        <f>18</f>
        <v>18.0</v>
      </c>
    </row>
    <row r="213">
      <c r="A213" s="27" t="s">
        <v>42</v>
      </c>
      <c r="B213" s="27" t="s">
        <v>682</v>
      </c>
      <c r="C213" s="27" t="s">
        <v>683</v>
      </c>
      <c r="D213" s="27" t="s">
        <v>684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1.0</v>
      </c>
      <c r="K213" s="33" t="n">
        <f>1262</f>
        <v>1262.0</v>
      </c>
      <c r="L213" s="34" t="s">
        <v>48</v>
      </c>
      <c r="M213" s="33" t="n">
        <f>1276</f>
        <v>1276.0</v>
      </c>
      <c r="N213" s="34" t="s">
        <v>116</v>
      </c>
      <c r="O213" s="33" t="n">
        <f>1225</f>
        <v>1225.0</v>
      </c>
      <c r="P213" s="34" t="s">
        <v>99</v>
      </c>
      <c r="Q213" s="33" t="n">
        <f>1233</f>
        <v>1233.0</v>
      </c>
      <c r="R213" s="34" t="s">
        <v>50</v>
      </c>
      <c r="S213" s="35" t="n">
        <f>1249.44</f>
        <v>1249.44</v>
      </c>
      <c r="T213" s="32" t="n">
        <f>13818</f>
        <v>13818.0</v>
      </c>
      <c r="U213" s="32" t="str">
        <f>"－"</f>
        <v>－</v>
      </c>
      <c r="V213" s="32" t="n">
        <f>17237044</f>
        <v>1.7237044E7</v>
      </c>
      <c r="W213" s="32" t="str">
        <f>"－"</f>
        <v>－</v>
      </c>
      <c r="X213" s="36" t="n">
        <f>18</f>
        <v>18.0</v>
      </c>
    </row>
    <row r="214">
      <c r="A214" s="27" t="s">
        <v>42</v>
      </c>
      <c r="B214" s="27" t="s">
        <v>685</v>
      </c>
      <c r="C214" s="27" t="s">
        <v>686</v>
      </c>
      <c r="D214" s="27" t="s">
        <v>687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1.0</v>
      </c>
      <c r="K214" s="33" t="n">
        <f>1068</f>
        <v>1068.0</v>
      </c>
      <c r="L214" s="34" t="s">
        <v>48</v>
      </c>
      <c r="M214" s="33" t="n">
        <f>1073</f>
        <v>1073.0</v>
      </c>
      <c r="N214" s="34" t="s">
        <v>49</v>
      </c>
      <c r="O214" s="33" t="n">
        <f>1021</f>
        <v>1021.0</v>
      </c>
      <c r="P214" s="34" t="s">
        <v>50</v>
      </c>
      <c r="Q214" s="33" t="n">
        <f>1024</f>
        <v>1024.0</v>
      </c>
      <c r="R214" s="34" t="s">
        <v>50</v>
      </c>
      <c r="S214" s="35" t="n">
        <f>1054.44</f>
        <v>1054.44</v>
      </c>
      <c r="T214" s="32" t="n">
        <f>5716</f>
        <v>5716.0</v>
      </c>
      <c r="U214" s="32" t="str">
        <f>"－"</f>
        <v>－</v>
      </c>
      <c r="V214" s="32" t="n">
        <f>5989997</f>
        <v>5989997.0</v>
      </c>
      <c r="W214" s="32" t="str">
        <f>"－"</f>
        <v>－</v>
      </c>
      <c r="X214" s="36" t="n">
        <f>18</f>
        <v>18.0</v>
      </c>
    </row>
    <row r="215">
      <c r="A215" s="27" t="s">
        <v>42</v>
      </c>
      <c r="B215" s="27" t="s">
        <v>688</v>
      </c>
      <c r="C215" s="27" t="s">
        <v>689</v>
      </c>
      <c r="D215" s="27" t="s">
        <v>690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1.0</v>
      </c>
      <c r="K215" s="33" t="n">
        <f>2198</f>
        <v>2198.0</v>
      </c>
      <c r="L215" s="34" t="s">
        <v>48</v>
      </c>
      <c r="M215" s="33" t="n">
        <f>2273</f>
        <v>2273.0</v>
      </c>
      <c r="N215" s="34" t="s">
        <v>49</v>
      </c>
      <c r="O215" s="33" t="n">
        <f>2144</f>
        <v>2144.0</v>
      </c>
      <c r="P215" s="34" t="s">
        <v>50</v>
      </c>
      <c r="Q215" s="33" t="n">
        <f>2196</f>
        <v>2196.0</v>
      </c>
      <c r="R215" s="34" t="s">
        <v>50</v>
      </c>
      <c r="S215" s="35" t="n">
        <f>2228</f>
        <v>2228.0</v>
      </c>
      <c r="T215" s="32" t="n">
        <f>87952</f>
        <v>87952.0</v>
      </c>
      <c r="U215" s="32" t="str">
        <f>"－"</f>
        <v>－</v>
      </c>
      <c r="V215" s="32" t="n">
        <f>194512316</f>
        <v>1.94512316E8</v>
      </c>
      <c r="W215" s="32" t="str">
        <f>"－"</f>
        <v>－</v>
      </c>
      <c r="X215" s="36" t="n">
        <f>18</f>
        <v>18.0</v>
      </c>
    </row>
    <row r="216">
      <c r="A216" s="27" t="s">
        <v>42</v>
      </c>
      <c r="B216" s="27" t="s">
        <v>691</v>
      </c>
      <c r="C216" s="27" t="s">
        <v>692</v>
      </c>
      <c r="D216" s="27" t="s">
        <v>693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1.0</v>
      </c>
      <c r="K216" s="33" t="n">
        <f>2315</f>
        <v>2315.0</v>
      </c>
      <c r="L216" s="34" t="s">
        <v>48</v>
      </c>
      <c r="M216" s="33" t="n">
        <f>2340</f>
        <v>2340.0</v>
      </c>
      <c r="N216" s="34" t="s">
        <v>236</v>
      </c>
      <c r="O216" s="33" t="n">
        <f>2252</f>
        <v>2252.0</v>
      </c>
      <c r="P216" s="34" t="s">
        <v>50</v>
      </c>
      <c r="Q216" s="33" t="n">
        <f>2258</f>
        <v>2258.0</v>
      </c>
      <c r="R216" s="34" t="s">
        <v>50</v>
      </c>
      <c r="S216" s="35" t="n">
        <f>2303.83</f>
        <v>2303.83</v>
      </c>
      <c r="T216" s="32" t="n">
        <f>337277</f>
        <v>337277.0</v>
      </c>
      <c r="U216" s="32" t="n">
        <f>30000</f>
        <v>30000.0</v>
      </c>
      <c r="V216" s="32" t="n">
        <f>775814258</f>
        <v>7.75814258E8</v>
      </c>
      <c r="W216" s="32" t="n">
        <f>68327000</f>
        <v>6.8327E7</v>
      </c>
      <c r="X216" s="36" t="n">
        <f>18</f>
        <v>18.0</v>
      </c>
    </row>
    <row r="217">
      <c r="A217" s="27" t="s">
        <v>42</v>
      </c>
      <c r="B217" s="27" t="s">
        <v>694</v>
      </c>
      <c r="C217" s="27" t="s">
        <v>695</v>
      </c>
      <c r="D217" s="27" t="s">
        <v>696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544.9</f>
        <v>544.9</v>
      </c>
      <c r="L217" s="34" t="s">
        <v>48</v>
      </c>
      <c r="M217" s="33" t="n">
        <f>561</f>
        <v>561.0</v>
      </c>
      <c r="N217" s="34" t="s">
        <v>50</v>
      </c>
      <c r="O217" s="33" t="n">
        <f>537</f>
        <v>537.0</v>
      </c>
      <c r="P217" s="34" t="s">
        <v>48</v>
      </c>
      <c r="Q217" s="33" t="n">
        <f>561</f>
        <v>561.0</v>
      </c>
      <c r="R217" s="34" t="s">
        <v>50</v>
      </c>
      <c r="S217" s="35" t="n">
        <f>552.07</f>
        <v>552.07</v>
      </c>
      <c r="T217" s="32" t="n">
        <f>756750</f>
        <v>756750.0</v>
      </c>
      <c r="U217" s="32" t="str">
        <f>"－"</f>
        <v>－</v>
      </c>
      <c r="V217" s="32" t="n">
        <f>415266225</f>
        <v>4.15266225E8</v>
      </c>
      <c r="W217" s="32" t="str">
        <f>"－"</f>
        <v>－</v>
      </c>
      <c r="X217" s="36" t="n">
        <f>18</f>
        <v>18.0</v>
      </c>
    </row>
    <row r="218">
      <c r="A218" s="27" t="s">
        <v>42</v>
      </c>
      <c r="B218" s="27" t="s">
        <v>697</v>
      </c>
      <c r="C218" s="27" t="s">
        <v>698</v>
      </c>
      <c r="D218" s="27" t="s">
        <v>699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2540</f>
        <v>2540.0</v>
      </c>
      <c r="L218" s="34" t="s">
        <v>48</v>
      </c>
      <c r="M218" s="33" t="n">
        <f>2614.5</f>
        <v>2614.5</v>
      </c>
      <c r="N218" s="34" t="s">
        <v>236</v>
      </c>
      <c r="O218" s="33" t="n">
        <f>2471</f>
        <v>2471.0</v>
      </c>
      <c r="P218" s="34" t="s">
        <v>50</v>
      </c>
      <c r="Q218" s="33" t="n">
        <f>2471</f>
        <v>2471.0</v>
      </c>
      <c r="R218" s="34" t="s">
        <v>50</v>
      </c>
      <c r="S218" s="35" t="n">
        <f>2544.75</f>
        <v>2544.75</v>
      </c>
      <c r="T218" s="32" t="n">
        <f>273660</f>
        <v>273660.0</v>
      </c>
      <c r="U218" s="32" t="n">
        <f>199200</f>
        <v>199200.0</v>
      </c>
      <c r="V218" s="32" t="n">
        <f>688162164</f>
        <v>6.88162164E8</v>
      </c>
      <c r="W218" s="32" t="n">
        <f>500304744</f>
        <v>5.00304744E8</v>
      </c>
      <c r="X218" s="36" t="n">
        <f>12</f>
        <v>12.0</v>
      </c>
    </row>
    <row r="219">
      <c r="A219" s="27" t="s">
        <v>42</v>
      </c>
      <c r="B219" s="27" t="s">
        <v>700</v>
      </c>
      <c r="C219" s="27" t="s">
        <v>701</v>
      </c>
      <c r="D219" s="27" t="s">
        <v>702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2600</f>
        <v>2600.0</v>
      </c>
      <c r="L219" s="34" t="s">
        <v>48</v>
      </c>
      <c r="M219" s="33" t="n">
        <f>2732.5</f>
        <v>2732.5</v>
      </c>
      <c r="N219" s="34" t="s">
        <v>60</v>
      </c>
      <c r="O219" s="33" t="n">
        <f>2548.5</f>
        <v>2548.5</v>
      </c>
      <c r="P219" s="34" t="s">
        <v>50</v>
      </c>
      <c r="Q219" s="33" t="n">
        <f>2548.5</f>
        <v>2548.5</v>
      </c>
      <c r="R219" s="34" t="s">
        <v>50</v>
      </c>
      <c r="S219" s="35" t="n">
        <f>2645.04</f>
        <v>2645.04</v>
      </c>
      <c r="T219" s="32" t="n">
        <f>274410</f>
        <v>274410.0</v>
      </c>
      <c r="U219" s="32" t="n">
        <f>189500</f>
        <v>189500.0</v>
      </c>
      <c r="V219" s="32" t="n">
        <f>739476855</f>
        <v>7.39476855E8</v>
      </c>
      <c r="W219" s="32" t="n">
        <f>515665505</f>
        <v>5.15665505E8</v>
      </c>
      <c r="X219" s="36" t="n">
        <f>12</f>
        <v>12.0</v>
      </c>
    </row>
    <row r="220">
      <c r="A220" s="27" t="s">
        <v>42</v>
      </c>
      <c r="B220" s="27" t="s">
        <v>703</v>
      </c>
      <c r="C220" s="27" t="s">
        <v>704</v>
      </c>
      <c r="D220" s="27" t="s">
        <v>705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2336.5</f>
        <v>2336.5</v>
      </c>
      <c r="L220" s="34" t="s">
        <v>48</v>
      </c>
      <c r="M220" s="33" t="n">
        <f>2370</f>
        <v>2370.0</v>
      </c>
      <c r="N220" s="34" t="s">
        <v>116</v>
      </c>
      <c r="O220" s="33" t="n">
        <f>2298.5</f>
        <v>2298.5</v>
      </c>
      <c r="P220" s="34" t="s">
        <v>50</v>
      </c>
      <c r="Q220" s="33" t="n">
        <f>2300.5</f>
        <v>2300.5</v>
      </c>
      <c r="R220" s="34" t="s">
        <v>50</v>
      </c>
      <c r="S220" s="35" t="n">
        <f>2339.67</f>
        <v>2339.67</v>
      </c>
      <c r="T220" s="32" t="n">
        <f>53340</f>
        <v>53340.0</v>
      </c>
      <c r="U220" s="32" t="str">
        <f>"－"</f>
        <v>－</v>
      </c>
      <c r="V220" s="32" t="n">
        <f>125042700</f>
        <v>1.250427E8</v>
      </c>
      <c r="W220" s="32" t="str">
        <f>"－"</f>
        <v>－</v>
      </c>
      <c r="X220" s="36" t="n">
        <f>6</f>
        <v>6.0</v>
      </c>
    </row>
    <row r="221">
      <c r="A221" s="27" t="s">
        <v>42</v>
      </c>
      <c r="B221" s="27" t="s">
        <v>706</v>
      </c>
      <c r="C221" s="27" t="s">
        <v>707</v>
      </c>
      <c r="D221" s="27" t="s">
        <v>708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2578</f>
        <v>2578.0</v>
      </c>
      <c r="L221" s="34" t="s">
        <v>232</v>
      </c>
      <c r="M221" s="33" t="n">
        <f>2702</f>
        <v>2702.0</v>
      </c>
      <c r="N221" s="34" t="s">
        <v>236</v>
      </c>
      <c r="O221" s="33" t="n">
        <f>2578</f>
        <v>2578.0</v>
      </c>
      <c r="P221" s="34" t="s">
        <v>232</v>
      </c>
      <c r="Q221" s="33" t="n">
        <f>2609</f>
        <v>2609.0</v>
      </c>
      <c r="R221" s="34" t="s">
        <v>157</v>
      </c>
      <c r="S221" s="35" t="n">
        <f>2620.64</f>
        <v>2620.64</v>
      </c>
      <c r="T221" s="32" t="n">
        <f>940</f>
        <v>940.0</v>
      </c>
      <c r="U221" s="32" t="str">
        <f>"－"</f>
        <v>－</v>
      </c>
      <c r="V221" s="32" t="n">
        <f>2461005</f>
        <v>2461005.0</v>
      </c>
      <c r="W221" s="32" t="str">
        <f>"－"</f>
        <v>－</v>
      </c>
      <c r="X221" s="36" t="n">
        <f>7</f>
        <v>7.0</v>
      </c>
    </row>
    <row r="222">
      <c r="A222" s="27" t="s">
        <v>42</v>
      </c>
      <c r="B222" s="27" t="s">
        <v>709</v>
      </c>
      <c r="C222" s="27" t="s">
        <v>710</v>
      </c>
      <c r="D222" s="27" t="s">
        <v>711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str">
        <f>"－"</f>
        <v>－</v>
      </c>
      <c r="L222" s="34"/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5" t="str">
        <f>"－"</f>
        <v>－</v>
      </c>
      <c r="T222" s="32" t="str">
        <f>"－"</f>
        <v>－</v>
      </c>
      <c r="U222" s="32" t="str">
        <f>"－"</f>
        <v>－</v>
      </c>
      <c r="V222" s="32" t="str">
        <f>"－"</f>
        <v>－</v>
      </c>
      <c r="W222" s="32" t="str">
        <f>"－"</f>
        <v>－</v>
      </c>
      <c r="X222" s="36" t="str">
        <f>"－"</f>
        <v>－</v>
      </c>
    </row>
    <row r="223">
      <c r="A223" s="27" t="s">
        <v>42</v>
      </c>
      <c r="B223" s="27" t="s">
        <v>712</v>
      </c>
      <c r="C223" s="27" t="s">
        <v>713</v>
      </c>
      <c r="D223" s="27" t="s">
        <v>714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4856</f>
        <v>4856.0</v>
      </c>
      <c r="L223" s="34" t="s">
        <v>204</v>
      </c>
      <c r="M223" s="33" t="n">
        <f>4856</f>
        <v>4856.0</v>
      </c>
      <c r="N223" s="34" t="s">
        <v>204</v>
      </c>
      <c r="O223" s="33" t="n">
        <f>4856</f>
        <v>4856.0</v>
      </c>
      <c r="P223" s="34" t="s">
        <v>204</v>
      </c>
      <c r="Q223" s="33" t="n">
        <f>4856</f>
        <v>4856.0</v>
      </c>
      <c r="R223" s="34" t="s">
        <v>204</v>
      </c>
      <c r="S223" s="35" t="n">
        <f>4856</f>
        <v>4856.0</v>
      </c>
      <c r="T223" s="32" t="n">
        <f>10</f>
        <v>10.0</v>
      </c>
      <c r="U223" s="32" t="str">
        <f>"－"</f>
        <v>－</v>
      </c>
      <c r="V223" s="32" t="n">
        <f>48560</f>
        <v>48560.0</v>
      </c>
      <c r="W223" s="32" t="str">
        <f>"－"</f>
        <v>－</v>
      </c>
      <c r="X223" s="36" t="n">
        <f>1</f>
        <v>1.0</v>
      </c>
    </row>
    <row r="224">
      <c r="A224" s="27" t="s">
        <v>42</v>
      </c>
      <c r="B224" s="27" t="s">
        <v>715</v>
      </c>
      <c r="C224" s="27" t="s">
        <v>716</v>
      </c>
      <c r="D224" s="27" t="s">
        <v>717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str">
        <f>"－"</f>
        <v>－</v>
      </c>
      <c r="L224" s="34"/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5" t="str">
        <f>"－"</f>
        <v>－</v>
      </c>
      <c r="T224" s="32" t="str">
        <f>"－"</f>
        <v>－</v>
      </c>
      <c r="U224" s="32" t="str">
        <f>"－"</f>
        <v>－</v>
      </c>
      <c r="V224" s="32" t="str">
        <f>"－"</f>
        <v>－</v>
      </c>
      <c r="W224" s="32" t="str">
        <f>"－"</f>
        <v>－</v>
      </c>
      <c r="X224" s="36" t="str">
        <f>"－"</f>
        <v>－</v>
      </c>
    </row>
    <row r="225">
      <c r="A225" s="27" t="s">
        <v>42</v>
      </c>
      <c r="B225" s="27" t="s">
        <v>718</v>
      </c>
      <c r="C225" s="27" t="s">
        <v>719</v>
      </c>
      <c r="D225" s="27" t="s">
        <v>720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5297</f>
        <v>5297.0</v>
      </c>
      <c r="L225" s="34" t="s">
        <v>48</v>
      </c>
      <c r="M225" s="33" t="n">
        <f>5324</f>
        <v>5324.0</v>
      </c>
      <c r="N225" s="34" t="s">
        <v>116</v>
      </c>
      <c r="O225" s="33" t="n">
        <f>4965</f>
        <v>4965.0</v>
      </c>
      <c r="P225" s="34" t="s">
        <v>99</v>
      </c>
      <c r="Q225" s="33" t="n">
        <f>4995</f>
        <v>4995.0</v>
      </c>
      <c r="R225" s="34" t="s">
        <v>50</v>
      </c>
      <c r="S225" s="35" t="n">
        <f>5073.28</f>
        <v>5073.28</v>
      </c>
      <c r="T225" s="32" t="n">
        <f>105990</f>
        <v>105990.0</v>
      </c>
      <c r="U225" s="32" t="n">
        <f>65000</f>
        <v>65000.0</v>
      </c>
      <c r="V225" s="32" t="n">
        <f>532607412</f>
        <v>5.32607412E8</v>
      </c>
      <c r="W225" s="32" t="n">
        <f>327060382</f>
        <v>3.27060382E8</v>
      </c>
      <c r="X225" s="36" t="n">
        <f>18</f>
        <v>18.0</v>
      </c>
    </row>
    <row r="226">
      <c r="A226" s="27" t="s">
        <v>42</v>
      </c>
      <c r="B226" s="27" t="s">
        <v>721</v>
      </c>
      <c r="C226" s="27" t="s">
        <v>722</v>
      </c>
      <c r="D226" s="27" t="s">
        <v>723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951</f>
        <v>951.0</v>
      </c>
      <c r="L226" s="34" t="s">
        <v>48</v>
      </c>
      <c r="M226" s="33" t="n">
        <f>980</f>
        <v>980.0</v>
      </c>
      <c r="N226" s="34" t="s">
        <v>69</v>
      </c>
      <c r="O226" s="33" t="n">
        <f>944</f>
        <v>944.0</v>
      </c>
      <c r="P226" s="34" t="s">
        <v>50</v>
      </c>
      <c r="Q226" s="33" t="n">
        <f>950</f>
        <v>950.0</v>
      </c>
      <c r="R226" s="34" t="s">
        <v>50</v>
      </c>
      <c r="S226" s="35" t="n">
        <f>962.78</f>
        <v>962.78</v>
      </c>
      <c r="T226" s="32" t="n">
        <f>839417</f>
        <v>839417.0</v>
      </c>
      <c r="U226" s="32" t="n">
        <f>701100</f>
        <v>701100.0</v>
      </c>
      <c r="V226" s="32" t="n">
        <f>806971109</f>
        <v>8.06971109E8</v>
      </c>
      <c r="W226" s="32" t="n">
        <f>673136142</f>
        <v>6.73136142E8</v>
      </c>
      <c r="X226" s="36" t="n">
        <f>18</f>
        <v>18.0</v>
      </c>
    </row>
    <row r="227">
      <c r="A227" s="27" t="s">
        <v>42</v>
      </c>
      <c r="B227" s="27" t="s">
        <v>724</v>
      </c>
      <c r="C227" s="27" t="s">
        <v>725</v>
      </c>
      <c r="D227" s="27" t="s">
        <v>726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1110</f>
        <v>1110.0</v>
      </c>
      <c r="L227" s="34" t="s">
        <v>48</v>
      </c>
      <c r="M227" s="33" t="n">
        <f>1136</f>
        <v>1136.0</v>
      </c>
      <c r="N227" s="34" t="s">
        <v>204</v>
      </c>
      <c r="O227" s="33" t="n">
        <f>1107</f>
        <v>1107.0</v>
      </c>
      <c r="P227" s="34" t="s">
        <v>48</v>
      </c>
      <c r="Q227" s="33" t="n">
        <f>1121</f>
        <v>1121.0</v>
      </c>
      <c r="R227" s="34" t="s">
        <v>50</v>
      </c>
      <c r="S227" s="35" t="n">
        <f>1116.11</f>
        <v>1116.11</v>
      </c>
      <c r="T227" s="32" t="n">
        <f>82494</f>
        <v>82494.0</v>
      </c>
      <c r="U227" s="32" t="str">
        <f>"－"</f>
        <v>－</v>
      </c>
      <c r="V227" s="32" t="n">
        <f>91859318</f>
        <v>9.1859318E7</v>
      </c>
      <c r="W227" s="32" t="str">
        <f>"－"</f>
        <v>－</v>
      </c>
      <c r="X227" s="36" t="n">
        <f>18</f>
        <v>18.0</v>
      </c>
    </row>
    <row r="228">
      <c r="A228" s="27" t="s">
        <v>42</v>
      </c>
      <c r="B228" s="27" t="s">
        <v>727</v>
      </c>
      <c r="C228" s="27" t="s">
        <v>728</v>
      </c>
      <c r="D228" s="27" t="s">
        <v>729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968</f>
        <v>968.0</v>
      </c>
      <c r="L228" s="34" t="s">
        <v>48</v>
      </c>
      <c r="M228" s="33" t="n">
        <f>980</f>
        <v>980.0</v>
      </c>
      <c r="N228" s="34" t="s">
        <v>204</v>
      </c>
      <c r="O228" s="33" t="n">
        <f>951</f>
        <v>951.0</v>
      </c>
      <c r="P228" s="34" t="s">
        <v>103</v>
      </c>
      <c r="Q228" s="33" t="n">
        <f>968</f>
        <v>968.0</v>
      </c>
      <c r="R228" s="34" t="s">
        <v>50</v>
      </c>
      <c r="S228" s="35" t="n">
        <f>964.78</f>
        <v>964.78</v>
      </c>
      <c r="T228" s="32" t="n">
        <f>58869</f>
        <v>58869.0</v>
      </c>
      <c r="U228" s="32" t="str">
        <f>"－"</f>
        <v>－</v>
      </c>
      <c r="V228" s="32" t="n">
        <f>56920974</f>
        <v>5.6920974E7</v>
      </c>
      <c r="W228" s="32" t="str">
        <f>"－"</f>
        <v>－</v>
      </c>
      <c r="X228" s="36" t="n">
        <f>18</f>
        <v>18.0</v>
      </c>
    </row>
    <row r="229">
      <c r="A229" s="27" t="s">
        <v>42</v>
      </c>
      <c r="B229" s="27" t="s">
        <v>730</v>
      </c>
      <c r="C229" s="27" t="s">
        <v>731</v>
      </c>
      <c r="D229" s="27" t="s">
        <v>732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922</f>
        <v>922.0</v>
      </c>
      <c r="L229" s="34" t="s">
        <v>48</v>
      </c>
      <c r="M229" s="33" t="n">
        <f>922</f>
        <v>922.0</v>
      </c>
      <c r="N229" s="34" t="s">
        <v>48</v>
      </c>
      <c r="O229" s="33" t="n">
        <f>888</f>
        <v>888.0</v>
      </c>
      <c r="P229" s="34" t="s">
        <v>103</v>
      </c>
      <c r="Q229" s="33" t="n">
        <f>909</f>
        <v>909.0</v>
      </c>
      <c r="R229" s="34" t="s">
        <v>50</v>
      </c>
      <c r="S229" s="35" t="n">
        <f>901.17</f>
        <v>901.17</v>
      </c>
      <c r="T229" s="32" t="n">
        <f>77877</f>
        <v>77877.0</v>
      </c>
      <c r="U229" s="32" t="str">
        <f>"－"</f>
        <v>－</v>
      </c>
      <c r="V229" s="32" t="n">
        <f>70442509</f>
        <v>7.0442509E7</v>
      </c>
      <c r="W229" s="32" t="str">
        <f>"－"</f>
        <v>－</v>
      </c>
      <c r="X229" s="36" t="n">
        <f>18</f>
        <v>18.0</v>
      </c>
    </row>
    <row r="230">
      <c r="A230" s="27" t="s">
        <v>42</v>
      </c>
      <c r="B230" s="27" t="s">
        <v>733</v>
      </c>
      <c r="C230" s="27" t="s">
        <v>734</v>
      </c>
      <c r="D230" s="27" t="s">
        <v>735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992</f>
        <v>992.0</v>
      </c>
      <c r="L230" s="34" t="s">
        <v>48</v>
      </c>
      <c r="M230" s="33" t="n">
        <f>997</f>
        <v>997.0</v>
      </c>
      <c r="N230" s="34" t="s">
        <v>48</v>
      </c>
      <c r="O230" s="33" t="n">
        <f>949</f>
        <v>949.0</v>
      </c>
      <c r="P230" s="34" t="s">
        <v>156</v>
      </c>
      <c r="Q230" s="33" t="n">
        <f>960</f>
        <v>960.0</v>
      </c>
      <c r="R230" s="34" t="s">
        <v>50</v>
      </c>
      <c r="S230" s="35" t="n">
        <f>968.83</f>
        <v>968.83</v>
      </c>
      <c r="T230" s="32" t="n">
        <f>36304</f>
        <v>36304.0</v>
      </c>
      <c r="U230" s="32" t="n">
        <f>3</f>
        <v>3.0</v>
      </c>
      <c r="V230" s="32" t="n">
        <f>34893709</f>
        <v>3.4893709E7</v>
      </c>
      <c r="W230" s="32" t="n">
        <f>2904</f>
        <v>2904.0</v>
      </c>
      <c r="X230" s="36" t="n">
        <f>18</f>
        <v>18.0</v>
      </c>
    </row>
    <row r="231">
      <c r="A231" s="27" t="s">
        <v>42</v>
      </c>
      <c r="B231" s="27" t="s">
        <v>736</v>
      </c>
      <c r="C231" s="27" t="s">
        <v>737</v>
      </c>
      <c r="D231" s="27" t="s">
        <v>738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1482</f>
        <v>1482.0</v>
      </c>
      <c r="L231" s="34" t="s">
        <v>48</v>
      </c>
      <c r="M231" s="33" t="n">
        <f>1527</f>
        <v>1527.0</v>
      </c>
      <c r="N231" s="34" t="s">
        <v>50</v>
      </c>
      <c r="O231" s="33" t="n">
        <f>1474</f>
        <v>1474.0</v>
      </c>
      <c r="P231" s="34" t="s">
        <v>103</v>
      </c>
      <c r="Q231" s="33" t="n">
        <f>1508</f>
        <v>1508.0</v>
      </c>
      <c r="R231" s="34" t="s">
        <v>50</v>
      </c>
      <c r="S231" s="35" t="n">
        <f>1499.11</f>
        <v>1499.11</v>
      </c>
      <c r="T231" s="32" t="n">
        <f>130749</f>
        <v>130749.0</v>
      </c>
      <c r="U231" s="32" t="n">
        <f>6700</f>
        <v>6700.0</v>
      </c>
      <c r="V231" s="32" t="n">
        <f>195735191</f>
        <v>1.95735191E8</v>
      </c>
      <c r="W231" s="32" t="n">
        <f>10050000</f>
        <v>1.005E7</v>
      </c>
      <c r="X231" s="36" t="n">
        <f>18</f>
        <v>18.0</v>
      </c>
    </row>
    <row r="232">
      <c r="A232" s="27" t="s">
        <v>42</v>
      </c>
      <c r="B232" s="27" t="s">
        <v>739</v>
      </c>
      <c r="C232" s="27" t="s">
        <v>740</v>
      </c>
      <c r="D232" s="27" t="s">
        <v>741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148.2</f>
        <v>148.2</v>
      </c>
      <c r="L232" s="34" t="s">
        <v>48</v>
      </c>
      <c r="M232" s="33" t="n">
        <f>161.4</f>
        <v>161.4</v>
      </c>
      <c r="N232" s="34" t="s">
        <v>83</v>
      </c>
      <c r="O232" s="33" t="n">
        <f>142.7</f>
        <v>142.7</v>
      </c>
      <c r="P232" s="34" t="s">
        <v>50</v>
      </c>
      <c r="Q232" s="33" t="n">
        <f>144.1</f>
        <v>144.1</v>
      </c>
      <c r="R232" s="34" t="s">
        <v>50</v>
      </c>
      <c r="S232" s="35" t="n">
        <f>153.49</f>
        <v>153.49</v>
      </c>
      <c r="T232" s="32" t="n">
        <f>3435010</f>
        <v>3435010.0</v>
      </c>
      <c r="U232" s="32" t="str">
        <f>"－"</f>
        <v>－</v>
      </c>
      <c r="V232" s="32" t="n">
        <f>518324705</f>
        <v>5.18324705E8</v>
      </c>
      <c r="W232" s="32" t="str">
        <f>"－"</f>
        <v>－</v>
      </c>
      <c r="X232" s="36" t="n">
        <f>18</f>
        <v>18.0</v>
      </c>
    </row>
    <row r="233">
      <c r="A233" s="27" t="s">
        <v>42</v>
      </c>
      <c r="B233" s="27" t="s">
        <v>742</v>
      </c>
      <c r="C233" s="27" t="s">
        <v>743</v>
      </c>
      <c r="D233" s="27" t="s">
        <v>744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425.4</f>
        <v>425.4</v>
      </c>
      <c r="L233" s="34" t="s">
        <v>48</v>
      </c>
      <c r="M233" s="33" t="n">
        <f>458.6</f>
        <v>458.6</v>
      </c>
      <c r="N233" s="34" t="s">
        <v>83</v>
      </c>
      <c r="O233" s="33" t="n">
        <f>403.6</f>
        <v>403.6</v>
      </c>
      <c r="P233" s="34" t="s">
        <v>50</v>
      </c>
      <c r="Q233" s="33" t="n">
        <f>424.7</f>
        <v>424.7</v>
      </c>
      <c r="R233" s="34" t="s">
        <v>50</v>
      </c>
      <c r="S233" s="35" t="n">
        <f>437.05</f>
        <v>437.05</v>
      </c>
      <c r="T233" s="32" t="n">
        <f>1270230</f>
        <v>1270230.0</v>
      </c>
      <c r="U233" s="32" t="n">
        <f>730000</f>
        <v>730000.0</v>
      </c>
      <c r="V233" s="32" t="n">
        <f>529875406</f>
        <v>5.29875406E8</v>
      </c>
      <c r="W233" s="32" t="n">
        <f>299061290</f>
        <v>2.9906129E8</v>
      </c>
      <c r="X233" s="36" t="n">
        <f>18</f>
        <v>18.0</v>
      </c>
    </row>
    <row r="234">
      <c r="A234" s="27" t="s">
        <v>42</v>
      </c>
      <c r="B234" s="27" t="s">
        <v>745</v>
      </c>
      <c r="C234" s="27" t="s">
        <v>746</v>
      </c>
      <c r="D234" s="27" t="s">
        <v>747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2985</f>
        <v>2985.0</v>
      </c>
      <c r="L234" s="34" t="s">
        <v>48</v>
      </c>
      <c r="M234" s="33" t="n">
        <f>3017</f>
        <v>3017.0</v>
      </c>
      <c r="N234" s="34" t="s">
        <v>68</v>
      </c>
      <c r="O234" s="33" t="n">
        <f>2814</f>
        <v>2814.0</v>
      </c>
      <c r="P234" s="34" t="s">
        <v>50</v>
      </c>
      <c r="Q234" s="33" t="n">
        <f>2829</f>
        <v>2829.0</v>
      </c>
      <c r="R234" s="34" t="s">
        <v>50</v>
      </c>
      <c r="S234" s="35" t="n">
        <f>2934.89</f>
        <v>2934.89</v>
      </c>
      <c r="T234" s="32" t="n">
        <f>860580</f>
        <v>860580.0</v>
      </c>
      <c r="U234" s="32" t="n">
        <f>840010</f>
        <v>840010.0</v>
      </c>
      <c r="V234" s="32" t="n">
        <f>2543686655</f>
        <v>2.543686655E9</v>
      </c>
      <c r="W234" s="32" t="n">
        <f>2483195775</f>
        <v>2.483195775E9</v>
      </c>
      <c r="X234" s="36" t="n">
        <f>18</f>
        <v>18.0</v>
      </c>
    </row>
    <row r="235">
      <c r="A235" s="27" t="s">
        <v>42</v>
      </c>
      <c r="B235" s="27" t="s">
        <v>748</v>
      </c>
      <c r="C235" s="27" t="s">
        <v>749</v>
      </c>
      <c r="D235" s="27" t="s">
        <v>750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1298</f>
        <v>1298.0</v>
      </c>
      <c r="L235" s="34" t="s">
        <v>48</v>
      </c>
      <c r="M235" s="33" t="n">
        <f>1298</f>
        <v>1298.0</v>
      </c>
      <c r="N235" s="34" t="s">
        <v>48</v>
      </c>
      <c r="O235" s="33" t="n">
        <f>1244</f>
        <v>1244.0</v>
      </c>
      <c r="P235" s="34" t="s">
        <v>204</v>
      </c>
      <c r="Q235" s="33" t="n">
        <f>1254</f>
        <v>1254.0</v>
      </c>
      <c r="R235" s="34" t="s">
        <v>50</v>
      </c>
      <c r="S235" s="35" t="n">
        <f>1264.44</f>
        <v>1264.44</v>
      </c>
      <c r="T235" s="32" t="n">
        <f>1398402</f>
        <v>1398402.0</v>
      </c>
      <c r="U235" s="32" t="n">
        <f>492122</f>
        <v>492122.0</v>
      </c>
      <c r="V235" s="32" t="n">
        <f>1766251656</f>
        <v>1.766251656E9</v>
      </c>
      <c r="W235" s="32" t="n">
        <f>618433584</f>
        <v>6.18433584E8</v>
      </c>
      <c r="X235" s="36" t="n">
        <f>18</f>
        <v>18.0</v>
      </c>
    </row>
    <row r="236">
      <c r="A236" s="27" t="s">
        <v>42</v>
      </c>
      <c r="B236" s="27" t="s">
        <v>751</v>
      </c>
      <c r="C236" s="27" t="s">
        <v>752</v>
      </c>
      <c r="D236" s="27" t="s">
        <v>753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86470</f>
        <v>86470.0</v>
      </c>
      <c r="L236" s="34" t="s">
        <v>48</v>
      </c>
      <c r="M236" s="33" t="n">
        <f>91980</f>
        <v>91980.0</v>
      </c>
      <c r="N236" s="34" t="s">
        <v>83</v>
      </c>
      <c r="O236" s="33" t="n">
        <f>83190</f>
        <v>83190.0</v>
      </c>
      <c r="P236" s="34" t="s">
        <v>50</v>
      </c>
      <c r="Q236" s="33" t="n">
        <f>86870</f>
        <v>86870.0</v>
      </c>
      <c r="R236" s="34" t="s">
        <v>50</v>
      </c>
      <c r="S236" s="35" t="n">
        <f>89475</f>
        <v>89475.0</v>
      </c>
      <c r="T236" s="32" t="n">
        <f>26089</f>
        <v>26089.0</v>
      </c>
      <c r="U236" s="32" t="n">
        <f>2</f>
        <v>2.0</v>
      </c>
      <c r="V236" s="32" t="n">
        <f>2314426480</f>
        <v>2.31442648E9</v>
      </c>
      <c r="W236" s="32" t="n">
        <f>178210</f>
        <v>178210.0</v>
      </c>
      <c r="X236" s="36" t="n">
        <f>18</f>
        <v>18.0</v>
      </c>
    </row>
    <row r="237">
      <c r="A237" s="27" t="s">
        <v>42</v>
      </c>
      <c r="B237" s="27" t="s">
        <v>754</v>
      </c>
      <c r="C237" s="27" t="s">
        <v>755</v>
      </c>
      <c r="D237" s="27" t="s">
        <v>756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6801</f>
        <v>6801.0</v>
      </c>
      <c r="L237" s="34" t="s">
        <v>48</v>
      </c>
      <c r="M237" s="33" t="n">
        <f>6913</f>
        <v>6913.0</v>
      </c>
      <c r="N237" s="34" t="s">
        <v>50</v>
      </c>
      <c r="O237" s="33" t="n">
        <f>6585</f>
        <v>6585.0</v>
      </c>
      <c r="P237" s="34" t="s">
        <v>83</v>
      </c>
      <c r="Q237" s="33" t="n">
        <f>6900</f>
        <v>6900.0</v>
      </c>
      <c r="R237" s="34" t="s">
        <v>50</v>
      </c>
      <c r="S237" s="35" t="n">
        <f>6699.17</f>
        <v>6699.17</v>
      </c>
      <c r="T237" s="32" t="n">
        <f>37177</f>
        <v>37177.0</v>
      </c>
      <c r="U237" s="32" t="n">
        <f>30</f>
        <v>30.0</v>
      </c>
      <c r="V237" s="32" t="n">
        <f>250956462</f>
        <v>2.50956462E8</v>
      </c>
      <c r="W237" s="32" t="n">
        <f>198210</f>
        <v>198210.0</v>
      </c>
      <c r="X237" s="36" t="n">
        <f>18</f>
        <v>18.0</v>
      </c>
    </row>
    <row r="238">
      <c r="A238" s="27" t="s">
        <v>42</v>
      </c>
      <c r="B238" s="27" t="s">
        <v>757</v>
      </c>
      <c r="C238" s="27" t="s">
        <v>758</v>
      </c>
      <c r="D238" s="27" t="s">
        <v>759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18735</f>
        <v>18735.0</v>
      </c>
      <c r="L238" s="34" t="s">
        <v>48</v>
      </c>
      <c r="M238" s="33" t="n">
        <f>19900</f>
        <v>19900.0</v>
      </c>
      <c r="N238" s="34" t="s">
        <v>83</v>
      </c>
      <c r="O238" s="33" t="n">
        <f>18005</f>
        <v>18005.0</v>
      </c>
      <c r="P238" s="34" t="s">
        <v>50</v>
      </c>
      <c r="Q238" s="33" t="n">
        <f>18160</f>
        <v>18160.0</v>
      </c>
      <c r="R238" s="34" t="s">
        <v>50</v>
      </c>
      <c r="S238" s="35" t="n">
        <f>19298.89</f>
        <v>19298.89</v>
      </c>
      <c r="T238" s="32" t="n">
        <f>69280</f>
        <v>69280.0</v>
      </c>
      <c r="U238" s="32" t="str">
        <f>"－"</f>
        <v>－</v>
      </c>
      <c r="V238" s="32" t="n">
        <f>1326774900</f>
        <v>1.3267749E9</v>
      </c>
      <c r="W238" s="32" t="str">
        <f>"－"</f>
        <v>－</v>
      </c>
      <c r="X238" s="36" t="n">
        <f>18</f>
        <v>18.0</v>
      </c>
    </row>
    <row r="239">
      <c r="A239" s="27" t="s">
        <v>42</v>
      </c>
      <c r="B239" s="27" t="s">
        <v>760</v>
      </c>
      <c r="C239" s="27" t="s">
        <v>761</v>
      </c>
      <c r="D239" s="27" t="s">
        <v>762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1100</f>
        <v>1100.0</v>
      </c>
      <c r="L239" s="34" t="s">
        <v>48</v>
      </c>
      <c r="M239" s="33" t="n">
        <f>1173</f>
        <v>1173.0</v>
      </c>
      <c r="N239" s="34" t="s">
        <v>236</v>
      </c>
      <c r="O239" s="33" t="n">
        <f>1039</f>
        <v>1039.0</v>
      </c>
      <c r="P239" s="34" t="s">
        <v>50</v>
      </c>
      <c r="Q239" s="33" t="n">
        <f>1049</f>
        <v>1049.0</v>
      </c>
      <c r="R239" s="34" t="s">
        <v>50</v>
      </c>
      <c r="S239" s="35" t="n">
        <f>1126.22</f>
        <v>1126.22</v>
      </c>
      <c r="T239" s="32" t="n">
        <f>686002</f>
        <v>686002.0</v>
      </c>
      <c r="U239" s="32" t="str">
        <f>"－"</f>
        <v>－</v>
      </c>
      <c r="V239" s="32" t="n">
        <f>768437749</f>
        <v>7.68437749E8</v>
      </c>
      <c r="W239" s="32" t="str">
        <f>"－"</f>
        <v>－</v>
      </c>
      <c r="X239" s="36" t="n">
        <f>18</f>
        <v>18.0</v>
      </c>
    </row>
    <row r="240">
      <c r="A240" s="27" t="s">
        <v>42</v>
      </c>
      <c r="B240" s="27" t="s">
        <v>763</v>
      </c>
      <c r="C240" s="27" t="s">
        <v>764</v>
      </c>
      <c r="D240" s="27" t="s">
        <v>765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10.0</v>
      </c>
      <c r="K240" s="33" t="n">
        <f>6840</f>
        <v>6840.0</v>
      </c>
      <c r="L240" s="34" t="s">
        <v>48</v>
      </c>
      <c r="M240" s="33" t="n">
        <f>6956</f>
        <v>6956.0</v>
      </c>
      <c r="N240" s="34" t="s">
        <v>50</v>
      </c>
      <c r="O240" s="33" t="n">
        <f>6624</f>
        <v>6624.0</v>
      </c>
      <c r="P240" s="34" t="s">
        <v>83</v>
      </c>
      <c r="Q240" s="33" t="n">
        <f>6932</f>
        <v>6932.0</v>
      </c>
      <c r="R240" s="34" t="s">
        <v>50</v>
      </c>
      <c r="S240" s="35" t="n">
        <f>6727.11</f>
        <v>6727.11</v>
      </c>
      <c r="T240" s="32" t="n">
        <f>15780</f>
        <v>15780.0</v>
      </c>
      <c r="U240" s="32" t="str">
        <f>"－"</f>
        <v>－</v>
      </c>
      <c r="V240" s="32" t="n">
        <f>106262620</f>
        <v>1.0626262E8</v>
      </c>
      <c r="W240" s="32" t="str">
        <f>"－"</f>
        <v>－</v>
      </c>
      <c r="X240" s="36" t="n">
        <f>18</f>
        <v>18.0</v>
      </c>
    </row>
    <row r="241">
      <c r="A241" s="27" t="s">
        <v>42</v>
      </c>
      <c r="B241" s="27" t="s">
        <v>766</v>
      </c>
      <c r="C241" s="27" t="s">
        <v>767</v>
      </c>
      <c r="D241" s="27" t="s">
        <v>768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773</f>
        <v>773.0</v>
      </c>
      <c r="L241" s="34" t="s">
        <v>48</v>
      </c>
      <c r="M241" s="33" t="n">
        <f>773</f>
        <v>773.0</v>
      </c>
      <c r="N241" s="34" t="s">
        <v>48</v>
      </c>
      <c r="O241" s="33" t="n">
        <f>719.5</f>
        <v>719.5</v>
      </c>
      <c r="P241" s="34" t="s">
        <v>50</v>
      </c>
      <c r="Q241" s="33" t="n">
        <f>725.1</f>
        <v>725.1</v>
      </c>
      <c r="R241" s="34" t="s">
        <v>50</v>
      </c>
      <c r="S241" s="35" t="n">
        <f>750.94</f>
        <v>750.94</v>
      </c>
      <c r="T241" s="32" t="n">
        <f>201860</f>
        <v>201860.0</v>
      </c>
      <c r="U241" s="32" t="str">
        <f>"－"</f>
        <v>－</v>
      </c>
      <c r="V241" s="32" t="n">
        <f>152692279</f>
        <v>1.52692279E8</v>
      </c>
      <c r="W241" s="32" t="str">
        <f>"－"</f>
        <v>－</v>
      </c>
      <c r="X241" s="36" t="n">
        <f>18</f>
        <v>18.0</v>
      </c>
    </row>
    <row r="242">
      <c r="A242" s="27" t="s">
        <v>42</v>
      </c>
      <c r="B242" s="27" t="s">
        <v>769</v>
      </c>
      <c r="C242" s="27" t="s">
        <v>770</v>
      </c>
      <c r="D242" s="27" t="s">
        <v>771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596.8</f>
        <v>596.8</v>
      </c>
      <c r="L242" s="34" t="s">
        <v>48</v>
      </c>
      <c r="M242" s="33" t="n">
        <f>610.2</f>
        <v>610.2</v>
      </c>
      <c r="N242" s="34" t="s">
        <v>116</v>
      </c>
      <c r="O242" s="33" t="n">
        <f>583.1</f>
        <v>583.1</v>
      </c>
      <c r="P242" s="34" t="s">
        <v>204</v>
      </c>
      <c r="Q242" s="33" t="n">
        <f>586</f>
        <v>586.0</v>
      </c>
      <c r="R242" s="34" t="s">
        <v>50</v>
      </c>
      <c r="S242" s="35" t="n">
        <f>599.54</f>
        <v>599.54</v>
      </c>
      <c r="T242" s="32" t="n">
        <f>1071880</f>
        <v>1071880.0</v>
      </c>
      <c r="U242" s="32" t="n">
        <f>942880</f>
        <v>942880.0</v>
      </c>
      <c r="V242" s="32" t="n">
        <f>638916989</f>
        <v>6.38916989E8</v>
      </c>
      <c r="W242" s="32" t="n">
        <f>561905797</f>
        <v>5.61905797E8</v>
      </c>
      <c r="X242" s="36" t="n">
        <f>18</f>
        <v>18.0</v>
      </c>
    </row>
    <row r="243">
      <c r="A243" s="27" t="s">
        <v>42</v>
      </c>
      <c r="B243" s="27" t="s">
        <v>772</v>
      </c>
      <c r="C243" s="27" t="s">
        <v>773</v>
      </c>
      <c r="D243" s="27" t="s">
        <v>774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1800</f>
        <v>1800.0</v>
      </c>
      <c r="L243" s="34" t="s">
        <v>48</v>
      </c>
      <c r="M243" s="33" t="n">
        <f>1919</f>
        <v>1919.0</v>
      </c>
      <c r="N243" s="34" t="s">
        <v>83</v>
      </c>
      <c r="O243" s="33" t="n">
        <f>1673</f>
        <v>1673.0</v>
      </c>
      <c r="P243" s="34" t="s">
        <v>50</v>
      </c>
      <c r="Q243" s="33" t="n">
        <f>1687</f>
        <v>1687.0</v>
      </c>
      <c r="R243" s="34" t="s">
        <v>50</v>
      </c>
      <c r="S243" s="35" t="n">
        <f>1840.89</f>
        <v>1840.89</v>
      </c>
      <c r="T243" s="32" t="n">
        <f>4328174</f>
        <v>4328174.0</v>
      </c>
      <c r="U243" s="32" t="n">
        <f>35113</f>
        <v>35113.0</v>
      </c>
      <c r="V243" s="32" t="n">
        <f>7859152202</f>
        <v>7.859152202E9</v>
      </c>
      <c r="W243" s="32" t="n">
        <f>63846430</f>
        <v>6.384643E7</v>
      </c>
      <c r="X243" s="36" t="n">
        <f>18</f>
        <v>18.0</v>
      </c>
    </row>
    <row r="244">
      <c r="A244" s="27" t="s">
        <v>42</v>
      </c>
      <c r="B244" s="27" t="s">
        <v>775</v>
      </c>
      <c r="C244" s="27" t="s">
        <v>776</v>
      </c>
      <c r="D244" s="27" t="s">
        <v>777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2472</f>
        <v>2472.0</v>
      </c>
      <c r="L244" s="34" t="s">
        <v>48</v>
      </c>
      <c r="M244" s="33" t="n">
        <f>2538</f>
        <v>2538.0</v>
      </c>
      <c r="N244" s="34" t="s">
        <v>49</v>
      </c>
      <c r="O244" s="33" t="n">
        <f>2262</f>
        <v>2262.0</v>
      </c>
      <c r="P244" s="34" t="s">
        <v>50</v>
      </c>
      <c r="Q244" s="33" t="n">
        <f>2285</f>
        <v>2285.0</v>
      </c>
      <c r="R244" s="34" t="s">
        <v>50</v>
      </c>
      <c r="S244" s="35" t="n">
        <f>2467.67</f>
        <v>2467.67</v>
      </c>
      <c r="T244" s="32" t="n">
        <f>7139481</f>
        <v>7139481.0</v>
      </c>
      <c r="U244" s="32" t="n">
        <f>2059</f>
        <v>2059.0</v>
      </c>
      <c r="V244" s="32" t="n">
        <f>17469263030</f>
        <v>1.746926303E10</v>
      </c>
      <c r="W244" s="32" t="n">
        <f>5015104</f>
        <v>5015104.0</v>
      </c>
      <c r="X244" s="36" t="n">
        <f>18</f>
        <v>18.0</v>
      </c>
    </row>
    <row r="245">
      <c r="A245" s="27" t="s">
        <v>42</v>
      </c>
      <c r="B245" s="27" t="s">
        <v>778</v>
      </c>
      <c r="C245" s="27" t="s">
        <v>779</v>
      </c>
      <c r="D245" s="27" t="s">
        <v>780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778</f>
        <v>778.0</v>
      </c>
      <c r="L245" s="34" t="s">
        <v>48</v>
      </c>
      <c r="M245" s="33" t="n">
        <f>778</f>
        <v>778.0</v>
      </c>
      <c r="N245" s="34" t="s">
        <v>48</v>
      </c>
      <c r="O245" s="33" t="n">
        <f>748.2</f>
        <v>748.2</v>
      </c>
      <c r="P245" s="34" t="s">
        <v>68</v>
      </c>
      <c r="Q245" s="33" t="n">
        <f>760.2</f>
        <v>760.2</v>
      </c>
      <c r="R245" s="34" t="s">
        <v>50</v>
      </c>
      <c r="S245" s="35" t="n">
        <f>758.36</f>
        <v>758.36</v>
      </c>
      <c r="T245" s="32" t="n">
        <f>530</f>
        <v>530.0</v>
      </c>
      <c r="U245" s="32" t="str">
        <f>"－"</f>
        <v>－</v>
      </c>
      <c r="V245" s="32" t="n">
        <f>400419</f>
        <v>400419.0</v>
      </c>
      <c r="W245" s="32" t="str">
        <f>"－"</f>
        <v>－</v>
      </c>
      <c r="X245" s="36" t="n">
        <f>12</f>
        <v>12.0</v>
      </c>
    </row>
    <row r="246">
      <c r="A246" s="27" t="s">
        <v>42</v>
      </c>
      <c r="B246" s="27" t="s">
        <v>781</v>
      </c>
      <c r="C246" s="27" t="s">
        <v>782</v>
      </c>
      <c r="D246" s="27" t="s">
        <v>783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751</f>
        <v>751.0</v>
      </c>
      <c r="L246" s="34" t="s">
        <v>48</v>
      </c>
      <c r="M246" s="33" t="n">
        <f>760</f>
        <v>760.0</v>
      </c>
      <c r="N246" s="34" t="s">
        <v>103</v>
      </c>
      <c r="O246" s="33" t="n">
        <f>748.8</f>
        <v>748.8</v>
      </c>
      <c r="P246" s="34" t="s">
        <v>60</v>
      </c>
      <c r="Q246" s="33" t="n">
        <f>757.9</f>
        <v>757.9</v>
      </c>
      <c r="R246" s="34" t="s">
        <v>204</v>
      </c>
      <c r="S246" s="35" t="n">
        <f>755.5</f>
        <v>755.5</v>
      </c>
      <c r="T246" s="32" t="n">
        <f>20800</f>
        <v>20800.0</v>
      </c>
      <c r="U246" s="32" t="str">
        <f>"－"</f>
        <v>－</v>
      </c>
      <c r="V246" s="32" t="n">
        <f>15640100</f>
        <v>1.56401E7</v>
      </c>
      <c r="W246" s="32" t="str">
        <f>"－"</f>
        <v>－</v>
      </c>
      <c r="X246" s="36" t="n">
        <f>8</f>
        <v>8.0</v>
      </c>
    </row>
    <row r="247">
      <c r="A247" s="27" t="s">
        <v>42</v>
      </c>
      <c r="B247" s="27" t="s">
        <v>784</v>
      </c>
      <c r="C247" s="27" t="s">
        <v>785</v>
      </c>
      <c r="D247" s="27" t="s">
        <v>786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17500</f>
        <v>17500.0</v>
      </c>
      <c r="L247" s="34" t="s">
        <v>48</v>
      </c>
      <c r="M247" s="33" t="n">
        <f>17695</f>
        <v>17695.0</v>
      </c>
      <c r="N247" s="34" t="s">
        <v>68</v>
      </c>
      <c r="O247" s="33" t="n">
        <f>16460</f>
        <v>16460.0</v>
      </c>
      <c r="P247" s="34" t="s">
        <v>50</v>
      </c>
      <c r="Q247" s="33" t="n">
        <f>16580</f>
        <v>16580.0</v>
      </c>
      <c r="R247" s="34" t="s">
        <v>50</v>
      </c>
      <c r="S247" s="35" t="n">
        <f>17285.28</f>
        <v>17285.28</v>
      </c>
      <c r="T247" s="32" t="n">
        <f>136891</f>
        <v>136891.0</v>
      </c>
      <c r="U247" s="32" t="n">
        <f>3</f>
        <v>3.0</v>
      </c>
      <c r="V247" s="32" t="n">
        <f>2349085520</f>
        <v>2.34908552E9</v>
      </c>
      <c r="W247" s="32" t="n">
        <f>52490</f>
        <v>52490.0</v>
      </c>
      <c r="X247" s="36" t="n">
        <f>18</f>
        <v>18.0</v>
      </c>
    </row>
    <row r="248">
      <c r="A248" s="27" t="s">
        <v>42</v>
      </c>
      <c r="B248" s="27" t="s">
        <v>787</v>
      </c>
      <c r="C248" s="27" t="s">
        <v>788</v>
      </c>
      <c r="D248" s="27" t="s">
        <v>789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45210</f>
        <v>45210.0</v>
      </c>
      <c r="L248" s="34" t="s">
        <v>48</v>
      </c>
      <c r="M248" s="33" t="n">
        <f>47530</f>
        <v>47530.0</v>
      </c>
      <c r="N248" s="34" t="s">
        <v>69</v>
      </c>
      <c r="O248" s="33" t="n">
        <f>44500</f>
        <v>44500.0</v>
      </c>
      <c r="P248" s="34" t="s">
        <v>50</v>
      </c>
      <c r="Q248" s="33" t="n">
        <f>44640</f>
        <v>44640.0</v>
      </c>
      <c r="R248" s="34" t="s">
        <v>50</v>
      </c>
      <c r="S248" s="35" t="n">
        <f>46056.11</f>
        <v>46056.11</v>
      </c>
      <c r="T248" s="32" t="n">
        <f>58337</f>
        <v>58337.0</v>
      </c>
      <c r="U248" s="32" t="n">
        <f>801</f>
        <v>801.0</v>
      </c>
      <c r="V248" s="32" t="n">
        <f>2662951630</f>
        <v>2.66295163E9</v>
      </c>
      <c r="W248" s="32" t="n">
        <f>36417860</f>
        <v>3.641786E7</v>
      </c>
      <c r="X248" s="36" t="n">
        <f>18</f>
        <v>18.0</v>
      </c>
    </row>
    <row r="249">
      <c r="A249" s="27" t="s">
        <v>42</v>
      </c>
      <c r="B249" s="27" t="s">
        <v>790</v>
      </c>
      <c r="C249" s="27" t="s">
        <v>791</v>
      </c>
      <c r="D249" s="27" t="s">
        <v>792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16730</f>
        <v>16730.0</v>
      </c>
      <c r="L249" s="34" t="s">
        <v>48</v>
      </c>
      <c r="M249" s="33" t="n">
        <f>17300</f>
        <v>17300.0</v>
      </c>
      <c r="N249" s="34" t="s">
        <v>50</v>
      </c>
      <c r="O249" s="33" t="n">
        <f>15710</f>
        <v>15710.0</v>
      </c>
      <c r="P249" s="34" t="s">
        <v>83</v>
      </c>
      <c r="Q249" s="33" t="n">
        <f>17180</f>
        <v>17180.0</v>
      </c>
      <c r="R249" s="34" t="s">
        <v>50</v>
      </c>
      <c r="S249" s="35" t="n">
        <f>16202.5</f>
        <v>16202.5</v>
      </c>
      <c r="T249" s="32" t="n">
        <f>73669</f>
        <v>73669.0</v>
      </c>
      <c r="U249" s="32" t="str">
        <f>"－"</f>
        <v>－</v>
      </c>
      <c r="V249" s="32" t="n">
        <f>1192630930</f>
        <v>1.19263093E9</v>
      </c>
      <c r="W249" s="32" t="str">
        <f>"－"</f>
        <v>－</v>
      </c>
      <c r="X249" s="36" t="n">
        <f>18</f>
        <v>18.0</v>
      </c>
    </row>
    <row r="250">
      <c r="A250" s="27" t="s">
        <v>42</v>
      </c>
      <c r="B250" s="27" t="s">
        <v>793</v>
      </c>
      <c r="C250" s="27" t="s">
        <v>794</v>
      </c>
      <c r="D250" s="27" t="s">
        <v>795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987</f>
        <v>987.0</v>
      </c>
      <c r="L250" s="34" t="s">
        <v>48</v>
      </c>
      <c r="M250" s="33" t="n">
        <f>1020</f>
        <v>1020.0</v>
      </c>
      <c r="N250" s="34" t="s">
        <v>116</v>
      </c>
      <c r="O250" s="33" t="n">
        <f>834</f>
        <v>834.0</v>
      </c>
      <c r="P250" s="34" t="s">
        <v>50</v>
      </c>
      <c r="Q250" s="33" t="n">
        <f>836</f>
        <v>836.0</v>
      </c>
      <c r="R250" s="34" t="s">
        <v>50</v>
      </c>
      <c r="S250" s="35" t="n">
        <f>957.22</f>
        <v>957.22</v>
      </c>
      <c r="T250" s="32" t="n">
        <f>257270</f>
        <v>257270.0</v>
      </c>
      <c r="U250" s="32" t="str">
        <f>"－"</f>
        <v>－</v>
      </c>
      <c r="V250" s="32" t="n">
        <f>241480932</f>
        <v>2.41480932E8</v>
      </c>
      <c r="W250" s="32" t="str">
        <f>"－"</f>
        <v>－</v>
      </c>
      <c r="X250" s="36" t="n">
        <f>18</f>
        <v>18.0</v>
      </c>
    </row>
    <row r="251">
      <c r="A251" s="27" t="s">
        <v>42</v>
      </c>
      <c r="B251" s="27" t="s">
        <v>796</v>
      </c>
      <c r="C251" s="27" t="s">
        <v>797</v>
      </c>
      <c r="D251" s="27" t="s">
        <v>798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246.8</f>
        <v>246.8</v>
      </c>
      <c r="L251" s="34" t="s">
        <v>48</v>
      </c>
      <c r="M251" s="33" t="n">
        <f>257.7</f>
        <v>257.7</v>
      </c>
      <c r="N251" s="34" t="s">
        <v>236</v>
      </c>
      <c r="O251" s="33" t="n">
        <f>240</f>
        <v>240.0</v>
      </c>
      <c r="P251" s="34" t="s">
        <v>50</v>
      </c>
      <c r="Q251" s="33" t="n">
        <f>240.7</f>
        <v>240.7</v>
      </c>
      <c r="R251" s="34" t="s">
        <v>50</v>
      </c>
      <c r="S251" s="35" t="n">
        <f>246.24</f>
        <v>246.24</v>
      </c>
      <c r="T251" s="32" t="n">
        <f>830630</f>
        <v>830630.0</v>
      </c>
      <c r="U251" s="32" t="n">
        <f>800000</f>
        <v>800000.0</v>
      </c>
      <c r="V251" s="32" t="n">
        <f>203987053</f>
        <v>2.03987053E8</v>
      </c>
      <c r="W251" s="32" t="n">
        <f>196480000</f>
        <v>1.9648E8</v>
      </c>
      <c r="X251" s="36" t="n">
        <f>18</f>
        <v>18.0</v>
      </c>
    </row>
    <row r="252">
      <c r="A252" s="27" t="s">
        <v>42</v>
      </c>
      <c r="B252" s="27" t="s">
        <v>799</v>
      </c>
      <c r="C252" s="27" t="s">
        <v>800</v>
      </c>
      <c r="D252" s="27" t="s">
        <v>801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786</f>
        <v>786.0</v>
      </c>
      <c r="L252" s="34" t="s">
        <v>48</v>
      </c>
      <c r="M252" s="33" t="n">
        <f>809.9</f>
        <v>809.9</v>
      </c>
      <c r="N252" s="34" t="s">
        <v>49</v>
      </c>
      <c r="O252" s="33" t="n">
        <f>778.5</f>
        <v>778.5</v>
      </c>
      <c r="P252" s="34" t="s">
        <v>48</v>
      </c>
      <c r="Q252" s="33" t="n">
        <f>792.8</f>
        <v>792.8</v>
      </c>
      <c r="R252" s="34" t="s">
        <v>50</v>
      </c>
      <c r="S252" s="35" t="n">
        <f>792.78</f>
        <v>792.78</v>
      </c>
      <c r="T252" s="32" t="n">
        <f>1125560</f>
        <v>1125560.0</v>
      </c>
      <c r="U252" s="32" t="n">
        <f>124670</f>
        <v>124670.0</v>
      </c>
      <c r="V252" s="32" t="n">
        <f>895002613</f>
        <v>8.95002613E8</v>
      </c>
      <c r="W252" s="32" t="n">
        <f>99997807</f>
        <v>9.9997807E7</v>
      </c>
      <c r="X252" s="36" t="n">
        <f>18</f>
        <v>18.0</v>
      </c>
    </row>
    <row r="253">
      <c r="A253" s="27" t="s">
        <v>42</v>
      </c>
      <c r="B253" s="27" t="s">
        <v>802</v>
      </c>
      <c r="C253" s="27" t="s">
        <v>803</v>
      </c>
      <c r="D253" s="27" t="s">
        <v>804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1288</f>
        <v>1288.0</v>
      </c>
      <c r="L253" s="34" t="s">
        <v>48</v>
      </c>
      <c r="M253" s="33" t="n">
        <f>1299</f>
        <v>1299.0</v>
      </c>
      <c r="N253" s="34" t="s">
        <v>68</v>
      </c>
      <c r="O253" s="33" t="n">
        <f>1192</f>
        <v>1192.0</v>
      </c>
      <c r="P253" s="34" t="s">
        <v>50</v>
      </c>
      <c r="Q253" s="33" t="n">
        <f>1209</f>
        <v>1209.0</v>
      </c>
      <c r="R253" s="34" t="s">
        <v>50</v>
      </c>
      <c r="S253" s="35" t="n">
        <f>1254.5</f>
        <v>1254.5</v>
      </c>
      <c r="T253" s="32" t="n">
        <f>344447</f>
        <v>344447.0</v>
      </c>
      <c r="U253" s="32" t="n">
        <f>3</f>
        <v>3.0</v>
      </c>
      <c r="V253" s="32" t="n">
        <f>430448102</f>
        <v>4.30448102E8</v>
      </c>
      <c r="W253" s="32" t="n">
        <f>3647</f>
        <v>3647.0</v>
      </c>
      <c r="X253" s="36" t="n">
        <f>18</f>
        <v>18.0</v>
      </c>
    </row>
    <row r="254">
      <c r="A254" s="27" t="s">
        <v>42</v>
      </c>
      <c r="B254" s="27" t="s">
        <v>805</v>
      </c>
      <c r="C254" s="27" t="s">
        <v>806</v>
      </c>
      <c r="D254" s="27" t="s">
        <v>807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1239</f>
        <v>1239.0</v>
      </c>
      <c r="L254" s="34" t="s">
        <v>48</v>
      </c>
      <c r="M254" s="33" t="n">
        <f>1250</f>
        <v>1250.0</v>
      </c>
      <c r="N254" s="34" t="s">
        <v>68</v>
      </c>
      <c r="O254" s="33" t="n">
        <f>1211</f>
        <v>1211.0</v>
      </c>
      <c r="P254" s="34" t="s">
        <v>50</v>
      </c>
      <c r="Q254" s="33" t="n">
        <f>1218</f>
        <v>1218.0</v>
      </c>
      <c r="R254" s="34" t="s">
        <v>50</v>
      </c>
      <c r="S254" s="35" t="n">
        <f>1229.56</f>
        <v>1229.56</v>
      </c>
      <c r="T254" s="32" t="n">
        <f>168762</f>
        <v>168762.0</v>
      </c>
      <c r="U254" s="32" t="n">
        <f>14</f>
        <v>14.0</v>
      </c>
      <c r="V254" s="32" t="n">
        <f>207423595</f>
        <v>2.07423595E8</v>
      </c>
      <c r="W254" s="32" t="n">
        <f>16994</f>
        <v>16994.0</v>
      </c>
      <c r="X254" s="36" t="n">
        <f>18</f>
        <v>18.0</v>
      </c>
    </row>
    <row r="255">
      <c r="A255" s="27" t="s">
        <v>42</v>
      </c>
      <c r="B255" s="27" t="s">
        <v>808</v>
      </c>
      <c r="C255" s="27" t="s">
        <v>809</v>
      </c>
      <c r="D255" s="27" t="s">
        <v>810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898</f>
        <v>898.0</v>
      </c>
      <c r="L255" s="34" t="s">
        <v>48</v>
      </c>
      <c r="M255" s="33" t="n">
        <f>1030</f>
        <v>1030.0</v>
      </c>
      <c r="N255" s="34" t="s">
        <v>50</v>
      </c>
      <c r="O255" s="33" t="n">
        <f>869</f>
        <v>869.0</v>
      </c>
      <c r="P255" s="34" t="s">
        <v>48</v>
      </c>
      <c r="Q255" s="33" t="n">
        <f>976</f>
        <v>976.0</v>
      </c>
      <c r="R255" s="34" t="s">
        <v>50</v>
      </c>
      <c r="S255" s="35" t="n">
        <f>963.94</f>
        <v>963.94</v>
      </c>
      <c r="T255" s="32" t="n">
        <f>838417</f>
        <v>838417.0</v>
      </c>
      <c r="U255" s="32" t="str">
        <f>"－"</f>
        <v>－</v>
      </c>
      <c r="V255" s="32" t="n">
        <f>827197024</f>
        <v>8.27197024E8</v>
      </c>
      <c r="W255" s="32" t="str">
        <f>"－"</f>
        <v>－</v>
      </c>
      <c r="X255" s="36" t="n">
        <f>18</f>
        <v>18.0</v>
      </c>
    </row>
    <row r="256">
      <c r="A256" s="27" t="s">
        <v>42</v>
      </c>
      <c r="B256" s="27" t="s">
        <v>811</v>
      </c>
      <c r="C256" s="27" t="s">
        <v>812</v>
      </c>
      <c r="D256" s="27" t="s">
        <v>813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207</f>
        <v>207.0</v>
      </c>
      <c r="L256" s="34" t="s">
        <v>48</v>
      </c>
      <c r="M256" s="33" t="n">
        <f>209.5</f>
        <v>209.5</v>
      </c>
      <c r="N256" s="34" t="s">
        <v>50</v>
      </c>
      <c r="O256" s="33" t="n">
        <f>201.1</f>
        <v>201.1</v>
      </c>
      <c r="P256" s="34" t="s">
        <v>156</v>
      </c>
      <c r="Q256" s="33" t="n">
        <f>209.5</f>
        <v>209.5</v>
      </c>
      <c r="R256" s="34" t="s">
        <v>50</v>
      </c>
      <c r="S256" s="35" t="n">
        <f>206.01</f>
        <v>206.01</v>
      </c>
      <c r="T256" s="32" t="n">
        <f>8186710</f>
        <v>8186710.0</v>
      </c>
      <c r="U256" s="32" t="n">
        <f>3450</f>
        <v>3450.0</v>
      </c>
      <c r="V256" s="32" t="n">
        <f>1682848518</f>
        <v>1.682848518E9</v>
      </c>
      <c r="W256" s="32" t="n">
        <f>708320</f>
        <v>708320.0</v>
      </c>
      <c r="X256" s="36" t="n">
        <f>18</f>
        <v>18.0</v>
      </c>
    </row>
    <row r="257">
      <c r="A257" s="27" t="s">
        <v>42</v>
      </c>
      <c r="B257" s="27" t="s">
        <v>814</v>
      </c>
      <c r="C257" s="27" t="s">
        <v>815</v>
      </c>
      <c r="D257" s="27" t="s">
        <v>816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214.9</f>
        <v>214.9</v>
      </c>
      <c r="L257" s="34" t="s">
        <v>48</v>
      </c>
      <c r="M257" s="33" t="n">
        <f>214.9</f>
        <v>214.9</v>
      </c>
      <c r="N257" s="34" t="s">
        <v>48</v>
      </c>
      <c r="O257" s="33" t="n">
        <f>207.2</f>
        <v>207.2</v>
      </c>
      <c r="P257" s="34" t="s">
        <v>156</v>
      </c>
      <c r="Q257" s="33" t="n">
        <f>211.3</f>
        <v>211.3</v>
      </c>
      <c r="R257" s="34" t="s">
        <v>50</v>
      </c>
      <c r="S257" s="35" t="n">
        <f>210.93</f>
        <v>210.93</v>
      </c>
      <c r="T257" s="32" t="n">
        <f>714490</f>
        <v>714490.0</v>
      </c>
      <c r="U257" s="32" t="n">
        <f>750</f>
        <v>750.0</v>
      </c>
      <c r="V257" s="32" t="n">
        <f>150620533</f>
        <v>1.50620533E8</v>
      </c>
      <c r="W257" s="32" t="n">
        <f>156750</f>
        <v>156750.0</v>
      </c>
      <c r="X257" s="36" t="n">
        <f>18</f>
        <v>18.0</v>
      </c>
    </row>
    <row r="258">
      <c r="A258" s="27" t="s">
        <v>42</v>
      </c>
      <c r="B258" s="27" t="s">
        <v>817</v>
      </c>
      <c r="C258" s="27" t="s">
        <v>818</v>
      </c>
      <c r="D258" s="27" t="s">
        <v>819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217.5</f>
        <v>217.5</v>
      </c>
      <c r="L258" s="34" t="s">
        <v>48</v>
      </c>
      <c r="M258" s="33" t="n">
        <f>217.5</f>
        <v>217.5</v>
      </c>
      <c r="N258" s="34" t="s">
        <v>48</v>
      </c>
      <c r="O258" s="33" t="n">
        <f>209.1</f>
        <v>209.1</v>
      </c>
      <c r="P258" s="34" t="s">
        <v>156</v>
      </c>
      <c r="Q258" s="33" t="n">
        <f>212.5</f>
        <v>212.5</v>
      </c>
      <c r="R258" s="34" t="s">
        <v>50</v>
      </c>
      <c r="S258" s="35" t="n">
        <f>212.58</f>
        <v>212.58</v>
      </c>
      <c r="T258" s="32" t="n">
        <f>436740</f>
        <v>436740.0</v>
      </c>
      <c r="U258" s="32" t="n">
        <f>1590</f>
        <v>1590.0</v>
      </c>
      <c r="V258" s="32" t="n">
        <f>93118747</f>
        <v>9.3118747E7</v>
      </c>
      <c r="W258" s="32" t="n">
        <f>316815</f>
        <v>316815.0</v>
      </c>
      <c r="X258" s="36" t="n">
        <f>18</f>
        <v>18.0</v>
      </c>
    </row>
    <row r="259">
      <c r="A259" s="27" t="s">
        <v>42</v>
      </c>
      <c r="B259" s="27" t="s">
        <v>820</v>
      </c>
      <c r="C259" s="27" t="s">
        <v>821</v>
      </c>
      <c r="D259" s="27" t="s">
        <v>822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222.5</f>
        <v>222.5</v>
      </c>
      <c r="L259" s="34" t="s">
        <v>48</v>
      </c>
      <c r="M259" s="33" t="n">
        <f>226</f>
        <v>226.0</v>
      </c>
      <c r="N259" s="34" t="s">
        <v>68</v>
      </c>
      <c r="O259" s="33" t="n">
        <f>213.6</f>
        <v>213.6</v>
      </c>
      <c r="P259" s="34" t="s">
        <v>99</v>
      </c>
      <c r="Q259" s="33" t="n">
        <f>215.5</f>
        <v>215.5</v>
      </c>
      <c r="R259" s="34" t="s">
        <v>50</v>
      </c>
      <c r="S259" s="35" t="n">
        <f>217.53</f>
        <v>217.53</v>
      </c>
      <c r="T259" s="32" t="n">
        <f>722030</f>
        <v>722030.0</v>
      </c>
      <c r="U259" s="32" t="n">
        <f>210</f>
        <v>210.0</v>
      </c>
      <c r="V259" s="32" t="n">
        <f>156793778</f>
        <v>1.56793778E8</v>
      </c>
      <c r="W259" s="32" t="n">
        <f>42822</f>
        <v>42822.0</v>
      </c>
      <c r="X259" s="36" t="n">
        <f>18</f>
        <v>18.0</v>
      </c>
    </row>
    <row r="260">
      <c r="A260" s="27" t="s">
        <v>42</v>
      </c>
      <c r="B260" s="27" t="s">
        <v>823</v>
      </c>
      <c r="C260" s="27" t="s">
        <v>824</v>
      </c>
      <c r="D260" s="27" t="s">
        <v>825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10.0</v>
      </c>
      <c r="K260" s="33" t="n">
        <f>191.5</f>
        <v>191.5</v>
      </c>
      <c r="L260" s="34" t="s">
        <v>48</v>
      </c>
      <c r="M260" s="33" t="n">
        <f>197.1</f>
        <v>197.1</v>
      </c>
      <c r="N260" s="34" t="s">
        <v>161</v>
      </c>
      <c r="O260" s="33" t="n">
        <f>191.5</f>
        <v>191.5</v>
      </c>
      <c r="P260" s="34" t="s">
        <v>48</v>
      </c>
      <c r="Q260" s="33" t="n">
        <f>195.9</f>
        <v>195.9</v>
      </c>
      <c r="R260" s="34" t="s">
        <v>50</v>
      </c>
      <c r="S260" s="35" t="n">
        <f>194.8</f>
        <v>194.8</v>
      </c>
      <c r="T260" s="32" t="n">
        <f>1562680</f>
        <v>1562680.0</v>
      </c>
      <c r="U260" s="32" t="n">
        <f>70140</f>
        <v>70140.0</v>
      </c>
      <c r="V260" s="32" t="n">
        <f>303239200</f>
        <v>3.032392E8</v>
      </c>
      <c r="W260" s="32" t="n">
        <f>13656258</f>
        <v>1.3656258E7</v>
      </c>
      <c r="X260" s="36" t="n">
        <f>16</f>
        <v>16.0</v>
      </c>
    </row>
    <row r="261">
      <c r="A261" s="27" t="s">
        <v>42</v>
      </c>
      <c r="B261" s="27" t="s">
        <v>826</v>
      </c>
      <c r="C261" s="27" t="s">
        <v>827</v>
      </c>
      <c r="D261" s="27" t="s">
        <v>828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1964</f>
        <v>1964.0</v>
      </c>
      <c r="L261" s="34" t="s">
        <v>48</v>
      </c>
      <c r="M261" s="33" t="n">
        <f>1978</f>
        <v>1978.0</v>
      </c>
      <c r="N261" s="34" t="s">
        <v>116</v>
      </c>
      <c r="O261" s="33" t="n">
        <f>1787</f>
        <v>1787.0</v>
      </c>
      <c r="P261" s="34" t="s">
        <v>50</v>
      </c>
      <c r="Q261" s="33" t="n">
        <f>1789</f>
        <v>1789.0</v>
      </c>
      <c r="R261" s="34" t="s">
        <v>50</v>
      </c>
      <c r="S261" s="35" t="n">
        <f>1887.83</f>
        <v>1887.83</v>
      </c>
      <c r="T261" s="32" t="n">
        <f>1077081</f>
        <v>1077081.0</v>
      </c>
      <c r="U261" s="32" t="n">
        <f>150</f>
        <v>150.0</v>
      </c>
      <c r="V261" s="32" t="n">
        <f>2035405450</f>
        <v>2.03540545E9</v>
      </c>
      <c r="W261" s="32" t="n">
        <f>279525</f>
        <v>279525.0</v>
      </c>
      <c r="X261" s="36" t="n">
        <f>18</f>
        <v>18.0</v>
      </c>
    </row>
    <row r="262">
      <c r="A262" s="27" t="s">
        <v>42</v>
      </c>
      <c r="B262" s="27" t="s">
        <v>829</v>
      </c>
      <c r="C262" s="27" t="s">
        <v>830</v>
      </c>
      <c r="D262" s="27" t="s">
        <v>831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1018</f>
        <v>1018.0</v>
      </c>
      <c r="L262" s="34" t="s">
        <v>48</v>
      </c>
      <c r="M262" s="33" t="n">
        <f>1050</f>
        <v>1050.0</v>
      </c>
      <c r="N262" s="34" t="s">
        <v>79</v>
      </c>
      <c r="O262" s="33" t="n">
        <f>1008</f>
        <v>1008.0</v>
      </c>
      <c r="P262" s="34" t="s">
        <v>99</v>
      </c>
      <c r="Q262" s="33" t="n">
        <f>1012</f>
        <v>1012.0</v>
      </c>
      <c r="R262" s="34" t="s">
        <v>50</v>
      </c>
      <c r="S262" s="35" t="n">
        <f>1021.94</f>
        <v>1021.94</v>
      </c>
      <c r="T262" s="32" t="n">
        <f>90925</f>
        <v>90925.0</v>
      </c>
      <c r="U262" s="32" t="n">
        <f>104</f>
        <v>104.0</v>
      </c>
      <c r="V262" s="32" t="n">
        <f>92472599</f>
        <v>9.2472599E7</v>
      </c>
      <c r="W262" s="32" t="n">
        <f>105493</f>
        <v>105493.0</v>
      </c>
      <c r="X262" s="36" t="n">
        <f>18</f>
        <v>18.0</v>
      </c>
    </row>
    <row r="263">
      <c r="A263" s="27" t="s">
        <v>42</v>
      </c>
      <c r="B263" s="27" t="s">
        <v>832</v>
      </c>
      <c r="C263" s="27" t="s">
        <v>833</v>
      </c>
      <c r="D263" s="27" t="s">
        <v>834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1009</f>
        <v>1009.0</v>
      </c>
      <c r="L263" s="34" t="s">
        <v>48</v>
      </c>
      <c r="M263" s="33" t="n">
        <f>1029</f>
        <v>1029.0</v>
      </c>
      <c r="N263" s="34" t="s">
        <v>79</v>
      </c>
      <c r="O263" s="33" t="n">
        <f>985</f>
        <v>985.0</v>
      </c>
      <c r="P263" s="34" t="s">
        <v>48</v>
      </c>
      <c r="Q263" s="33" t="n">
        <f>1009</f>
        <v>1009.0</v>
      </c>
      <c r="R263" s="34" t="s">
        <v>50</v>
      </c>
      <c r="S263" s="35" t="n">
        <f>1008.5</f>
        <v>1008.5</v>
      </c>
      <c r="T263" s="32" t="n">
        <f>694795</f>
        <v>694795.0</v>
      </c>
      <c r="U263" s="32" t="n">
        <f>204020</f>
        <v>204020.0</v>
      </c>
      <c r="V263" s="32" t="n">
        <f>698797997</f>
        <v>6.98797997E8</v>
      </c>
      <c r="W263" s="32" t="n">
        <f>205623996</f>
        <v>2.05623996E8</v>
      </c>
      <c r="X263" s="36" t="n">
        <f>18</f>
        <v>18.0</v>
      </c>
    </row>
    <row r="264">
      <c r="A264" s="27" t="s">
        <v>42</v>
      </c>
      <c r="B264" s="27" t="s">
        <v>835</v>
      </c>
      <c r="C264" s="27" t="s">
        <v>836</v>
      </c>
      <c r="D264" s="27" t="s">
        <v>837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488.5</f>
        <v>488.5</v>
      </c>
      <c r="L264" s="34" t="s">
        <v>48</v>
      </c>
      <c r="M264" s="33" t="n">
        <f>488.5</f>
        <v>488.5</v>
      </c>
      <c r="N264" s="34" t="s">
        <v>48</v>
      </c>
      <c r="O264" s="33" t="n">
        <f>479.5</f>
        <v>479.5</v>
      </c>
      <c r="P264" s="34" t="s">
        <v>236</v>
      </c>
      <c r="Q264" s="33" t="n">
        <f>482.6</f>
        <v>482.6</v>
      </c>
      <c r="R264" s="34" t="s">
        <v>50</v>
      </c>
      <c r="S264" s="35" t="n">
        <f>483.79</f>
        <v>483.79</v>
      </c>
      <c r="T264" s="32" t="n">
        <f>906190</f>
        <v>906190.0</v>
      </c>
      <c r="U264" s="32" t="n">
        <f>485910</f>
        <v>485910.0</v>
      </c>
      <c r="V264" s="32" t="n">
        <f>437637895</f>
        <v>4.37637895E8</v>
      </c>
      <c r="W264" s="32" t="n">
        <f>234286271</f>
        <v>2.34286271E8</v>
      </c>
      <c r="X264" s="36" t="n">
        <f>18</f>
        <v>18.0</v>
      </c>
    </row>
    <row r="265">
      <c r="A265" s="27" t="s">
        <v>42</v>
      </c>
      <c r="B265" s="27" t="s">
        <v>838</v>
      </c>
      <c r="C265" s="27" t="s">
        <v>839</v>
      </c>
      <c r="D265" s="27" t="s">
        <v>840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177.1</f>
        <v>177.1</v>
      </c>
      <c r="L265" s="34" t="s">
        <v>48</v>
      </c>
      <c r="M265" s="33" t="n">
        <f>183.4</f>
        <v>183.4</v>
      </c>
      <c r="N265" s="34" t="s">
        <v>50</v>
      </c>
      <c r="O265" s="33" t="n">
        <f>173.2</f>
        <v>173.2</v>
      </c>
      <c r="P265" s="34" t="s">
        <v>156</v>
      </c>
      <c r="Q265" s="33" t="n">
        <f>182.8</f>
        <v>182.8</v>
      </c>
      <c r="R265" s="34" t="s">
        <v>50</v>
      </c>
      <c r="S265" s="35" t="n">
        <f>177.82</f>
        <v>177.82</v>
      </c>
      <c r="T265" s="32" t="n">
        <f>1380190</f>
        <v>1380190.0</v>
      </c>
      <c r="U265" s="32" t="str">
        <f>"－"</f>
        <v>－</v>
      </c>
      <c r="V265" s="32" t="n">
        <f>244799905</f>
        <v>2.44799905E8</v>
      </c>
      <c r="W265" s="32" t="str">
        <f>"－"</f>
        <v>－</v>
      </c>
      <c r="X265" s="36" t="n">
        <f>18</f>
        <v>18.0</v>
      </c>
    </row>
    <row r="266">
      <c r="A266" s="27" t="s">
        <v>42</v>
      </c>
      <c r="B266" s="27" t="s">
        <v>841</v>
      </c>
      <c r="C266" s="27" t="s">
        <v>842</v>
      </c>
      <c r="D266" s="27" t="s">
        <v>843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158.2</f>
        <v>158.2</v>
      </c>
      <c r="L266" s="34" t="s">
        <v>48</v>
      </c>
      <c r="M266" s="33" t="n">
        <f>169.7</f>
        <v>169.7</v>
      </c>
      <c r="N266" s="34" t="s">
        <v>50</v>
      </c>
      <c r="O266" s="33" t="n">
        <f>157.4</f>
        <v>157.4</v>
      </c>
      <c r="P266" s="34" t="s">
        <v>69</v>
      </c>
      <c r="Q266" s="33" t="n">
        <f>169.1</f>
        <v>169.1</v>
      </c>
      <c r="R266" s="34" t="s">
        <v>50</v>
      </c>
      <c r="S266" s="35" t="n">
        <f>162.45</f>
        <v>162.45</v>
      </c>
      <c r="T266" s="32" t="n">
        <f>1384750</f>
        <v>1384750.0</v>
      </c>
      <c r="U266" s="32" t="n">
        <f>20</f>
        <v>20.0</v>
      </c>
      <c r="V266" s="32" t="n">
        <f>224921600</f>
        <v>2.249216E8</v>
      </c>
      <c r="W266" s="32" t="n">
        <f>2966</f>
        <v>2966.0</v>
      </c>
      <c r="X266" s="36" t="n">
        <f>18</f>
        <v>18.0</v>
      </c>
    </row>
    <row r="267">
      <c r="A267" s="27" t="s">
        <v>42</v>
      </c>
      <c r="B267" s="27" t="s">
        <v>844</v>
      </c>
      <c r="C267" s="27" t="s">
        <v>845</v>
      </c>
      <c r="D267" s="27" t="s">
        <v>846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10.0</v>
      </c>
      <c r="K267" s="33" t="n">
        <f>894.6</f>
        <v>894.6</v>
      </c>
      <c r="L267" s="34" t="s">
        <v>48</v>
      </c>
      <c r="M267" s="33" t="n">
        <f>899.2</f>
        <v>899.2</v>
      </c>
      <c r="N267" s="34" t="s">
        <v>61</v>
      </c>
      <c r="O267" s="33" t="n">
        <f>879.7</f>
        <v>879.7</v>
      </c>
      <c r="P267" s="34" t="s">
        <v>83</v>
      </c>
      <c r="Q267" s="33" t="n">
        <f>880</f>
        <v>880.0</v>
      </c>
      <c r="R267" s="34" t="s">
        <v>50</v>
      </c>
      <c r="S267" s="35" t="n">
        <f>888.09</f>
        <v>888.09</v>
      </c>
      <c r="T267" s="32" t="n">
        <f>63838850</f>
        <v>6.383885E7</v>
      </c>
      <c r="U267" s="32" t="n">
        <f>62074600</f>
        <v>6.20746E7</v>
      </c>
      <c r="V267" s="32" t="n">
        <f>56617217751</f>
        <v>5.6617217751E10</v>
      </c>
      <c r="W267" s="32" t="n">
        <f>55047162431</f>
        <v>5.5047162431E10</v>
      </c>
      <c r="X267" s="36" t="n">
        <f>18</f>
        <v>18.0</v>
      </c>
    </row>
    <row r="268">
      <c r="A268" s="27" t="s">
        <v>42</v>
      </c>
      <c r="B268" s="27" t="s">
        <v>847</v>
      </c>
      <c r="C268" s="27" t="s">
        <v>848</v>
      </c>
      <c r="D268" s="27" t="s">
        <v>849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10.0</v>
      </c>
      <c r="K268" s="33" t="n">
        <f>1100.5</f>
        <v>1100.5</v>
      </c>
      <c r="L268" s="34" t="s">
        <v>48</v>
      </c>
      <c r="M268" s="33" t="n">
        <f>1110</f>
        <v>1110.0</v>
      </c>
      <c r="N268" s="34" t="s">
        <v>116</v>
      </c>
      <c r="O268" s="33" t="n">
        <f>1071.5</f>
        <v>1071.5</v>
      </c>
      <c r="P268" s="34" t="s">
        <v>156</v>
      </c>
      <c r="Q268" s="33" t="n">
        <f>1081</f>
        <v>1081.0</v>
      </c>
      <c r="R268" s="34" t="s">
        <v>50</v>
      </c>
      <c r="S268" s="35" t="n">
        <f>1091.22</f>
        <v>1091.22</v>
      </c>
      <c r="T268" s="32" t="n">
        <f>3208350</f>
        <v>3208350.0</v>
      </c>
      <c r="U268" s="32" t="n">
        <f>1915080</f>
        <v>1915080.0</v>
      </c>
      <c r="V268" s="32" t="n">
        <f>3474136542</f>
        <v>3.474136542E9</v>
      </c>
      <c r="W268" s="32" t="n">
        <f>2069042097</f>
        <v>2.069042097E9</v>
      </c>
      <c r="X268" s="36" t="n">
        <f>18</f>
        <v>18.0</v>
      </c>
    </row>
    <row r="269">
      <c r="A269" s="27" t="s">
        <v>42</v>
      </c>
      <c r="B269" s="27" t="s">
        <v>850</v>
      </c>
      <c r="C269" s="27" t="s">
        <v>851</v>
      </c>
      <c r="D269" s="27" t="s">
        <v>852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10.0</v>
      </c>
      <c r="K269" s="33" t="n">
        <f>766.7</f>
        <v>766.7</v>
      </c>
      <c r="L269" s="34" t="s">
        <v>48</v>
      </c>
      <c r="M269" s="33" t="n">
        <f>773.7</f>
        <v>773.7</v>
      </c>
      <c r="N269" s="34" t="s">
        <v>50</v>
      </c>
      <c r="O269" s="33" t="n">
        <f>764.3</f>
        <v>764.3</v>
      </c>
      <c r="P269" s="34" t="s">
        <v>83</v>
      </c>
      <c r="Q269" s="33" t="n">
        <f>773.7</f>
        <v>773.7</v>
      </c>
      <c r="R269" s="34" t="s">
        <v>50</v>
      </c>
      <c r="S269" s="35" t="n">
        <f>769.33</f>
        <v>769.33</v>
      </c>
      <c r="T269" s="32" t="n">
        <f>38620500</f>
        <v>3.86205E7</v>
      </c>
      <c r="U269" s="32" t="n">
        <f>38468670</f>
        <v>3.846867E7</v>
      </c>
      <c r="V269" s="32" t="n">
        <f>29656073768</f>
        <v>2.9656073768E10</v>
      </c>
      <c r="W269" s="32" t="n">
        <f>29539400975</f>
        <v>2.9539400975E10</v>
      </c>
      <c r="X269" s="36" t="n">
        <f>18</f>
        <v>18.0</v>
      </c>
    </row>
    <row r="270">
      <c r="A270" s="27" t="s">
        <v>42</v>
      </c>
      <c r="B270" s="27" t="s">
        <v>853</v>
      </c>
      <c r="C270" s="27" t="s">
        <v>854</v>
      </c>
      <c r="D270" s="27" t="s">
        <v>855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10.0</v>
      </c>
      <c r="K270" s="33" t="n">
        <f>2709.5</f>
        <v>2709.5</v>
      </c>
      <c r="L270" s="34" t="s">
        <v>48</v>
      </c>
      <c r="M270" s="33" t="n">
        <f>2780</f>
        <v>2780.0</v>
      </c>
      <c r="N270" s="34" t="s">
        <v>79</v>
      </c>
      <c r="O270" s="33" t="n">
        <f>2577.5</f>
        <v>2577.5</v>
      </c>
      <c r="P270" s="34" t="s">
        <v>50</v>
      </c>
      <c r="Q270" s="33" t="n">
        <f>2597</f>
        <v>2597.0</v>
      </c>
      <c r="R270" s="34" t="s">
        <v>50</v>
      </c>
      <c r="S270" s="35" t="n">
        <f>2697.5</f>
        <v>2697.5</v>
      </c>
      <c r="T270" s="32" t="n">
        <f>1018090</f>
        <v>1018090.0</v>
      </c>
      <c r="U270" s="32" t="n">
        <f>432480</f>
        <v>432480.0</v>
      </c>
      <c r="V270" s="32" t="n">
        <f>2691148533</f>
        <v>2.691148533E9</v>
      </c>
      <c r="W270" s="32" t="n">
        <f>1123419878</f>
        <v>1.123419878E9</v>
      </c>
      <c r="X270" s="36" t="n">
        <f>18</f>
        <v>18.0</v>
      </c>
    </row>
    <row r="271">
      <c r="A271" s="27" t="s">
        <v>42</v>
      </c>
      <c r="B271" s="27" t="s">
        <v>856</v>
      </c>
      <c r="C271" s="27" t="s">
        <v>857</v>
      </c>
      <c r="D271" s="27" t="s">
        <v>858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10.0</v>
      </c>
      <c r="K271" s="33" t="n">
        <f>1671</f>
        <v>1671.0</v>
      </c>
      <c r="L271" s="34" t="s">
        <v>48</v>
      </c>
      <c r="M271" s="33" t="n">
        <f>1733</f>
        <v>1733.0</v>
      </c>
      <c r="N271" s="34" t="s">
        <v>79</v>
      </c>
      <c r="O271" s="33" t="n">
        <f>1658.5</f>
        <v>1658.5</v>
      </c>
      <c r="P271" s="34" t="s">
        <v>50</v>
      </c>
      <c r="Q271" s="33" t="n">
        <f>1665</f>
        <v>1665.0</v>
      </c>
      <c r="R271" s="34" t="s">
        <v>50</v>
      </c>
      <c r="S271" s="35" t="n">
        <f>1703.86</f>
        <v>1703.86</v>
      </c>
      <c r="T271" s="32" t="n">
        <f>292330</f>
        <v>292330.0</v>
      </c>
      <c r="U271" s="32" t="str">
        <f>"－"</f>
        <v>－</v>
      </c>
      <c r="V271" s="32" t="n">
        <f>495190245</f>
        <v>4.95190245E8</v>
      </c>
      <c r="W271" s="32" t="str">
        <f>"－"</f>
        <v>－</v>
      </c>
      <c r="X271" s="36" t="n">
        <f>18</f>
        <v>18.0</v>
      </c>
    </row>
    <row r="272">
      <c r="A272" s="27" t="s">
        <v>42</v>
      </c>
      <c r="B272" s="27" t="s">
        <v>859</v>
      </c>
      <c r="C272" s="27" t="s">
        <v>860</v>
      </c>
      <c r="D272" s="27" t="s">
        <v>861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10.0</v>
      </c>
      <c r="K272" s="33" t="n">
        <f>1428.5</f>
        <v>1428.5</v>
      </c>
      <c r="L272" s="34" t="s">
        <v>48</v>
      </c>
      <c r="M272" s="33" t="n">
        <f>1456</f>
        <v>1456.0</v>
      </c>
      <c r="N272" s="34" t="s">
        <v>69</v>
      </c>
      <c r="O272" s="33" t="n">
        <f>1414.5</f>
        <v>1414.5</v>
      </c>
      <c r="P272" s="34" t="s">
        <v>50</v>
      </c>
      <c r="Q272" s="33" t="n">
        <f>1419.5</f>
        <v>1419.5</v>
      </c>
      <c r="R272" s="34" t="s">
        <v>50</v>
      </c>
      <c r="S272" s="35" t="n">
        <f>1437.61</f>
        <v>1437.61</v>
      </c>
      <c r="T272" s="32" t="n">
        <f>549800</f>
        <v>549800.0</v>
      </c>
      <c r="U272" s="32" t="n">
        <f>25870</f>
        <v>25870.0</v>
      </c>
      <c r="V272" s="32" t="n">
        <f>788194550</f>
        <v>7.8819455E8</v>
      </c>
      <c r="W272" s="32" t="n">
        <f>36683660</f>
        <v>3.668366E7</v>
      </c>
      <c r="X272" s="36" t="n">
        <f>18</f>
        <v>18.0</v>
      </c>
    </row>
    <row r="273">
      <c r="A273" s="27" t="s">
        <v>42</v>
      </c>
      <c r="B273" s="27" t="s">
        <v>862</v>
      </c>
      <c r="C273" s="27" t="s">
        <v>863</v>
      </c>
      <c r="D273" s="27" t="s">
        <v>864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10.0</v>
      </c>
      <c r="K273" s="33" t="n">
        <f>507.4</f>
        <v>507.4</v>
      </c>
      <c r="L273" s="34" t="s">
        <v>48</v>
      </c>
      <c r="M273" s="33" t="n">
        <f>543.8</f>
        <v>543.8</v>
      </c>
      <c r="N273" s="34" t="s">
        <v>69</v>
      </c>
      <c r="O273" s="33" t="n">
        <f>496.9</f>
        <v>496.9</v>
      </c>
      <c r="P273" s="34" t="s">
        <v>48</v>
      </c>
      <c r="Q273" s="33" t="n">
        <f>510.7</f>
        <v>510.7</v>
      </c>
      <c r="R273" s="34" t="s">
        <v>50</v>
      </c>
      <c r="S273" s="35" t="n">
        <f>526.23</f>
        <v>526.23</v>
      </c>
      <c r="T273" s="32" t="n">
        <f>14138840</f>
        <v>1.413884E7</v>
      </c>
      <c r="U273" s="32" t="n">
        <f>428450</f>
        <v>428450.0</v>
      </c>
      <c r="V273" s="32" t="n">
        <f>7477738405</f>
        <v>7.477738405E9</v>
      </c>
      <c r="W273" s="32" t="n">
        <f>241225181</f>
        <v>2.41225181E8</v>
      </c>
      <c r="X273" s="36" t="n">
        <f>18</f>
        <v>18.0</v>
      </c>
    </row>
    <row r="274">
      <c r="A274" s="27" t="s">
        <v>42</v>
      </c>
      <c r="B274" s="27" t="s">
        <v>865</v>
      </c>
      <c r="C274" s="27" t="s">
        <v>866</v>
      </c>
      <c r="D274" s="27" t="s">
        <v>867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10.0</v>
      </c>
      <c r="K274" s="33" t="n">
        <f>1040</f>
        <v>1040.0</v>
      </c>
      <c r="L274" s="34" t="s">
        <v>48</v>
      </c>
      <c r="M274" s="33" t="n">
        <f>1040</f>
        <v>1040.0</v>
      </c>
      <c r="N274" s="34" t="s">
        <v>48</v>
      </c>
      <c r="O274" s="33" t="n">
        <f>997.4</f>
        <v>997.4</v>
      </c>
      <c r="P274" s="34" t="s">
        <v>103</v>
      </c>
      <c r="Q274" s="33" t="n">
        <f>1020</f>
        <v>1020.0</v>
      </c>
      <c r="R274" s="34" t="s">
        <v>50</v>
      </c>
      <c r="S274" s="35" t="n">
        <f>1016.3</f>
        <v>1016.3</v>
      </c>
      <c r="T274" s="32" t="n">
        <f>7105030</f>
        <v>7105030.0</v>
      </c>
      <c r="U274" s="32" t="n">
        <f>6499110</f>
        <v>6499110.0</v>
      </c>
      <c r="V274" s="32" t="n">
        <f>7200896001</f>
        <v>7.200896001E9</v>
      </c>
      <c r="W274" s="32" t="n">
        <f>6586737019</f>
        <v>6.586737019E9</v>
      </c>
      <c r="X274" s="36" t="n">
        <f>18</f>
        <v>18.0</v>
      </c>
    </row>
    <row r="275">
      <c r="A275" s="27" t="s">
        <v>42</v>
      </c>
      <c r="B275" s="27" t="s">
        <v>868</v>
      </c>
      <c r="C275" s="27" t="s">
        <v>869</v>
      </c>
      <c r="D275" s="27" t="s">
        <v>870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1600</f>
        <v>1600.0</v>
      </c>
      <c r="L275" s="34" t="s">
        <v>48</v>
      </c>
      <c r="M275" s="33" t="n">
        <f>1621</f>
        <v>1621.0</v>
      </c>
      <c r="N275" s="34" t="s">
        <v>49</v>
      </c>
      <c r="O275" s="33" t="n">
        <f>1554</f>
        <v>1554.0</v>
      </c>
      <c r="P275" s="34" t="s">
        <v>50</v>
      </c>
      <c r="Q275" s="33" t="n">
        <f>1560</f>
        <v>1560.0</v>
      </c>
      <c r="R275" s="34" t="s">
        <v>50</v>
      </c>
      <c r="S275" s="35" t="n">
        <f>1593.67</f>
        <v>1593.67</v>
      </c>
      <c r="T275" s="32" t="n">
        <f>28631</f>
        <v>28631.0</v>
      </c>
      <c r="U275" s="32" t="str">
        <f>"－"</f>
        <v>－</v>
      </c>
      <c r="V275" s="32" t="n">
        <f>45072112</f>
        <v>4.5072112E7</v>
      </c>
      <c r="W275" s="32" t="str">
        <f>"－"</f>
        <v>－</v>
      </c>
      <c r="X275" s="36" t="n">
        <f>18</f>
        <v>18.0</v>
      </c>
    </row>
    <row r="276">
      <c r="A276" s="27" t="s">
        <v>42</v>
      </c>
      <c r="B276" s="27" t="s">
        <v>871</v>
      </c>
      <c r="C276" s="27" t="s">
        <v>872</v>
      </c>
      <c r="D276" s="27" t="s">
        <v>873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10.0</v>
      </c>
      <c r="K276" s="33" t="n">
        <f>1117</f>
        <v>1117.0</v>
      </c>
      <c r="L276" s="34" t="s">
        <v>48</v>
      </c>
      <c r="M276" s="33" t="n">
        <f>1144</f>
        <v>1144.0</v>
      </c>
      <c r="N276" s="34" t="s">
        <v>69</v>
      </c>
      <c r="O276" s="33" t="n">
        <f>1080.5</f>
        <v>1080.5</v>
      </c>
      <c r="P276" s="34" t="s">
        <v>156</v>
      </c>
      <c r="Q276" s="33" t="n">
        <f>1092</f>
        <v>1092.0</v>
      </c>
      <c r="R276" s="34" t="s">
        <v>50</v>
      </c>
      <c r="S276" s="35" t="n">
        <f>1108.03</f>
        <v>1108.03</v>
      </c>
      <c r="T276" s="32" t="n">
        <f>110060</f>
        <v>110060.0</v>
      </c>
      <c r="U276" s="32" t="n">
        <f>58840</f>
        <v>58840.0</v>
      </c>
      <c r="V276" s="32" t="n">
        <f>121593712</f>
        <v>1.21593712E8</v>
      </c>
      <c r="W276" s="32" t="n">
        <f>64926477</f>
        <v>6.4926477E7</v>
      </c>
      <c r="X276" s="36" t="n">
        <f>18</f>
        <v>18.0</v>
      </c>
    </row>
    <row r="277">
      <c r="A277" s="27" t="s">
        <v>42</v>
      </c>
      <c r="B277" s="27" t="s">
        <v>874</v>
      </c>
      <c r="C277" s="27" t="s">
        <v>875</v>
      </c>
      <c r="D277" s="27" t="s">
        <v>876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10.0</v>
      </c>
      <c r="K277" s="33" t="n">
        <f>1444.5</f>
        <v>1444.5</v>
      </c>
      <c r="L277" s="34" t="s">
        <v>48</v>
      </c>
      <c r="M277" s="33" t="n">
        <f>1515.5</f>
        <v>1515.5</v>
      </c>
      <c r="N277" s="34" t="s">
        <v>69</v>
      </c>
      <c r="O277" s="33" t="n">
        <f>1431.5</f>
        <v>1431.5</v>
      </c>
      <c r="P277" s="34" t="s">
        <v>50</v>
      </c>
      <c r="Q277" s="33" t="n">
        <f>1439</f>
        <v>1439.0</v>
      </c>
      <c r="R277" s="34" t="s">
        <v>50</v>
      </c>
      <c r="S277" s="35" t="n">
        <f>1476.58</f>
        <v>1476.58</v>
      </c>
      <c r="T277" s="32" t="n">
        <f>67140</f>
        <v>67140.0</v>
      </c>
      <c r="U277" s="32" t="str">
        <f>"－"</f>
        <v>－</v>
      </c>
      <c r="V277" s="32" t="n">
        <f>98565295</f>
        <v>9.8565295E7</v>
      </c>
      <c r="W277" s="32" t="str">
        <f>"－"</f>
        <v>－</v>
      </c>
      <c r="X277" s="36" t="n">
        <f>18</f>
        <v>18.0</v>
      </c>
    </row>
    <row r="278">
      <c r="A278" s="27" t="s">
        <v>42</v>
      </c>
      <c r="B278" s="27" t="s">
        <v>877</v>
      </c>
      <c r="C278" s="27" t="s">
        <v>878</v>
      </c>
      <c r="D278" s="27" t="s">
        <v>879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10.0</v>
      </c>
      <c r="K278" s="33" t="n">
        <f>1766.5</f>
        <v>1766.5</v>
      </c>
      <c r="L278" s="34" t="s">
        <v>48</v>
      </c>
      <c r="M278" s="33" t="n">
        <f>1823</f>
        <v>1823.0</v>
      </c>
      <c r="N278" s="34" t="s">
        <v>236</v>
      </c>
      <c r="O278" s="33" t="n">
        <f>1738.5</f>
        <v>1738.5</v>
      </c>
      <c r="P278" s="34" t="s">
        <v>50</v>
      </c>
      <c r="Q278" s="33" t="n">
        <f>1750</f>
        <v>1750.0</v>
      </c>
      <c r="R278" s="34" t="s">
        <v>50</v>
      </c>
      <c r="S278" s="35" t="n">
        <f>1797.08</f>
        <v>1797.08</v>
      </c>
      <c r="T278" s="32" t="n">
        <f>10354500</f>
        <v>1.03545E7</v>
      </c>
      <c r="U278" s="32" t="n">
        <f>9388280</f>
        <v>9388280.0</v>
      </c>
      <c r="V278" s="32" t="n">
        <f>18361821537</f>
        <v>1.8361821537E10</v>
      </c>
      <c r="W278" s="32" t="n">
        <f>16649411527</f>
        <v>1.6649411527E10</v>
      </c>
      <c r="X278" s="36" t="n">
        <f>18</f>
        <v>18.0</v>
      </c>
    </row>
    <row r="279">
      <c r="A279" s="27" t="s">
        <v>42</v>
      </c>
      <c r="B279" s="27" t="s">
        <v>880</v>
      </c>
      <c r="C279" s="27" t="s">
        <v>881</v>
      </c>
      <c r="D279" s="27" t="s">
        <v>882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5840</f>
        <v>5840.0</v>
      </c>
      <c r="L279" s="34" t="s">
        <v>48</v>
      </c>
      <c r="M279" s="33" t="n">
        <f>6020</f>
        <v>6020.0</v>
      </c>
      <c r="N279" s="34" t="s">
        <v>236</v>
      </c>
      <c r="O279" s="33" t="n">
        <f>5430</f>
        <v>5430.0</v>
      </c>
      <c r="P279" s="34" t="s">
        <v>50</v>
      </c>
      <c r="Q279" s="33" t="n">
        <f>5500</f>
        <v>5500.0</v>
      </c>
      <c r="R279" s="34" t="s">
        <v>50</v>
      </c>
      <c r="S279" s="35" t="n">
        <f>5836.67</f>
        <v>5836.67</v>
      </c>
      <c r="T279" s="32" t="n">
        <f>69805</f>
        <v>69805.0</v>
      </c>
      <c r="U279" s="32" t="str">
        <f>"－"</f>
        <v>－</v>
      </c>
      <c r="V279" s="32" t="n">
        <f>404767710</f>
        <v>4.0476771E8</v>
      </c>
      <c r="W279" s="32" t="str">
        <f>"－"</f>
        <v>－</v>
      </c>
      <c r="X279" s="36" t="n">
        <f>18</f>
        <v>18.0</v>
      </c>
    </row>
    <row r="280">
      <c r="A280" s="27" t="s">
        <v>42</v>
      </c>
      <c r="B280" s="27" t="s">
        <v>883</v>
      </c>
      <c r="C280" s="27" t="s">
        <v>884</v>
      </c>
      <c r="D280" s="27" t="s">
        <v>885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10.0</v>
      </c>
      <c r="K280" s="33" t="n">
        <f>2247</f>
        <v>2247.0</v>
      </c>
      <c r="L280" s="34" t="s">
        <v>50</v>
      </c>
      <c r="M280" s="33" t="n">
        <f>2247</f>
        <v>2247.0</v>
      </c>
      <c r="N280" s="34" t="s">
        <v>50</v>
      </c>
      <c r="O280" s="33" t="n">
        <f>2242</f>
        <v>2242.0</v>
      </c>
      <c r="P280" s="34" t="s">
        <v>50</v>
      </c>
      <c r="Q280" s="33" t="n">
        <f>2242</f>
        <v>2242.0</v>
      </c>
      <c r="R280" s="34" t="s">
        <v>50</v>
      </c>
      <c r="S280" s="35" t="n">
        <f>2242</f>
        <v>2242.0</v>
      </c>
      <c r="T280" s="32" t="n">
        <f>20</f>
        <v>20.0</v>
      </c>
      <c r="U280" s="32" t="str">
        <f>"－"</f>
        <v>－</v>
      </c>
      <c r="V280" s="32" t="n">
        <f>44890</f>
        <v>44890.0</v>
      </c>
      <c r="W280" s="32" t="str">
        <f>"－"</f>
        <v>－</v>
      </c>
      <c r="X280" s="36" t="n">
        <f>1</f>
        <v>1.0</v>
      </c>
    </row>
    <row r="281">
      <c r="A281" s="27" t="s">
        <v>42</v>
      </c>
      <c r="B281" s="27" t="s">
        <v>886</v>
      </c>
      <c r="C281" s="27" t="s">
        <v>887</v>
      </c>
      <c r="D281" s="27" t="s">
        <v>888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10.0</v>
      </c>
      <c r="K281" s="33" t="n">
        <f>2795</f>
        <v>2795.0</v>
      </c>
      <c r="L281" s="34" t="s">
        <v>48</v>
      </c>
      <c r="M281" s="33" t="n">
        <f>2840</f>
        <v>2840.0</v>
      </c>
      <c r="N281" s="34" t="s">
        <v>68</v>
      </c>
      <c r="O281" s="33" t="n">
        <f>2732</f>
        <v>2732.0</v>
      </c>
      <c r="P281" s="34" t="s">
        <v>50</v>
      </c>
      <c r="Q281" s="33" t="n">
        <f>2736</f>
        <v>2736.0</v>
      </c>
      <c r="R281" s="34" t="s">
        <v>50</v>
      </c>
      <c r="S281" s="35" t="n">
        <f>2796.91</f>
        <v>2796.91</v>
      </c>
      <c r="T281" s="32" t="n">
        <f>756470</f>
        <v>756470.0</v>
      </c>
      <c r="U281" s="32" t="n">
        <f>444810</f>
        <v>444810.0</v>
      </c>
      <c r="V281" s="32" t="n">
        <f>2112468763</f>
        <v>2.112468763E9</v>
      </c>
      <c r="W281" s="32" t="n">
        <f>1242907883</f>
        <v>1.242907883E9</v>
      </c>
      <c r="X281" s="36" t="n">
        <f>17</f>
        <v>17.0</v>
      </c>
    </row>
    <row r="282">
      <c r="A282" s="27" t="s">
        <v>42</v>
      </c>
      <c r="B282" s="27" t="s">
        <v>889</v>
      </c>
      <c r="C282" s="27" t="s">
        <v>890</v>
      </c>
      <c r="D282" s="27" t="s">
        <v>891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38880</f>
        <v>38880.0</v>
      </c>
      <c r="L282" s="34" t="s">
        <v>48</v>
      </c>
      <c r="M282" s="33" t="n">
        <f>39600</f>
        <v>39600.0</v>
      </c>
      <c r="N282" s="34" t="s">
        <v>79</v>
      </c>
      <c r="O282" s="33" t="n">
        <f>36980</f>
        <v>36980.0</v>
      </c>
      <c r="P282" s="34" t="s">
        <v>50</v>
      </c>
      <c r="Q282" s="33" t="n">
        <f>37210</f>
        <v>37210.0</v>
      </c>
      <c r="R282" s="34" t="s">
        <v>50</v>
      </c>
      <c r="S282" s="35" t="n">
        <f>38878.82</f>
        <v>38878.82</v>
      </c>
      <c r="T282" s="32" t="n">
        <f>103981</f>
        <v>103981.0</v>
      </c>
      <c r="U282" s="32" t="n">
        <f>24931</f>
        <v>24931.0</v>
      </c>
      <c r="V282" s="32" t="n">
        <f>4040905439</f>
        <v>4.040905439E9</v>
      </c>
      <c r="W282" s="32" t="n">
        <f>956907899</f>
        <v>9.56907899E8</v>
      </c>
      <c r="X282" s="36" t="n">
        <f>17</f>
        <v>17.0</v>
      </c>
    </row>
    <row r="283">
      <c r="A283" s="27" t="s">
        <v>42</v>
      </c>
      <c r="B283" s="27" t="s">
        <v>892</v>
      </c>
      <c r="C283" s="27" t="s">
        <v>893</v>
      </c>
      <c r="D283" s="27" t="s">
        <v>894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25595</f>
        <v>25595.0</v>
      </c>
      <c r="L283" s="34" t="s">
        <v>61</v>
      </c>
      <c r="M283" s="33" t="n">
        <f>25595</f>
        <v>25595.0</v>
      </c>
      <c r="N283" s="34" t="s">
        <v>61</v>
      </c>
      <c r="O283" s="33" t="n">
        <f>24450</f>
        <v>24450.0</v>
      </c>
      <c r="P283" s="34" t="s">
        <v>50</v>
      </c>
      <c r="Q283" s="33" t="n">
        <f>24450</f>
        <v>24450.0</v>
      </c>
      <c r="R283" s="34" t="s">
        <v>50</v>
      </c>
      <c r="S283" s="35" t="n">
        <f>25155</f>
        <v>25155.0</v>
      </c>
      <c r="T283" s="32" t="n">
        <f>18073</f>
        <v>18073.0</v>
      </c>
      <c r="U283" s="32" t="n">
        <f>2740</f>
        <v>2740.0</v>
      </c>
      <c r="V283" s="32" t="n">
        <f>456467670</f>
        <v>4.5646767E8</v>
      </c>
      <c r="W283" s="32" t="n">
        <f>69048000</f>
        <v>6.9048E7</v>
      </c>
      <c r="X283" s="36" t="n">
        <f>7</f>
        <v>7.0</v>
      </c>
    </row>
    <row r="284">
      <c r="A284" s="27" t="s">
        <v>42</v>
      </c>
      <c r="B284" s="27" t="s">
        <v>895</v>
      </c>
      <c r="C284" s="27" t="s">
        <v>896</v>
      </c>
      <c r="D284" s="27" t="s">
        <v>897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10.0</v>
      </c>
      <c r="K284" s="33" t="n">
        <f>1037</f>
        <v>1037.0</v>
      </c>
      <c r="L284" s="34" t="s">
        <v>48</v>
      </c>
      <c r="M284" s="33" t="n">
        <f>1040</f>
        <v>1040.0</v>
      </c>
      <c r="N284" s="34" t="s">
        <v>204</v>
      </c>
      <c r="O284" s="33" t="n">
        <f>1010</f>
        <v>1010.0</v>
      </c>
      <c r="P284" s="34" t="s">
        <v>232</v>
      </c>
      <c r="Q284" s="33" t="n">
        <f>1036</f>
        <v>1036.0</v>
      </c>
      <c r="R284" s="34" t="s">
        <v>50</v>
      </c>
      <c r="S284" s="35" t="n">
        <f>1025.8</f>
        <v>1025.8</v>
      </c>
      <c r="T284" s="32" t="n">
        <f>5450</f>
        <v>5450.0</v>
      </c>
      <c r="U284" s="32" t="str">
        <f>"－"</f>
        <v>－</v>
      </c>
      <c r="V284" s="32" t="n">
        <f>5582575</f>
        <v>5582575.0</v>
      </c>
      <c r="W284" s="32" t="str">
        <f>"－"</f>
        <v>－</v>
      </c>
      <c r="X284" s="36" t="n">
        <f>10</f>
        <v>10.0</v>
      </c>
    </row>
    <row r="285">
      <c r="A285" s="27" t="s">
        <v>42</v>
      </c>
      <c r="B285" s="27" t="s">
        <v>898</v>
      </c>
      <c r="C285" s="27" t="s">
        <v>899</v>
      </c>
      <c r="D285" s="27" t="s">
        <v>900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1035</f>
        <v>1035.0</v>
      </c>
      <c r="L285" s="34" t="s">
        <v>48</v>
      </c>
      <c r="M285" s="33" t="n">
        <f>1045</f>
        <v>1045.0</v>
      </c>
      <c r="N285" s="34" t="s">
        <v>50</v>
      </c>
      <c r="O285" s="33" t="n">
        <f>1007</f>
        <v>1007.0</v>
      </c>
      <c r="P285" s="34" t="s">
        <v>103</v>
      </c>
      <c r="Q285" s="33" t="n">
        <f>1043</f>
        <v>1043.0</v>
      </c>
      <c r="R285" s="34" t="s">
        <v>50</v>
      </c>
      <c r="S285" s="35" t="n">
        <f>1024.17</f>
        <v>1024.17</v>
      </c>
      <c r="T285" s="32" t="n">
        <f>59889</f>
        <v>59889.0</v>
      </c>
      <c r="U285" s="32" t="n">
        <f>2</f>
        <v>2.0</v>
      </c>
      <c r="V285" s="32" t="n">
        <f>61126380</f>
        <v>6.112638E7</v>
      </c>
      <c r="W285" s="32" t="n">
        <f>2086</f>
        <v>2086.0</v>
      </c>
      <c r="X285" s="36" t="n">
        <f>18</f>
        <v>18.0</v>
      </c>
    </row>
    <row r="286">
      <c r="A286" s="27" t="s">
        <v>42</v>
      </c>
      <c r="B286" s="27" t="s">
        <v>901</v>
      </c>
      <c r="C286" s="27" t="s">
        <v>902</v>
      </c>
      <c r="D286" s="27" t="s">
        <v>903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1650</f>
        <v>1650.0</v>
      </c>
      <c r="L286" s="34" t="s">
        <v>48</v>
      </c>
      <c r="M286" s="33" t="n">
        <f>1664</f>
        <v>1664.0</v>
      </c>
      <c r="N286" s="34" t="s">
        <v>79</v>
      </c>
      <c r="O286" s="33" t="n">
        <f>1612</f>
        <v>1612.0</v>
      </c>
      <c r="P286" s="34" t="s">
        <v>48</v>
      </c>
      <c r="Q286" s="33" t="n">
        <f>1636</f>
        <v>1636.0</v>
      </c>
      <c r="R286" s="34" t="s">
        <v>50</v>
      </c>
      <c r="S286" s="35" t="n">
        <f>1641.11</f>
        <v>1641.11</v>
      </c>
      <c r="T286" s="32" t="n">
        <f>174341</f>
        <v>174341.0</v>
      </c>
      <c r="U286" s="32" t="n">
        <f>45280</f>
        <v>45280.0</v>
      </c>
      <c r="V286" s="32" t="n">
        <f>286010605</f>
        <v>2.86010605E8</v>
      </c>
      <c r="W286" s="32" t="n">
        <f>74466907</f>
        <v>7.4466907E7</v>
      </c>
      <c r="X286" s="36" t="n">
        <f>18</f>
        <v>18.0</v>
      </c>
    </row>
    <row r="287">
      <c r="A287" s="27" t="s">
        <v>42</v>
      </c>
      <c r="B287" s="27" t="s">
        <v>904</v>
      </c>
      <c r="C287" s="27" t="s">
        <v>905</v>
      </c>
      <c r="D287" s="27" t="s">
        <v>906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14085</f>
        <v>14085.0</v>
      </c>
      <c r="L287" s="34" t="s">
        <v>48</v>
      </c>
      <c r="M287" s="33" t="n">
        <f>14695</f>
        <v>14695.0</v>
      </c>
      <c r="N287" s="34" t="s">
        <v>69</v>
      </c>
      <c r="O287" s="33" t="n">
        <f>13915</f>
        <v>13915.0</v>
      </c>
      <c r="P287" s="34" t="s">
        <v>161</v>
      </c>
      <c r="Q287" s="33" t="n">
        <f>14050</f>
        <v>14050.0</v>
      </c>
      <c r="R287" s="34" t="s">
        <v>50</v>
      </c>
      <c r="S287" s="35" t="n">
        <f>14290</f>
        <v>14290.0</v>
      </c>
      <c r="T287" s="32" t="n">
        <f>11923</f>
        <v>11923.0</v>
      </c>
      <c r="U287" s="32" t="str">
        <f>"－"</f>
        <v>－</v>
      </c>
      <c r="V287" s="32" t="n">
        <f>170338760</f>
        <v>1.7033876E8</v>
      </c>
      <c r="W287" s="32" t="str">
        <f>"－"</f>
        <v>－</v>
      </c>
      <c r="X287" s="36" t="n">
        <f>18</f>
        <v>18.0</v>
      </c>
    </row>
    <row r="288">
      <c r="A288" s="27" t="s">
        <v>42</v>
      </c>
      <c r="B288" s="27" t="s">
        <v>907</v>
      </c>
      <c r="C288" s="27" t="s">
        <v>908</v>
      </c>
      <c r="D288" s="27" t="s">
        <v>909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1849</f>
        <v>1849.0</v>
      </c>
      <c r="L288" s="34" t="s">
        <v>48</v>
      </c>
      <c r="M288" s="33" t="n">
        <f>1850</f>
        <v>1850.0</v>
      </c>
      <c r="N288" s="34" t="s">
        <v>48</v>
      </c>
      <c r="O288" s="33" t="n">
        <f>1779</f>
        <v>1779.0</v>
      </c>
      <c r="P288" s="34" t="s">
        <v>103</v>
      </c>
      <c r="Q288" s="33" t="n">
        <f>1811</f>
        <v>1811.0</v>
      </c>
      <c r="R288" s="34" t="s">
        <v>50</v>
      </c>
      <c r="S288" s="35" t="n">
        <f>1810.61</f>
        <v>1810.61</v>
      </c>
      <c r="T288" s="32" t="n">
        <f>28458</f>
        <v>28458.0</v>
      </c>
      <c r="U288" s="32" t="str">
        <f>"－"</f>
        <v>－</v>
      </c>
      <c r="V288" s="32" t="n">
        <f>51727349</f>
        <v>5.1727349E7</v>
      </c>
      <c r="W288" s="32" t="str">
        <f>"－"</f>
        <v>－</v>
      </c>
      <c r="X288" s="36" t="n">
        <f>18</f>
        <v>18.0</v>
      </c>
    </row>
    <row r="289">
      <c r="A289" s="27" t="s">
        <v>42</v>
      </c>
      <c r="B289" s="27" t="s">
        <v>910</v>
      </c>
      <c r="C289" s="27" t="s">
        <v>911</v>
      </c>
      <c r="D289" s="27" t="s">
        <v>912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1645</f>
        <v>1645.0</v>
      </c>
      <c r="L289" s="34" t="s">
        <v>48</v>
      </c>
      <c r="M289" s="33" t="n">
        <f>1742</f>
        <v>1742.0</v>
      </c>
      <c r="N289" s="34" t="s">
        <v>156</v>
      </c>
      <c r="O289" s="33" t="n">
        <f>1600</f>
        <v>1600.0</v>
      </c>
      <c r="P289" s="34" t="s">
        <v>61</v>
      </c>
      <c r="Q289" s="33" t="n">
        <f>1664.5</f>
        <v>1664.5</v>
      </c>
      <c r="R289" s="34" t="s">
        <v>50</v>
      </c>
      <c r="S289" s="35" t="n">
        <f>1679.47</f>
        <v>1679.47</v>
      </c>
      <c r="T289" s="32" t="n">
        <f>836700</f>
        <v>836700.0</v>
      </c>
      <c r="U289" s="32" t="n">
        <f>5000</f>
        <v>5000.0</v>
      </c>
      <c r="V289" s="32" t="n">
        <f>1392632875</f>
        <v>1.392632875E9</v>
      </c>
      <c r="W289" s="32" t="n">
        <f>7532500</f>
        <v>7532500.0</v>
      </c>
      <c r="X289" s="36" t="n">
        <f>18</f>
        <v>18.0</v>
      </c>
    </row>
    <row r="290">
      <c r="A290" s="27" t="s">
        <v>42</v>
      </c>
      <c r="B290" s="27" t="s">
        <v>913</v>
      </c>
      <c r="C290" s="27" t="s">
        <v>914</v>
      </c>
      <c r="D290" s="27" t="s">
        <v>915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786</f>
        <v>786.0</v>
      </c>
      <c r="L290" s="34" t="s">
        <v>48</v>
      </c>
      <c r="M290" s="33" t="n">
        <f>790.4</f>
        <v>790.4</v>
      </c>
      <c r="N290" s="34" t="s">
        <v>204</v>
      </c>
      <c r="O290" s="33" t="n">
        <f>781</f>
        <v>781.0</v>
      </c>
      <c r="P290" s="34" t="s">
        <v>69</v>
      </c>
      <c r="Q290" s="33" t="n">
        <f>790.1</f>
        <v>790.1</v>
      </c>
      <c r="R290" s="34" t="s">
        <v>50</v>
      </c>
      <c r="S290" s="35" t="n">
        <f>784.72</f>
        <v>784.72</v>
      </c>
      <c r="T290" s="32" t="n">
        <f>380720</f>
        <v>380720.0</v>
      </c>
      <c r="U290" s="32" t="n">
        <f>335920</f>
        <v>335920.0</v>
      </c>
      <c r="V290" s="32" t="n">
        <f>300222017</f>
        <v>3.00222017E8</v>
      </c>
      <c r="W290" s="32" t="n">
        <f>265074407</f>
        <v>2.65074407E8</v>
      </c>
      <c r="X290" s="36" t="n">
        <f>18</f>
        <v>18.0</v>
      </c>
    </row>
    <row r="291">
      <c r="A291" s="27" t="s">
        <v>42</v>
      </c>
      <c r="B291" s="27" t="s">
        <v>916</v>
      </c>
      <c r="C291" s="27" t="s">
        <v>917</v>
      </c>
      <c r="D291" s="27" t="s">
        <v>918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10.0</v>
      </c>
      <c r="K291" s="33" t="n">
        <f>1758.5</f>
        <v>1758.5</v>
      </c>
      <c r="L291" s="34" t="s">
        <v>48</v>
      </c>
      <c r="M291" s="33" t="n">
        <f>1768</f>
        <v>1768.0</v>
      </c>
      <c r="N291" s="34" t="s">
        <v>50</v>
      </c>
      <c r="O291" s="33" t="n">
        <f>1706.5</f>
        <v>1706.5</v>
      </c>
      <c r="P291" s="34" t="s">
        <v>103</v>
      </c>
      <c r="Q291" s="33" t="n">
        <f>1739</f>
        <v>1739.0</v>
      </c>
      <c r="R291" s="34" t="s">
        <v>50</v>
      </c>
      <c r="S291" s="35" t="n">
        <f>1734.64</f>
        <v>1734.64</v>
      </c>
      <c r="T291" s="32" t="n">
        <f>265610</f>
        <v>265610.0</v>
      </c>
      <c r="U291" s="32" t="n">
        <f>58610</f>
        <v>58610.0</v>
      </c>
      <c r="V291" s="32" t="n">
        <f>459241885</f>
        <v>4.59241885E8</v>
      </c>
      <c r="W291" s="32" t="n">
        <f>100403020</f>
        <v>1.0040302E8</v>
      </c>
      <c r="X291" s="36" t="n">
        <f>18</f>
        <v>18.0</v>
      </c>
    </row>
    <row r="292">
      <c r="A292" s="27" t="s">
        <v>42</v>
      </c>
      <c r="B292" s="27" t="s">
        <v>919</v>
      </c>
      <c r="C292" s="27" t="s">
        <v>920</v>
      </c>
      <c r="D292" s="27" t="s">
        <v>921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10.0</v>
      </c>
      <c r="K292" s="33" t="n">
        <f>1749</f>
        <v>1749.0</v>
      </c>
      <c r="L292" s="34" t="s">
        <v>48</v>
      </c>
      <c r="M292" s="33" t="n">
        <f>1765.5</f>
        <v>1765.5</v>
      </c>
      <c r="N292" s="34" t="s">
        <v>50</v>
      </c>
      <c r="O292" s="33" t="n">
        <f>1702</f>
        <v>1702.0</v>
      </c>
      <c r="P292" s="34" t="s">
        <v>232</v>
      </c>
      <c r="Q292" s="33" t="n">
        <f>1743</f>
        <v>1743.0</v>
      </c>
      <c r="R292" s="34" t="s">
        <v>50</v>
      </c>
      <c r="S292" s="35" t="n">
        <f>1730.64</f>
        <v>1730.64</v>
      </c>
      <c r="T292" s="32" t="n">
        <f>327200</f>
        <v>327200.0</v>
      </c>
      <c r="U292" s="32" t="n">
        <f>128940</f>
        <v>128940.0</v>
      </c>
      <c r="V292" s="32" t="n">
        <f>565710393</f>
        <v>5.65710393E8</v>
      </c>
      <c r="W292" s="32" t="n">
        <f>223149363</f>
        <v>2.23149363E8</v>
      </c>
      <c r="X292" s="36" t="n">
        <f>18</f>
        <v>18.0</v>
      </c>
    </row>
    <row r="293">
      <c r="A293" s="27" t="s">
        <v>42</v>
      </c>
      <c r="B293" s="27" t="s">
        <v>922</v>
      </c>
      <c r="C293" s="27" t="s">
        <v>923</v>
      </c>
      <c r="D293" s="27" t="s">
        <v>924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10.0</v>
      </c>
      <c r="K293" s="33" t="n">
        <f>2770</f>
        <v>2770.0</v>
      </c>
      <c r="L293" s="34" t="s">
        <v>48</v>
      </c>
      <c r="M293" s="33" t="n">
        <f>2812.5</f>
        <v>2812.5</v>
      </c>
      <c r="N293" s="34" t="s">
        <v>79</v>
      </c>
      <c r="O293" s="33" t="n">
        <f>2700</f>
        <v>2700.0</v>
      </c>
      <c r="P293" s="34" t="s">
        <v>50</v>
      </c>
      <c r="Q293" s="33" t="n">
        <f>2700</f>
        <v>2700.0</v>
      </c>
      <c r="R293" s="34" t="s">
        <v>50</v>
      </c>
      <c r="S293" s="35" t="n">
        <f>2771.31</f>
        <v>2771.31</v>
      </c>
      <c r="T293" s="32" t="n">
        <f>283530</f>
        <v>283530.0</v>
      </c>
      <c r="U293" s="32" t="n">
        <f>171500</f>
        <v>171500.0</v>
      </c>
      <c r="V293" s="32" t="n">
        <f>784780475</f>
        <v>7.84780475E8</v>
      </c>
      <c r="W293" s="32" t="n">
        <f>474521100</f>
        <v>4.745211E8</v>
      </c>
      <c r="X293" s="36" t="n">
        <f>18</f>
        <v>18.0</v>
      </c>
    </row>
    <row r="294">
      <c r="A294" s="27" t="s">
        <v>42</v>
      </c>
      <c r="B294" s="27" t="s">
        <v>925</v>
      </c>
      <c r="C294" s="27" t="s">
        <v>926</v>
      </c>
      <c r="D294" s="27" t="s">
        <v>927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26560</f>
        <v>26560.0</v>
      </c>
      <c r="L294" s="34" t="s">
        <v>48</v>
      </c>
      <c r="M294" s="33" t="n">
        <f>26960</f>
        <v>26960.0</v>
      </c>
      <c r="N294" s="34" t="s">
        <v>69</v>
      </c>
      <c r="O294" s="33" t="n">
        <f>25115</f>
        <v>25115.0</v>
      </c>
      <c r="P294" s="34" t="s">
        <v>50</v>
      </c>
      <c r="Q294" s="33" t="n">
        <f>25340</f>
        <v>25340.0</v>
      </c>
      <c r="R294" s="34" t="s">
        <v>50</v>
      </c>
      <c r="S294" s="35" t="n">
        <f>26405.56</f>
        <v>26405.56</v>
      </c>
      <c r="T294" s="32" t="n">
        <f>782005</f>
        <v>782005.0</v>
      </c>
      <c r="U294" s="32" t="n">
        <f>64986</f>
        <v>64986.0</v>
      </c>
      <c r="V294" s="32" t="n">
        <f>20589489812</f>
        <v>2.0589489812E10</v>
      </c>
      <c r="W294" s="32" t="n">
        <f>1686793407</f>
        <v>1.686793407E9</v>
      </c>
      <c r="X294" s="36" t="n">
        <f>18</f>
        <v>18.0</v>
      </c>
    </row>
    <row r="295">
      <c r="A295" s="27" t="s">
        <v>42</v>
      </c>
      <c r="B295" s="27" t="s">
        <v>928</v>
      </c>
      <c r="C295" s="27" t="s">
        <v>929</v>
      </c>
      <c r="D295" s="27" t="s">
        <v>930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21910</f>
        <v>21910.0</v>
      </c>
      <c r="L295" s="34" t="s">
        <v>48</v>
      </c>
      <c r="M295" s="33" t="n">
        <f>22215</f>
        <v>22215.0</v>
      </c>
      <c r="N295" s="34" t="s">
        <v>69</v>
      </c>
      <c r="O295" s="33" t="n">
        <f>20955</f>
        <v>20955.0</v>
      </c>
      <c r="P295" s="34" t="s">
        <v>50</v>
      </c>
      <c r="Q295" s="33" t="n">
        <f>21100</f>
        <v>21100.0</v>
      </c>
      <c r="R295" s="34" t="s">
        <v>50</v>
      </c>
      <c r="S295" s="35" t="n">
        <f>21819.72</f>
        <v>21819.72</v>
      </c>
      <c r="T295" s="32" t="n">
        <f>255646</f>
        <v>255646.0</v>
      </c>
      <c r="U295" s="32" t="n">
        <f>2554</f>
        <v>2554.0</v>
      </c>
      <c r="V295" s="32" t="n">
        <f>5548503041</f>
        <v>5.548503041E9</v>
      </c>
      <c r="W295" s="32" t="n">
        <f>55400101</f>
        <v>5.5400101E7</v>
      </c>
      <c r="X295" s="36" t="n">
        <f>18</f>
        <v>18.0</v>
      </c>
    </row>
    <row r="296">
      <c r="A296" s="27" t="s">
        <v>42</v>
      </c>
      <c r="B296" s="27" t="s">
        <v>931</v>
      </c>
      <c r="C296" s="27" t="s">
        <v>932</v>
      </c>
      <c r="D296" s="27" t="s">
        <v>933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36530</f>
        <v>36530.0</v>
      </c>
      <c r="L296" s="34" t="s">
        <v>48</v>
      </c>
      <c r="M296" s="33" t="n">
        <f>36530</f>
        <v>36530.0</v>
      </c>
      <c r="N296" s="34" t="s">
        <v>48</v>
      </c>
      <c r="O296" s="33" t="n">
        <f>35620</f>
        <v>35620.0</v>
      </c>
      <c r="P296" s="34" t="s">
        <v>68</v>
      </c>
      <c r="Q296" s="33" t="n">
        <f>35620</f>
        <v>35620.0</v>
      </c>
      <c r="R296" s="34" t="s">
        <v>68</v>
      </c>
      <c r="S296" s="35" t="n">
        <f>35955</f>
        <v>35955.0</v>
      </c>
      <c r="T296" s="32" t="n">
        <f>5</f>
        <v>5.0</v>
      </c>
      <c r="U296" s="32" t="n">
        <f>1</f>
        <v>1.0</v>
      </c>
      <c r="V296" s="32" t="n">
        <f>181020</f>
        <v>181020.0</v>
      </c>
      <c r="W296" s="32" t="n">
        <f>36290</f>
        <v>36290.0</v>
      </c>
      <c r="X296" s="36" t="n">
        <f>2</f>
        <v>2.0</v>
      </c>
    </row>
    <row r="297">
      <c r="A297" s="27" t="s">
        <v>42</v>
      </c>
      <c r="B297" s="27" t="s">
        <v>934</v>
      </c>
      <c r="C297" s="27" t="s">
        <v>935</v>
      </c>
      <c r="D297" s="27" t="s">
        <v>936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2318</f>
        <v>2318.0</v>
      </c>
      <c r="L297" s="34" t="s">
        <v>48</v>
      </c>
      <c r="M297" s="33" t="n">
        <f>2318</f>
        <v>2318.0</v>
      </c>
      <c r="N297" s="34" t="s">
        <v>48</v>
      </c>
      <c r="O297" s="33" t="n">
        <f>2268</f>
        <v>2268.0</v>
      </c>
      <c r="P297" s="34" t="s">
        <v>83</v>
      </c>
      <c r="Q297" s="33" t="n">
        <f>2284</f>
        <v>2284.0</v>
      </c>
      <c r="R297" s="34" t="s">
        <v>50</v>
      </c>
      <c r="S297" s="35" t="n">
        <f>2292.17</f>
        <v>2292.17</v>
      </c>
      <c r="T297" s="32" t="n">
        <f>502535</f>
        <v>502535.0</v>
      </c>
      <c r="U297" s="32" t="n">
        <f>338044</f>
        <v>338044.0</v>
      </c>
      <c r="V297" s="32" t="n">
        <f>1150807903</f>
        <v>1.150807903E9</v>
      </c>
      <c r="W297" s="32" t="n">
        <f>773686047</f>
        <v>7.73686047E8</v>
      </c>
      <c r="X297" s="36" t="n">
        <f>18</f>
        <v>18.0</v>
      </c>
    </row>
    <row r="298">
      <c r="A298" s="27" t="s">
        <v>42</v>
      </c>
      <c r="B298" s="27" t="s">
        <v>937</v>
      </c>
      <c r="C298" s="27" t="s">
        <v>938</v>
      </c>
      <c r="D298" s="27" t="s">
        <v>939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10.0</v>
      </c>
      <c r="K298" s="33" t="n">
        <f>3231</f>
        <v>3231.0</v>
      </c>
      <c r="L298" s="34" t="s">
        <v>48</v>
      </c>
      <c r="M298" s="33" t="n">
        <f>3300</f>
        <v>3300.0</v>
      </c>
      <c r="N298" s="34" t="s">
        <v>61</v>
      </c>
      <c r="O298" s="33" t="n">
        <f>3162</f>
        <v>3162.0</v>
      </c>
      <c r="P298" s="34" t="s">
        <v>50</v>
      </c>
      <c r="Q298" s="33" t="n">
        <f>3199</f>
        <v>3199.0</v>
      </c>
      <c r="R298" s="34" t="s">
        <v>50</v>
      </c>
      <c r="S298" s="35" t="n">
        <f>3249.94</f>
        <v>3249.94</v>
      </c>
      <c r="T298" s="32" t="n">
        <f>1211390</f>
        <v>1211390.0</v>
      </c>
      <c r="U298" s="32" t="n">
        <f>985700</f>
        <v>985700.0</v>
      </c>
      <c r="V298" s="32" t="n">
        <f>3940177405</f>
        <v>3.940177405E9</v>
      </c>
      <c r="W298" s="32" t="n">
        <f>3211293035</f>
        <v>3.211293035E9</v>
      </c>
      <c r="X298" s="36" t="n">
        <f>18</f>
        <v>18.0</v>
      </c>
    </row>
    <row r="299">
      <c r="A299" s="27" t="s">
        <v>42</v>
      </c>
      <c r="B299" s="27" t="s">
        <v>940</v>
      </c>
      <c r="C299" s="27" t="s">
        <v>941</v>
      </c>
      <c r="D299" s="27" t="s">
        <v>942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10.0</v>
      </c>
      <c r="K299" s="33" t="n">
        <f>332.6</f>
        <v>332.6</v>
      </c>
      <c r="L299" s="34" t="s">
        <v>48</v>
      </c>
      <c r="M299" s="33" t="n">
        <f>341.1</f>
        <v>341.1</v>
      </c>
      <c r="N299" s="34" t="s">
        <v>236</v>
      </c>
      <c r="O299" s="33" t="n">
        <f>325.1</f>
        <v>325.1</v>
      </c>
      <c r="P299" s="34" t="s">
        <v>50</v>
      </c>
      <c r="Q299" s="33" t="n">
        <f>326.7</f>
        <v>326.7</v>
      </c>
      <c r="R299" s="34" t="s">
        <v>50</v>
      </c>
      <c r="S299" s="35" t="n">
        <f>336.59</f>
        <v>336.59</v>
      </c>
      <c r="T299" s="32" t="n">
        <f>16029970</f>
        <v>1.602997E7</v>
      </c>
      <c r="U299" s="32" t="n">
        <f>3130230</f>
        <v>3130230.0</v>
      </c>
      <c r="V299" s="32" t="n">
        <f>5370126909</f>
        <v>5.370126909E9</v>
      </c>
      <c r="W299" s="32" t="n">
        <f>1041939767</f>
        <v>1.041939767E9</v>
      </c>
      <c r="X299" s="36" t="n">
        <f>18</f>
        <v>18.0</v>
      </c>
    </row>
    <row r="300">
      <c r="A300" s="27" t="s">
        <v>42</v>
      </c>
      <c r="B300" s="27" t="s">
        <v>943</v>
      </c>
      <c r="C300" s="27" t="s">
        <v>944</v>
      </c>
      <c r="D300" s="27" t="s">
        <v>945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2695</f>
        <v>2695.0</v>
      </c>
      <c r="L300" s="34" t="s">
        <v>48</v>
      </c>
      <c r="M300" s="33" t="n">
        <f>2783</f>
        <v>2783.0</v>
      </c>
      <c r="N300" s="34" t="s">
        <v>236</v>
      </c>
      <c r="O300" s="33" t="n">
        <f>2675</f>
        <v>2675.0</v>
      </c>
      <c r="P300" s="34" t="s">
        <v>48</v>
      </c>
      <c r="Q300" s="33" t="n">
        <f>2760</f>
        <v>2760.0</v>
      </c>
      <c r="R300" s="34" t="s">
        <v>50</v>
      </c>
      <c r="S300" s="35" t="n">
        <f>2729.72</f>
        <v>2729.72</v>
      </c>
      <c r="T300" s="32" t="n">
        <f>286216</f>
        <v>286216.0</v>
      </c>
      <c r="U300" s="32" t="n">
        <f>22570</f>
        <v>22570.0</v>
      </c>
      <c r="V300" s="32" t="n">
        <f>783483963</f>
        <v>7.83483963E8</v>
      </c>
      <c r="W300" s="32" t="n">
        <f>61846409</f>
        <v>6.1846409E7</v>
      </c>
      <c r="X300" s="36" t="n">
        <f>18</f>
        <v>18.0</v>
      </c>
    </row>
    <row r="301">
      <c r="A301" s="27" t="s">
        <v>42</v>
      </c>
      <c r="B301" s="27" t="s">
        <v>946</v>
      </c>
      <c r="C301" s="27" t="s">
        <v>947</v>
      </c>
      <c r="D301" s="27" t="s">
        <v>948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848</f>
        <v>848.0</v>
      </c>
      <c r="L301" s="34" t="s">
        <v>48</v>
      </c>
      <c r="M301" s="33" t="n">
        <f>863</f>
        <v>863.0</v>
      </c>
      <c r="N301" s="34" t="s">
        <v>50</v>
      </c>
      <c r="O301" s="33" t="n">
        <f>819</f>
        <v>819.0</v>
      </c>
      <c r="P301" s="34" t="s">
        <v>103</v>
      </c>
      <c r="Q301" s="33" t="n">
        <f>863</f>
        <v>863.0</v>
      </c>
      <c r="R301" s="34" t="s">
        <v>50</v>
      </c>
      <c r="S301" s="35" t="n">
        <f>832.33</f>
        <v>832.33</v>
      </c>
      <c r="T301" s="32" t="n">
        <f>453433</f>
        <v>453433.0</v>
      </c>
      <c r="U301" s="32" t="n">
        <f>60103</f>
        <v>60103.0</v>
      </c>
      <c r="V301" s="32" t="n">
        <f>377439391</f>
        <v>3.77439391E8</v>
      </c>
      <c r="W301" s="32" t="n">
        <f>50166453</f>
        <v>5.0166453E7</v>
      </c>
      <c r="X301" s="36" t="n">
        <f>18</f>
        <v>18.0</v>
      </c>
    </row>
    <row r="302">
      <c r="A302" s="27" t="s">
        <v>42</v>
      </c>
      <c r="B302" s="27" t="s">
        <v>949</v>
      </c>
      <c r="C302" s="27" t="s">
        <v>950</v>
      </c>
      <c r="D302" s="27" t="s">
        <v>951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10.0</v>
      </c>
      <c r="K302" s="33" t="n">
        <f>961.1</f>
        <v>961.1</v>
      </c>
      <c r="L302" s="34" t="s">
        <v>48</v>
      </c>
      <c r="M302" s="33" t="n">
        <f>968.4</f>
        <v>968.4</v>
      </c>
      <c r="N302" s="34" t="s">
        <v>50</v>
      </c>
      <c r="O302" s="33" t="n">
        <f>934.5</f>
        <v>934.5</v>
      </c>
      <c r="P302" s="34" t="s">
        <v>103</v>
      </c>
      <c r="Q302" s="33" t="n">
        <f>962</f>
        <v>962.0</v>
      </c>
      <c r="R302" s="34" t="s">
        <v>50</v>
      </c>
      <c r="S302" s="35" t="n">
        <f>948.9</f>
        <v>948.9</v>
      </c>
      <c r="T302" s="32" t="n">
        <f>5470</f>
        <v>5470.0</v>
      </c>
      <c r="U302" s="32" t="str">
        <f>"－"</f>
        <v>－</v>
      </c>
      <c r="V302" s="32" t="n">
        <f>5196279</f>
        <v>5196279.0</v>
      </c>
      <c r="W302" s="32" t="str">
        <f>"－"</f>
        <v>－</v>
      </c>
      <c r="X302" s="36" t="n">
        <f>18</f>
        <v>18.0</v>
      </c>
    </row>
    <row r="303">
      <c r="A303" s="27" t="s">
        <v>42</v>
      </c>
      <c r="B303" s="27" t="s">
        <v>952</v>
      </c>
      <c r="C303" s="27" t="s">
        <v>953</v>
      </c>
      <c r="D303" s="27" t="s">
        <v>954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10.0</v>
      </c>
      <c r="K303" s="33" t="n">
        <f>365</f>
        <v>365.0</v>
      </c>
      <c r="L303" s="34" t="s">
        <v>48</v>
      </c>
      <c r="M303" s="33" t="n">
        <f>369.2</f>
        <v>369.2</v>
      </c>
      <c r="N303" s="34" t="s">
        <v>68</v>
      </c>
      <c r="O303" s="33" t="n">
        <f>351.7</f>
        <v>351.7</v>
      </c>
      <c r="P303" s="34" t="s">
        <v>204</v>
      </c>
      <c r="Q303" s="33" t="n">
        <f>354</f>
        <v>354.0</v>
      </c>
      <c r="R303" s="34" t="s">
        <v>50</v>
      </c>
      <c r="S303" s="35" t="n">
        <f>362.81</f>
        <v>362.81</v>
      </c>
      <c r="T303" s="32" t="n">
        <f>1260</f>
        <v>1260.0</v>
      </c>
      <c r="U303" s="32" t="str">
        <f>"－"</f>
        <v>－</v>
      </c>
      <c r="V303" s="32" t="n">
        <f>454122</f>
        <v>454122.0</v>
      </c>
      <c r="W303" s="32" t="str">
        <f>"－"</f>
        <v>－</v>
      </c>
      <c r="X303" s="36" t="n">
        <f>14</f>
        <v>14.0</v>
      </c>
    </row>
    <row r="304">
      <c r="A304" s="27" t="s">
        <v>42</v>
      </c>
      <c r="B304" s="27" t="s">
        <v>955</v>
      </c>
      <c r="C304" s="27" t="s">
        <v>956</v>
      </c>
      <c r="D304" s="27" t="s">
        <v>957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10.0</v>
      </c>
      <c r="K304" s="33" t="n">
        <f>5602</f>
        <v>5602.0</v>
      </c>
      <c r="L304" s="34" t="s">
        <v>48</v>
      </c>
      <c r="M304" s="33" t="n">
        <f>5800</f>
        <v>5800.0</v>
      </c>
      <c r="N304" s="34" t="s">
        <v>236</v>
      </c>
      <c r="O304" s="33" t="n">
        <f>5258</f>
        <v>5258.0</v>
      </c>
      <c r="P304" s="34" t="s">
        <v>50</v>
      </c>
      <c r="Q304" s="33" t="n">
        <f>5304</f>
        <v>5304.0</v>
      </c>
      <c r="R304" s="34" t="s">
        <v>50</v>
      </c>
      <c r="S304" s="35" t="n">
        <f>5641</f>
        <v>5641.0</v>
      </c>
      <c r="T304" s="32" t="n">
        <f>472010</f>
        <v>472010.0</v>
      </c>
      <c r="U304" s="32" t="n">
        <f>10</f>
        <v>10.0</v>
      </c>
      <c r="V304" s="32" t="n">
        <f>2641272040</f>
        <v>2.64127204E9</v>
      </c>
      <c r="W304" s="32" t="n">
        <f>57810</f>
        <v>57810.0</v>
      </c>
      <c r="X304" s="36" t="n">
        <f>18</f>
        <v>18.0</v>
      </c>
    </row>
    <row r="305">
      <c r="A305" s="27" t="s">
        <v>42</v>
      </c>
      <c r="B305" s="27" t="s">
        <v>958</v>
      </c>
      <c r="C305" s="27" t="s">
        <v>959</v>
      </c>
      <c r="D305" s="27" t="s">
        <v>960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10.0</v>
      </c>
      <c r="K305" s="33" t="n">
        <f>3232</f>
        <v>3232.0</v>
      </c>
      <c r="L305" s="34" t="s">
        <v>48</v>
      </c>
      <c r="M305" s="33" t="n">
        <f>3410</f>
        <v>3410.0</v>
      </c>
      <c r="N305" s="34" t="s">
        <v>236</v>
      </c>
      <c r="O305" s="33" t="n">
        <f>3149</f>
        <v>3149.0</v>
      </c>
      <c r="P305" s="34" t="s">
        <v>50</v>
      </c>
      <c r="Q305" s="33" t="n">
        <f>3163</f>
        <v>3163.0</v>
      </c>
      <c r="R305" s="34" t="s">
        <v>50</v>
      </c>
      <c r="S305" s="35" t="n">
        <f>3324.83</f>
        <v>3324.83</v>
      </c>
      <c r="T305" s="32" t="n">
        <f>3569450</f>
        <v>3569450.0</v>
      </c>
      <c r="U305" s="32" t="n">
        <f>2438700</f>
        <v>2438700.0</v>
      </c>
      <c r="V305" s="32" t="n">
        <f>11877398727</f>
        <v>1.1877398727E10</v>
      </c>
      <c r="W305" s="32" t="n">
        <f>8157516507</f>
        <v>8.157516507E9</v>
      </c>
      <c r="X305" s="36" t="n">
        <f>18</f>
        <v>18.0</v>
      </c>
    </row>
    <row r="306">
      <c r="A306" s="27" t="s">
        <v>42</v>
      </c>
      <c r="B306" s="27" t="s">
        <v>961</v>
      </c>
      <c r="C306" s="27" t="s">
        <v>962</v>
      </c>
      <c r="D306" s="27" t="s">
        <v>963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2118</f>
        <v>2118.0</v>
      </c>
      <c r="L306" s="34" t="s">
        <v>48</v>
      </c>
      <c r="M306" s="33" t="n">
        <f>2220</f>
        <v>2220.0</v>
      </c>
      <c r="N306" s="34" t="s">
        <v>79</v>
      </c>
      <c r="O306" s="33" t="n">
        <f>2003</f>
        <v>2003.0</v>
      </c>
      <c r="P306" s="34" t="s">
        <v>50</v>
      </c>
      <c r="Q306" s="33" t="n">
        <f>2010</f>
        <v>2010.0</v>
      </c>
      <c r="R306" s="34" t="s">
        <v>50</v>
      </c>
      <c r="S306" s="35" t="n">
        <f>2107.89</f>
        <v>2107.89</v>
      </c>
      <c r="T306" s="32" t="n">
        <f>32973</f>
        <v>32973.0</v>
      </c>
      <c r="U306" s="32" t="str">
        <f>"－"</f>
        <v>－</v>
      </c>
      <c r="V306" s="32" t="n">
        <f>69511805</f>
        <v>6.9511805E7</v>
      </c>
      <c r="W306" s="32" t="str">
        <f>"－"</f>
        <v>－</v>
      </c>
      <c r="X306" s="36" t="n">
        <f>18</f>
        <v>18.0</v>
      </c>
    </row>
    <row r="307">
      <c r="A307" s="27" t="s">
        <v>42</v>
      </c>
      <c r="B307" s="27" t="s">
        <v>964</v>
      </c>
      <c r="C307" s="27" t="s">
        <v>965</v>
      </c>
      <c r="D307" s="27" t="s">
        <v>966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1933</f>
        <v>1933.0</v>
      </c>
      <c r="L307" s="34" t="s">
        <v>48</v>
      </c>
      <c r="M307" s="33" t="n">
        <f>1952</f>
        <v>1952.0</v>
      </c>
      <c r="N307" s="34" t="s">
        <v>50</v>
      </c>
      <c r="O307" s="33" t="n">
        <f>1876</f>
        <v>1876.0</v>
      </c>
      <c r="P307" s="34" t="s">
        <v>103</v>
      </c>
      <c r="Q307" s="33" t="n">
        <f>1931</f>
        <v>1931.0</v>
      </c>
      <c r="R307" s="34" t="s">
        <v>50</v>
      </c>
      <c r="S307" s="35" t="n">
        <f>1904.28</f>
        <v>1904.28</v>
      </c>
      <c r="T307" s="32" t="n">
        <f>35729</f>
        <v>35729.0</v>
      </c>
      <c r="U307" s="32" t="str">
        <f>"－"</f>
        <v>－</v>
      </c>
      <c r="V307" s="32" t="n">
        <f>68589316</f>
        <v>6.8589316E7</v>
      </c>
      <c r="W307" s="32" t="str">
        <f>"－"</f>
        <v>－</v>
      </c>
      <c r="X307" s="36" t="n">
        <f>18</f>
        <v>18.0</v>
      </c>
    </row>
    <row r="308">
      <c r="A308" s="27" t="s">
        <v>42</v>
      </c>
      <c r="B308" s="27" t="s">
        <v>967</v>
      </c>
      <c r="C308" s="27" t="s">
        <v>968</v>
      </c>
      <c r="D308" s="27" t="s">
        <v>969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10.0</v>
      </c>
      <c r="K308" s="33" t="n">
        <f>354.4</f>
        <v>354.4</v>
      </c>
      <c r="L308" s="34" t="s">
        <v>48</v>
      </c>
      <c r="M308" s="33" t="n">
        <f>357</f>
        <v>357.0</v>
      </c>
      <c r="N308" s="34" t="s">
        <v>48</v>
      </c>
      <c r="O308" s="33" t="n">
        <f>342.2</f>
        <v>342.2</v>
      </c>
      <c r="P308" s="34" t="s">
        <v>99</v>
      </c>
      <c r="Q308" s="33" t="n">
        <f>345.6</f>
        <v>345.6</v>
      </c>
      <c r="R308" s="34" t="s">
        <v>50</v>
      </c>
      <c r="S308" s="35" t="n">
        <f>348.44</f>
        <v>348.44</v>
      </c>
      <c r="T308" s="32" t="n">
        <f>8097020</f>
        <v>8097020.0</v>
      </c>
      <c r="U308" s="32" t="n">
        <f>6792780</f>
        <v>6792780.0</v>
      </c>
      <c r="V308" s="32" t="n">
        <f>2820469310</f>
        <v>2.82046931E9</v>
      </c>
      <c r="W308" s="32" t="n">
        <f>2365387930</f>
        <v>2.36538793E9</v>
      </c>
      <c r="X308" s="36" t="n">
        <f>18</f>
        <v>18.0</v>
      </c>
    </row>
    <row r="309">
      <c r="A309" s="27" t="s">
        <v>42</v>
      </c>
      <c r="B309" s="27" t="s">
        <v>970</v>
      </c>
      <c r="C309" s="27" t="s">
        <v>971</v>
      </c>
      <c r="D309" s="27" t="s">
        <v>972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1121</f>
        <v>1121.0</v>
      </c>
      <c r="L309" s="34" t="s">
        <v>48</v>
      </c>
      <c r="M309" s="33" t="n">
        <f>1174</f>
        <v>1174.0</v>
      </c>
      <c r="N309" s="34" t="s">
        <v>50</v>
      </c>
      <c r="O309" s="33" t="n">
        <f>1115</f>
        <v>1115.0</v>
      </c>
      <c r="P309" s="34" t="s">
        <v>69</v>
      </c>
      <c r="Q309" s="33" t="n">
        <f>1171</f>
        <v>1171.0</v>
      </c>
      <c r="R309" s="34" t="s">
        <v>50</v>
      </c>
      <c r="S309" s="35" t="n">
        <f>1137.89</f>
        <v>1137.89</v>
      </c>
      <c r="T309" s="32" t="n">
        <f>17494351</f>
        <v>1.7494351E7</v>
      </c>
      <c r="U309" s="32" t="n">
        <f>92098</f>
        <v>92098.0</v>
      </c>
      <c r="V309" s="32" t="n">
        <f>19953576330</f>
        <v>1.995357633E10</v>
      </c>
      <c r="W309" s="32" t="n">
        <f>105065727</f>
        <v>1.05065727E8</v>
      </c>
      <c r="X309" s="36" t="n">
        <f>18</f>
        <v>18.0</v>
      </c>
    </row>
    <row r="310">
      <c r="A310" s="27" t="s">
        <v>42</v>
      </c>
      <c r="B310" s="27" t="s">
        <v>973</v>
      </c>
      <c r="C310" s="27" t="s">
        <v>974</v>
      </c>
      <c r="D310" s="27" t="s">
        <v>975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1726</f>
        <v>1726.0</v>
      </c>
      <c r="L310" s="34" t="s">
        <v>48</v>
      </c>
      <c r="M310" s="33" t="n">
        <f>1747</f>
        <v>1747.0</v>
      </c>
      <c r="N310" s="34" t="s">
        <v>99</v>
      </c>
      <c r="O310" s="33" t="n">
        <f>1706</f>
        <v>1706.0</v>
      </c>
      <c r="P310" s="34" t="s">
        <v>48</v>
      </c>
      <c r="Q310" s="33" t="n">
        <f>1739</f>
        <v>1739.0</v>
      </c>
      <c r="R310" s="34" t="s">
        <v>50</v>
      </c>
      <c r="S310" s="35" t="n">
        <f>1727.78</f>
        <v>1727.78</v>
      </c>
      <c r="T310" s="32" t="n">
        <f>14168</f>
        <v>14168.0</v>
      </c>
      <c r="U310" s="32" t="str">
        <f>"－"</f>
        <v>－</v>
      </c>
      <c r="V310" s="32" t="n">
        <f>24427079</f>
        <v>2.4427079E7</v>
      </c>
      <c r="W310" s="32" t="str">
        <f>"－"</f>
        <v>－</v>
      </c>
      <c r="X310" s="36" t="n">
        <f>18</f>
        <v>18.0</v>
      </c>
    </row>
    <row r="311">
      <c r="A311" s="27" t="s">
        <v>42</v>
      </c>
      <c r="B311" s="27" t="s">
        <v>976</v>
      </c>
      <c r="C311" s="27" t="s">
        <v>977</v>
      </c>
      <c r="D311" s="27" t="s">
        <v>978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2090</f>
        <v>2090.0</v>
      </c>
      <c r="L311" s="34" t="s">
        <v>48</v>
      </c>
      <c r="M311" s="33" t="n">
        <f>2099</f>
        <v>2099.0</v>
      </c>
      <c r="N311" s="34" t="s">
        <v>204</v>
      </c>
      <c r="O311" s="33" t="n">
        <f>2041</f>
        <v>2041.0</v>
      </c>
      <c r="P311" s="34" t="s">
        <v>161</v>
      </c>
      <c r="Q311" s="33" t="n">
        <f>2095</f>
        <v>2095.0</v>
      </c>
      <c r="R311" s="34" t="s">
        <v>50</v>
      </c>
      <c r="S311" s="35" t="n">
        <f>2082.88</f>
        <v>2082.88</v>
      </c>
      <c r="T311" s="32" t="n">
        <f>387706</f>
        <v>387706.0</v>
      </c>
      <c r="U311" s="32" t="n">
        <f>383000</f>
        <v>383000.0</v>
      </c>
      <c r="V311" s="32" t="n">
        <f>807720006</f>
        <v>8.07720006E8</v>
      </c>
      <c r="W311" s="32" t="n">
        <f>797903900</f>
        <v>7.979039E8</v>
      </c>
      <c r="X311" s="36" t="n">
        <f>17</f>
        <v>17.0</v>
      </c>
    </row>
    <row r="312">
      <c r="A312" s="27" t="s">
        <v>42</v>
      </c>
      <c r="B312" s="27" t="s">
        <v>979</v>
      </c>
      <c r="C312" s="27" t="s">
        <v>980</v>
      </c>
      <c r="D312" s="27" t="s">
        <v>981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3865</f>
        <v>3865.0</v>
      </c>
      <c r="L312" s="34" t="s">
        <v>48</v>
      </c>
      <c r="M312" s="33" t="n">
        <f>3970</f>
        <v>3970.0</v>
      </c>
      <c r="N312" s="34" t="s">
        <v>69</v>
      </c>
      <c r="O312" s="33" t="n">
        <f>3700</f>
        <v>3700.0</v>
      </c>
      <c r="P312" s="34" t="s">
        <v>50</v>
      </c>
      <c r="Q312" s="33" t="n">
        <f>3745</f>
        <v>3745.0</v>
      </c>
      <c r="R312" s="34" t="s">
        <v>50</v>
      </c>
      <c r="S312" s="35" t="n">
        <f>3891.39</f>
        <v>3891.39</v>
      </c>
      <c r="T312" s="32" t="n">
        <f>1943579</f>
        <v>1943579.0</v>
      </c>
      <c r="U312" s="32" t="n">
        <f>329939</f>
        <v>329939.0</v>
      </c>
      <c r="V312" s="32" t="n">
        <f>7476545243</f>
        <v>7.476545243E9</v>
      </c>
      <c r="W312" s="32" t="n">
        <f>1252693168</f>
        <v>1.252693168E9</v>
      </c>
      <c r="X312" s="36" t="n">
        <f>18</f>
        <v>18.0</v>
      </c>
    </row>
    <row r="313">
      <c r="A313" s="27" t="s">
        <v>42</v>
      </c>
      <c r="B313" s="27" t="s">
        <v>982</v>
      </c>
      <c r="C313" s="27" t="s">
        <v>983</v>
      </c>
      <c r="D313" s="27" t="s">
        <v>984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2746</f>
        <v>2746.0</v>
      </c>
      <c r="L313" s="34" t="s">
        <v>48</v>
      </c>
      <c r="M313" s="33" t="n">
        <f>2794</f>
        <v>2794.0</v>
      </c>
      <c r="N313" s="34" t="s">
        <v>49</v>
      </c>
      <c r="O313" s="33" t="n">
        <f>2675</f>
        <v>2675.0</v>
      </c>
      <c r="P313" s="34" t="s">
        <v>50</v>
      </c>
      <c r="Q313" s="33" t="n">
        <f>2693</f>
        <v>2693.0</v>
      </c>
      <c r="R313" s="34" t="s">
        <v>50</v>
      </c>
      <c r="S313" s="35" t="n">
        <f>2755.67</f>
        <v>2755.67</v>
      </c>
      <c r="T313" s="32" t="n">
        <f>704938</f>
        <v>704938.0</v>
      </c>
      <c r="U313" s="32" t="n">
        <f>160111</f>
        <v>160111.0</v>
      </c>
      <c r="V313" s="32" t="n">
        <f>1925329548</f>
        <v>1.925329548E9</v>
      </c>
      <c r="W313" s="32" t="n">
        <f>435942972</f>
        <v>4.35942972E8</v>
      </c>
      <c r="X313" s="36" t="n">
        <f>18</f>
        <v>18.0</v>
      </c>
    </row>
    <row r="314">
      <c r="A314" s="27" t="s">
        <v>42</v>
      </c>
      <c r="B314" s="27" t="s">
        <v>985</v>
      </c>
      <c r="C314" s="27" t="s">
        <v>986</v>
      </c>
      <c r="D314" s="27" t="s">
        <v>987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2448</f>
        <v>2448.0</v>
      </c>
      <c r="L314" s="34" t="s">
        <v>48</v>
      </c>
      <c r="M314" s="33" t="n">
        <f>2660</f>
        <v>2660.0</v>
      </c>
      <c r="N314" s="34" t="s">
        <v>60</v>
      </c>
      <c r="O314" s="33" t="n">
        <f>2427</f>
        <v>2427.0</v>
      </c>
      <c r="P314" s="34" t="s">
        <v>48</v>
      </c>
      <c r="Q314" s="33" t="n">
        <f>2516</f>
        <v>2516.0</v>
      </c>
      <c r="R314" s="34" t="s">
        <v>50</v>
      </c>
      <c r="S314" s="35" t="n">
        <f>2562.39</f>
        <v>2562.39</v>
      </c>
      <c r="T314" s="32" t="n">
        <f>61607</f>
        <v>61607.0</v>
      </c>
      <c r="U314" s="32" t="n">
        <f>610</f>
        <v>610.0</v>
      </c>
      <c r="V314" s="32" t="n">
        <f>156777884</f>
        <v>1.56777884E8</v>
      </c>
      <c r="W314" s="32" t="n">
        <f>1589569</f>
        <v>1589569.0</v>
      </c>
      <c r="X314" s="36" t="n">
        <f>18</f>
        <v>18.0</v>
      </c>
    </row>
    <row r="315">
      <c r="A315" s="27" t="s">
        <v>42</v>
      </c>
      <c r="B315" s="27" t="s">
        <v>988</v>
      </c>
      <c r="C315" s="27" t="s">
        <v>989</v>
      </c>
      <c r="D315" s="27" t="s">
        <v>990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1386</f>
        <v>1386.0</v>
      </c>
      <c r="L315" s="34" t="s">
        <v>48</v>
      </c>
      <c r="M315" s="33" t="n">
        <f>1514</f>
        <v>1514.0</v>
      </c>
      <c r="N315" s="34" t="s">
        <v>60</v>
      </c>
      <c r="O315" s="33" t="n">
        <f>1371</f>
        <v>1371.0</v>
      </c>
      <c r="P315" s="34" t="s">
        <v>68</v>
      </c>
      <c r="Q315" s="33" t="n">
        <f>1413</f>
        <v>1413.0</v>
      </c>
      <c r="R315" s="34" t="s">
        <v>50</v>
      </c>
      <c r="S315" s="35" t="n">
        <f>1443.72</f>
        <v>1443.72</v>
      </c>
      <c r="T315" s="32" t="n">
        <f>51789</f>
        <v>51789.0</v>
      </c>
      <c r="U315" s="32" t="str">
        <f>"－"</f>
        <v>－</v>
      </c>
      <c r="V315" s="32" t="n">
        <f>74448185</f>
        <v>7.4448185E7</v>
      </c>
      <c r="W315" s="32" t="str">
        <f>"－"</f>
        <v>－</v>
      </c>
      <c r="X315" s="36" t="n">
        <f>18</f>
        <v>18.0</v>
      </c>
    </row>
    <row r="316">
      <c r="A316" s="27" t="s">
        <v>42</v>
      </c>
      <c r="B316" s="27" t="s">
        <v>991</v>
      </c>
      <c r="C316" s="27" t="s">
        <v>992</v>
      </c>
      <c r="D316" s="27" t="s">
        <v>993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2011</f>
        <v>2011.0</v>
      </c>
      <c r="L316" s="34" t="s">
        <v>48</v>
      </c>
      <c r="M316" s="33" t="n">
        <f>2267</f>
        <v>2267.0</v>
      </c>
      <c r="N316" s="34" t="s">
        <v>204</v>
      </c>
      <c r="O316" s="33" t="n">
        <f>1950</f>
        <v>1950.0</v>
      </c>
      <c r="P316" s="34" t="s">
        <v>48</v>
      </c>
      <c r="Q316" s="33" t="n">
        <f>2160</f>
        <v>2160.0</v>
      </c>
      <c r="R316" s="34" t="s">
        <v>50</v>
      </c>
      <c r="S316" s="35" t="n">
        <f>2099.5</f>
        <v>2099.5</v>
      </c>
      <c r="T316" s="32" t="n">
        <f>403995</f>
        <v>403995.0</v>
      </c>
      <c r="U316" s="32" t="n">
        <f>96154</f>
        <v>96154.0</v>
      </c>
      <c r="V316" s="32" t="n">
        <f>845583707</f>
        <v>8.45583707E8</v>
      </c>
      <c r="W316" s="32" t="n">
        <f>197483008</f>
        <v>1.97483008E8</v>
      </c>
      <c r="X316" s="36" t="n">
        <f>18</f>
        <v>18.0</v>
      </c>
    </row>
    <row r="317">
      <c r="A317" s="27" t="s">
        <v>42</v>
      </c>
      <c r="B317" s="27" t="s">
        <v>994</v>
      </c>
      <c r="C317" s="27" t="s">
        <v>995</v>
      </c>
      <c r="D317" s="27" t="s">
        <v>996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2794</f>
        <v>2794.0</v>
      </c>
      <c r="L317" s="34" t="s">
        <v>48</v>
      </c>
      <c r="M317" s="33" t="n">
        <f>2990</f>
        <v>2990.0</v>
      </c>
      <c r="N317" s="34" t="s">
        <v>50</v>
      </c>
      <c r="O317" s="33" t="n">
        <f>2713</f>
        <v>2713.0</v>
      </c>
      <c r="P317" s="34" t="s">
        <v>48</v>
      </c>
      <c r="Q317" s="33" t="n">
        <f>2877</f>
        <v>2877.0</v>
      </c>
      <c r="R317" s="34" t="s">
        <v>50</v>
      </c>
      <c r="S317" s="35" t="n">
        <f>2875.89</f>
        <v>2875.89</v>
      </c>
      <c r="T317" s="32" t="n">
        <f>129511</f>
        <v>129511.0</v>
      </c>
      <c r="U317" s="32" t="str">
        <f>"－"</f>
        <v>－</v>
      </c>
      <c r="V317" s="32" t="n">
        <f>374028534</f>
        <v>3.74028534E8</v>
      </c>
      <c r="W317" s="32" t="str">
        <f>"－"</f>
        <v>－</v>
      </c>
      <c r="X317" s="36" t="n">
        <f>18</f>
        <v>18.0</v>
      </c>
    </row>
    <row r="318">
      <c r="A318" s="27" t="s">
        <v>42</v>
      </c>
      <c r="B318" s="27" t="s">
        <v>997</v>
      </c>
      <c r="C318" s="27" t="s">
        <v>998</v>
      </c>
      <c r="D318" s="27" t="s">
        <v>999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13135</f>
        <v>13135.0</v>
      </c>
      <c r="L318" s="34" t="s">
        <v>48</v>
      </c>
      <c r="M318" s="33" t="n">
        <f>13545</f>
        <v>13545.0</v>
      </c>
      <c r="N318" s="34" t="s">
        <v>83</v>
      </c>
      <c r="O318" s="33" t="n">
        <f>12910</f>
        <v>12910.0</v>
      </c>
      <c r="P318" s="34" t="s">
        <v>50</v>
      </c>
      <c r="Q318" s="33" t="n">
        <f>13085</f>
        <v>13085.0</v>
      </c>
      <c r="R318" s="34" t="s">
        <v>50</v>
      </c>
      <c r="S318" s="35" t="n">
        <f>13353.61</f>
        <v>13353.61</v>
      </c>
      <c r="T318" s="32" t="n">
        <f>262441</f>
        <v>262441.0</v>
      </c>
      <c r="U318" s="32" t="n">
        <f>150246</f>
        <v>150246.0</v>
      </c>
      <c r="V318" s="32" t="n">
        <f>3487849684</f>
        <v>3.487849684E9</v>
      </c>
      <c r="W318" s="32" t="n">
        <f>1993657219</f>
        <v>1.993657219E9</v>
      </c>
      <c r="X318" s="36" t="n">
        <f>18</f>
        <v>18.0</v>
      </c>
    </row>
    <row r="319">
      <c r="A319" s="27" t="s">
        <v>42</v>
      </c>
      <c r="B319" s="27" t="s">
        <v>1000</v>
      </c>
      <c r="C319" s="27" t="s">
        <v>1001</v>
      </c>
      <c r="D319" s="27" t="s">
        <v>1002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23390</f>
        <v>23390.0</v>
      </c>
      <c r="L319" s="34" t="s">
        <v>48</v>
      </c>
      <c r="M319" s="33" t="n">
        <f>24220</f>
        <v>24220.0</v>
      </c>
      <c r="N319" s="34" t="s">
        <v>236</v>
      </c>
      <c r="O319" s="33" t="n">
        <f>21940</f>
        <v>21940.0</v>
      </c>
      <c r="P319" s="34" t="s">
        <v>50</v>
      </c>
      <c r="Q319" s="33" t="n">
        <f>22145</f>
        <v>22145.0</v>
      </c>
      <c r="R319" s="34" t="s">
        <v>50</v>
      </c>
      <c r="S319" s="35" t="n">
        <f>23554.44</f>
        <v>23554.44</v>
      </c>
      <c r="T319" s="32" t="n">
        <f>201340</f>
        <v>201340.0</v>
      </c>
      <c r="U319" s="32" t="str">
        <f>"－"</f>
        <v>－</v>
      </c>
      <c r="V319" s="32" t="n">
        <f>4711933700</f>
        <v>4.7119337E9</v>
      </c>
      <c r="W319" s="32" t="str">
        <f>"－"</f>
        <v>－</v>
      </c>
      <c r="X319" s="36" t="n">
        <f>18</f>
        <v>18.0</v>
      </c>
    </row>
    <row r="320">
      <c r="A320" s="27" t="s">
        <v>42</v>
      </c>
      <c r="B320" s="27" t="s">
        <v>1003</v>
      </c>
      <c r="C320" s="27" t="s">
        <v>1004</v>
      </c>
      <c r="D320" s="27" t="s">
        <v>1005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13570</f>
        <v>13570.0</v>
      </c>
      <c r="L320" s="34" t="s">
        <v>48</v>
      </c>
      <c r="M320" s="33" t="n">
        <f>14260</f>
        <v>14260.0</v>
      </c>
      <c r="N320" s="34" t="s">
        <v>236</v>
      </c>
      <c r="O320" s="33" t="n">
        <f>13160</f>
        <v>13160.0</v>
      </c>
      <c r="P320" s="34" t="s">
        <v>50</v>
      </c>
      <c r="Q320" s="33" t="n">
        <f>13240</f>
        <v>13240.0</v>
      </c>
      <c r="R320" s="34" t="s">
        <v>50</v>
      </c>
      <c r="S320" s="35" t="n">
        <f>13914.72</f>
        <v>13914.72</v>
      </c>
      <c r="T320" s="32" t="n">
        <f>148298</f>
        <v>148298.0</v>
      </c>
      <c r="U320" s="32" t="n">
        <f>390</f>
        <v>390.0</v>
      </c>
      <c r="V320" s="32" t="n">
        <f>2047731175</f>
        <v>2.047731175E9</v>
      </c>
      <c r="W320" s="32" t="n">
        <f>5310110</f>
        <v>5310110.0</v>
      </c>
      <c r="X320" s="36" t="n">
        <f>18</f>
        <v>18.0</v>
      </c>
    </row>
    <row r="321">
      <c r="A321" s="27" t="s">
        <v>42</v>
      </c>
      <c r="B321" s="27" t="s">
        <v>1006</v>
      </c>
      <c r="C321" s="27" t="s">
        <v>1007</v>
      </c>
      <c r="D321" s="27" t="s">
        <v>1008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10.0</v>
      </c>
      <c r="K321" s="33" t="n">
        <f>428</f>
        <v>428.0</v>
      </c>
      <c r="L321" s="34" t="s">
        <v>48</v>
      </c>
      <c r="M321" s="33" t="n">
        <f>433.6</f>
        <v>433.6</v>
      </c>
      <c r="N321" s="34" t="s">
        <v>69</v>
      </c>
      <c r="O321" s="33" t="n">
        <f>404.2</f>
        <v>404.2</v>
      </c>
      <c r="P321" s="34" t="s">
        <v>50</v>
      </c>
      <c r="Q321" s="33" t="n">
        <f>407.9</f>
        <v>407.9</v>
      </c>
      <c r="R321" s="34" t="s">
        <v>50</v>
      </c>
      <c r="S321" s="35" t="n">
        <f>424.97</f>
        <v>424.97</v>
      </c>
      <c r="T321" s="32" t="n">
        <f>3075840</f>
        <v>3075840.0</v>
      </c>
      <c r="U321" s="32" t="n">
        <f>500310</f>
        <v>500310.0</v>
      </c>
      <c r="V321" s="32" t="n">
        <f>1298424381</f>
        <v>1.298424381E9</v>
      </c>
      <c r="W321" s="32" t="n">
        <f>208422141</f>
        <v>2.08422141E8</v>
      </c>
      <c r="X321" s="36" t="n">
        <f>18</f>
        <v>18.0</v>
      </c>
    </row>
    <row r="322">
      <c r="A322" s="27" t="s">
        <v>42</v>
      </c>
      <c r="B322" s="27" t="s">
        <v>1009</v>
      </c>
      <c r="C322" s="27" t="s">
        <v>1010</v>
      </c>
      <c r="D322" s="27" t="s">
        <v>1011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10.0</v>
      </c>
      <c r="K322" s="33" t="n">
        <f>2594.5</f>
        <v>2594.5</v>
      </c>
      <c r="L322" s="34" t="s">
        <v>48</v>
      </c>
      <c r="M322" s="33" t="n">
        <f>2677.5</f>
        <v>2677.5</v>
      </c>
      <c r="N322" s="34" t="s">
        <v>83</v>
      </c>
      <c r="O322" s="33" t="n">
        <f>2552.5</f>
        <v>2552.5</v>
      </c>
      <c r="P322" s="34" t="s">
        <v>50</v>
      </c>
      <c r="Q322" s="33" t="n">
        <f>2562.5</f>
        <v>2562.5</v>
      </c>
      <c r="R322" s="34" t="s">
        <v>50</v>
      </c>
      <c r="S322" s="35" t="n">
        <f>2639.47</f>
        <v>2639.47</v>
      </c>
      <c r="T322" s="32" t="n">
        <f>2303110</f>
        <v>2303110.0</v>
      </c>
      <c r="U322" s="32" t="n">
        <f>1757600</f>
        <v>1757600.0</v>
      </c>
      <c r="V322" s="32" t="n">
        <f>6013489195</f>
        <v>6.013489195E9</v>
      </c>
      <c r="W322" s="32" t="n">
        <f>4586104420</f>
        <v>4.58610442E9</v>
      </c>
      <c r="X322" s="36" t="n">
        <f>18</f>
        <v>18.0</v>
      </c>
    </row>
    <row r="323">
      <c r="A323" s="27" t="s">
        <v>42</v>
      </c>
      <c r="B323" s="27" t="s">
        <v>1012</v>
      </c>
      <c r="C323" s="27" t="s">
        <v>1013</v>
      </c>
      <c r="D323" s="27" t="s">
        <v>1014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10.0</v>
      </c>
      <c r="K323" s="33" t="n">
        <f>4379</f>
        <v>4379.0</v>
      </c>
      <c r="L323" s="34" t="s">
        <v>48</v>
      </c>
      <c r="M323" s="33" t="n">
        <f>4404</f>
        <v>4404.0</v>
      </c>
      <c r="N323" s="34" t="s">
        <v>79</v>
      </c>
      <c r="O323" s="33" t="n">
        <f>4119</f>
        <v>4119.0</v>
      </c>
      <c r="P323" s="34" t="s">
        <v>50</v>
      </c>
      <c r="Q323" s="33" t="n">
        <f>4144</f>
        <v>4144.0</v>
      </c>
      <c r="R323" s="34" t="s">
        <v>50</v>
      </c>
      <c r="S323" s="35" t="n">
        <f>4314</f>
        <v>4314.0</v>
      </c>
      <c r="T323" s="32" t="n">
        <f>58640</f>
        <v>58640.0</v>
      </c>
      <c r="U323" s="32" t="n">
        <f>10</f>
        <v>10.0</v>
      </c>
      <c r="V323" s="32" t="n">
        <f>254441190</f>
        <v>2.5444119E8</v>
      </c>
      <c r="W323" s="32" t="n">
        <f>42190</f>
        <v>42190.0</v>
      </c>
      <c r="X323" s="36" t="n">
        <f>18</f>
        <v>18.0</v>
      </c>
    </row>
    <row r="324">
      <c r="A324" s="27" t="s">
        <v>42</v>
      </c>
      <c r="B324" s="27" t="s">
        <v>1015</v>
      </c>
      <c r="C324" s="27" t="s">
        <v>1016</v>
      </c>
      <c r="D324" s="27" t="s">
        <v>1017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3335</f>
        <v>3335.0</v>
      </c>
      <c r="L324" s="34" t="s">
        <v>48</v>
      </c>
      <c r="M324" s="33" t="n">
        <f>3455</f>
        <v>3455.0</v>
      </c>
      <c r="N324" s="34" t="s">
        <v>236</v>
      </c>
      <c r="O324" s="33" t="n">
        <f>3225</f>
        <v>3225.0</v>
      </c>
      <c r="P324" s="34" t="s">
        <v>50</v>
      </c>
      <c r="Q324" s="33" t="n">
        <f>3245</f>
        <v>3245.0</v>
      </c>
      <c r="R324" s="34" t="s">
        <v>50</v>
      </c>
      <c r="S324" s="35" t="n">
        <f>3350.56</f>
        <v>3350.56</v>
      </c>
      <c r="T324" s="32" t="n">
        <f>11124</f>
        <v>11124.0</v>
      </c>
      <c r="U324" s="32" t="str">
        <f>"－"</f>
        <v>－</v>
      </c>
      <c r="V324" s="32" t="n">
        <f>37522480</f>
        <v>3.752248E7</v>
      </c>
      <c r="W324" s="32" t="str">
        <f>"－"</f>
        <v>－</v>
      </c>
      <c r="X324" s="36" t="n">
        <f>18</f>
        <v>18.0</v>
      </c>
    </row>
    <row r="325">
      <c r="A325" s="27" t="s">
        <v>42</v>
      </c>
      <c r="B325" s="27" t="s">
        <v>1018</v>
      </c>
      <c r="C325" s="27" t="s">
        <v>1019</v>
      </c>
      <c r="D325" s="27" t="s">
        <v>1020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1478</f>
        <v>1478.0</v>
      </c>
      <c r="L325" s="34" t="s">
        <v>48</v>
      </c>
      <c r="M325" s="33" t="n">
        <f>1520</f>
        <v>1520.0</v>
      </c>
      <c r="N325" s="34" t="s">
        <v>79</v>
      </c>
      <c r="O325" s="33" t="n">
        <f>1424</f>
        <v>1424.0</v>
      </c>
      <c r="P325" s="34" t="s">
        <v>50</v>
      </c>
      <c r="Q325" s="33" t="n">
        <f>1436</f>
        <v>1436.0</v>
      </c>
      <c r="R325" s="34" t="s">
        <v>50</v>
      </c>
      <c r="S325" s="35" t="n">
        <f>1464.17</f>
        <v>1464.17</v>
      </c>
      <c r="T325" s="32" t="n">
        <f>45808</f>
        <v>45808.0</v>
      </c>
      <c r="U325" s="32" t="str">
        <f>"－"</f>
        <v>－</v>
      </c>
      <c r="V325" s="32" t="n">
        <f>66953874</f>
        <v>6.6953874E7</v>
      </c>
      <c r="W325" s="32" t="str">
        <f>"－"</f>
        <v>－</v>
      </c>
      <c r="X325" s="36" t="n">
        <f>18</f>
        <v>18.0</v>
      </c>
    </row>
    <row r="326">
      <c r="A326" s="27" t="s">
        <v>42</v>
      </c>
      <c r="B326" s="27" t="s">
        <v>1021</v>
      </c>
      <c r="C326" s="27" t="s">
        <v>1022</v>
      </c>
      <c r="D326" s="27" t="s">
        <v>1023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2104</f>
        <v>2104.0</v>
      </c>
      <c r="L326" s="34" t="s">
        <v>48</v>
      </c>
      <c r="M326" s="33" t="n">
        <f>2147</f>
        <v>2147.0</v>
      </c>
      <c r="N326" s="34" t="s">
        <v>69</v>
      </c>
      <c r="O326" s="33" t="n">
        <f>1964</f>
        <v>1964.0</v>
      </c>
      <c r="P326" s="34" t="s">
        <v>50</v>
      </c>
      <c r="Q326" s="33" t="n">
        <f>1977</f>
        <v>1977.0</v>
      </c>
      <c r="R326" s="34" t="s">
        <v>50</v>
      </c>
      <c r="S326" s="35" t="n">
        <f>2061.28</f>
        <v>2061.28</v>
      </c>
      <c r="T326" s="32" t="n">
        <f>279903</f>
        <v>279903.0</v>
      </c>
      <c r="U326" s="32" t="n">
        <f>40001</f>
        <v>40001.0</v>
      </c>
      <c r="V326" s="32" t="n">
        <f>580427154</f>
        <v>5.80427154E8</v>
      </c>
      <c r="W326" s="32" t="n">
        <f>83697072</f>
        <v>8.3697072E7</v>
      </c>
      <c r="X326" s="36" t="n">
        <f>18</f>
        <v>18.0</v>
      </c>
    </row>
    <row r="327">
      <c r="A327" s="27" t="s">
        <v>42</v>
      </c>
      <c r="B327" s="27" t="s">
        <v>1024</v>
      </c>
      <c r="C327" s="27" t="s">
        <v>1025</v>
      </c>
      <c r="D327" s="27" t="s">
        <v>1026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1651</f>
        <v>1651.0</v>
      </c>
      <c r="L327" s="34" t="s">
        <v>48</v>
      </c>
      <c r="M327" s="33" t="n">
        <f>1701</f>
        <v>1701.0</v>
      </c>
      <c r="N327" s="34" t="s">
        <v>60</v>
      </c>
      <c r="O327" s="33" t="n">
        <f>1600</f>
        <v>1600.0</v>
      </c>
      <c r="P327" s="34" t="s">
        <v>50</v>
      </c>
      <c r="Q327" s="33" t="n">
        <f>1610</f>
        <v>1610.0</v>
      </c>
      <c r="R327" s="34" t="s">
        <v>50</v>
      </c>
      <c r="S327" s="35" t="n">
        <f>1642.83</f>
        <v>1642.83</v>
      </c>
      <c r="T327" s="32" t="n">
        <f>36534</f>
        <v>36534.0</v>
      </c>
      <c r="U327" s="32" t="str">
        <f>"－"</f>
        <v>－</v>
      </c>
      <c r="V327" s="32" t="n">
        <f>60144174</f>
        <v>6.0144174E7</v>
      </c>
      <c r="W327" s="32" t="str">
        <f>"－"</f>
        <v>－</v>
      </c>
      <c r="X327" s="36" t="n">
        <f>18</f>
        <v>18.0</v>
      </c>
    </row>
    <row r="328">
      <c r="A328" s="27" t="s">
        <v>42</v>
      </c>
      <c r="B328" s="27" t="s">
        <v>1027</v>
      </c>
      <c r="C328" s="27" t="s">
        <v>1028</v>
      </c>
      <c r="D328" s="27" t="s">
        <v>1029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3570</f>
        <v>3570.0</v>
      </c>
      <c r="L328" s="34" t="s">
        <v>48</v>
      </c>
      <c r="M328" s="33" t="n">
        <f>4285</f>
        <v>4285.0</v>
      </c>
      <c r="N328" s="34" t="s">
        <v>79</v>
      </c>
      <c r="O328" s="33" t="n">
        <f>3540</f>
        <v>3540.0</v>
      </c>
      <c r="P328" s="34" t="s">
        <v>48</v>
      </c>
      <c r="Q328" s="33" t="n">
        <f>3945</f>
        <v>3945.0</v>
      </c>
      <c r="R328" s="34" t="s">
        <v>50</v>
      </c>
      <c r="S328" s="35" t="n">
        <f>3936.11</f>
        <v>3936.11</v>
      </c>
      <c r="T328" s="32" t="n">
        <f>237489</f>
        <v>237489.0</v>
      </c>
      <c r="U328" s="32" t="n">
        <f>26070</f>
        <v>26070.0</v>
      </c>
      <c r="V328" s="32" t="n">
        <f>937786160</f>
        <v>9.3778616E8</v>
      </c>
      <c r="W328" s="32" t="n">
        <f>102919595</f>
        <v>1.02919595E8</v>
      </c>
      <c r="X328" s="36" t="n">
        <f>18</f>
        <v>18.0</v>
      </c>
    </row>
    <row r="329">
      <c r="A329" s="27" t="s">
        <v>42</v>
      </c>
      <c r="B329" s="27" t="s">
        <v>1030</v>
      </c>
      <c r="C329" s="27" t="s">
        <v>1031</v>
      </c>
      <c r="D329" s="27" t="s">
        <v>1032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3180</f>
        <v>3180.0</v>
      </c>
      <c r="L329" s="34" t="s">
        <v>48</v>
      </c>
      <c r="M329" s="33" t="n">
        <f>3295</f>
        <v>3295.0</v>
      </c>
      <c r="N329" s="34" t="s">
        <v>79</v>
      </c>
      <c r="O329" s="33" t="n">
        <f>3130</f>
        <v>3130.0</v>
      </c>
      <c r="P329" s="34" t="s">
        <v>48</v>
      </c>
      <c r="Q329" s="33" t="n">
        <f>3190</f>
        <v>3190.0</v>
      </c>
      <c r="R329" s="34" t="s">
        <v>50</v>
      </c>
      <c r="S329" s="35" t="n">
        <f>3225.56</f>
        <v>3225.56</v>
      </c>
      <c r="T329" s="32" t="n">
        <f>194806</f>
        <v>194806.0</v>
      </c>
      <c r="U329" s="32" t="n">
        <f>230</f>
        <v>230.0</v>
      </c>
      <c r="V329" s="32" t="n">
        <f>627584530</f>
        <v>6.2758453E8</v>
      </c>
      <c r="W329" s="32" t="n">
        <f>737435</f>
        <v>737435.0</v>
      </c>
      <c r="X329" s="36" t="n">
        <f>18</f>
        <v>18.0</v>
      </c>
    </row>
    <row r="330">
      <c r="A330" s="27" t="s">
        <v>42</v>
      </c>
      <c r="B330" s="27" t="s">
        <v>1033</v>
      </c>
      <c r="C330" s="27" t="s">
        <v>1034</v>
      </c>
      <c r="D330" s="27" t="s">
        <v>1035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36130</f>
        <v>36130.0</v>
      </c>
      <c r="L330" s="34" t="s">
        <v>48</v>
      </c>
      <c r="M330" s="33" t="n">
        <f>37210</f>
        <v>37210.0</v>
      </c>
      <c r="N330" s="34" t="s">
        <v>83</v>
      </c>
      <c r="O330" s="33" t="n">
        <f>35520</f>
        <v>35520.0</v>
      </c>
      <c r="P330" s="34" t="s">
        <v>50</v>
      </c>
      <c r="Q330" s="33" t="n">
        <f>35530</f>
        <v>35530.0</v>
      </c>
      <c r="R330" s="34" t="s">
        <v>50</v>
      </c>
      <c r="S330" s="35" t="n">
        <f>36175.83</f>
        <v>36175.83</v>
      </c>
      <c r="T330" s="32" t="n">
        <f>633</f>
        <v>633.0</v>
      </c>
      <c r="U330" s="32" t="str">
        <f>"－"</f>
        <v>－</v>
      </c>
      <c r="V330" s="32" t="n">
        <f>22501420</f>
        <v>2.250142E7</v>
      </c>
      <c r="W330" s="32" t="str">
        <f>"－"</f>
        <v>－</v>
      </c>
      <c r="X330" s="36" t="n">
        <f>12</f>
        <v>12.0</v>
      </c>
    </row>
    <row r="331">
      <c r="A331" s="27" t="s">
        <v>42</v>
      </c>
      <c r="B331" s="27" t="s">
        <v>1036</v>
      </c>
      <c r="C331" s="27" t="s">
        <v>1037</v>
      </c>
      <c r="D331" s="27" t="s">
        <v>1038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2930</f>
        <v>2930.0</v>
      </c>
      <c r="L331" s="34" t="s">
        <v>68</v>
      </c>
      <c r="M331" s="33" t="n">
        <f>2952</f>
        <v>2952.0</v>
      </c>
      <c r="N331" s="34" t="s">
        <v>49</v>
      </c>
      <c r="O331" s="33" t="n">
        <f>2801</f>
        <v>2801.0</v>
      </c>
      <c r="P331" s="34" t="s">
        <v>50</v>
      </c>
      <c r="Q331" s="33" t="n">
        <f>2824</f>
        <v>2824.0</v>
      </c>
      <c r="R331" s="34" t="s">
        <v>50</v>
      </c>
      <c r="S331" s="35" t="n">
        <f>2905.73</f>
        <v>2905.73</v>
      </c>
      <c r="T331" s="32" t="n">
        <f>3473</f>
        <v>3473.0</v>
      </c>
      <c r="U331" s="32" t="n">
        <f>1</f>
        <v>1.0</v>
      </c>
      <c r="V331" s="32" t="n">
        <f>10100575</f>
        <v>1.0100575E7</v>
      </c>
      <c r="W331" s="32" t="n">
        <f>2920</f>
        <v>2920.0</v>
      </c>
      <c r="X331" s="36" t="n">
        <f>15</f>
        <v>15.0</v>
      </c>
    </row>
    <row r="332">
      <c r="A332" s="27" t="s">
        <v>42</v>
      </c>
      <c r="B332" s="27" t="s">
        <v>1039</v>
      </c>
      <c r="C332" s="27" t="s">
        <v>1040</v>
      </c>
      <c r="D332" s="27" t="s">
        <v>1041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1752</f>
        <v>1752.0</v>
      </c>
      <c r="L332" s="34" t="s">
        <v>48</v>
      </c>
      <c r="M332" s="33" t="n">
        <f>1930</f>
        <v>1930.0</v>
      </c>
      <c r="N332" s="34" t="s">
        <v>156</v>
      </c>
      <c r="O332" s="33" t="n">
        <f>1723</f>
        <v>1723.0</v>
      </c>
      <c r="P332" s="34" t="s">
        <v>50</v>
      </c>
      <c r="Q332" s="33" t="n">
        <f>1733</f>
        <v>1733.0</v>
      </c>
      <c r="R332" s="34" t="s">
        <v>50</v>
      </c>
      <c r="S332" s="35" t="n">
        <f>1833.56</f>
        <v>1833.56</v>
      </c>
      <c r="T332" s="32" t="n">
        <f>8430735</f>
        <v>8430735.0</v>
      </c>
      <c r="U332" s="32" t="n">
        <f>238624</f>
        <v>238624.0</v>
      </c>
      <c r="V332" s="32" t="n">
        <f>15296319519</f>
        <v>1.5296319519E10</v>
      </c>
      <c r="W332" s="32" t="n">
        <f>419196841</f>
        <v>4.19196841E8</v>
      </c>
      <c r="X332" s="36" t="n">
        <f>18</f>
        <v>18.0</v>
      </c>
    </row>
    <row r="333">
      <c r="A333" s="27" t="s">
        <v>42</v>
      </c>
      <c r="B333" s="27" t="s">
        <v>1042</v>
      </c>
      <c r="C333" s="27" t="s">
        <v>1043</v>
      </c>
      <c r="D333" s="27" t="s">
        <v>1044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2511</f>
        <v>2511.0</v>
      </c>
      <c r="L333" s="34" t="s">
        <v>48</v>
      </c>
      <c r="M333" s="33" t="n">
        <f>2657</f>
        <v>2657.0</v>
      </c>
      <c r="N333" s="34" t="s">
        <v>236</v>
      </c>
      <c r="O333" s="33" t="n">
        <f>2476</f>
        <v>2476.0</v>
      </c>
      <c r="P333" s="34" t="s">
        <v>50</v>
      </c>
      <c r="Q333" s="33" t="n">
        <f>2576</f>
        <v>2576.0</v>
      </c>
      <c r="R333" s="34" t="s">
        <v>50</v>
      </c>
      <c r="S333" s="35" t="n">
        <f>2559.67</f>
        <v>2559.67</v>
      </c>
      <c r="T333" s="32" t="n">
        <f>33132</f>
        <v>33132.0</v>
      </c>
      <c r="U333" s="32" t="n">
        <f>470</f>
        <v>470.0</v>
      </c>
      <c r="V333" s="32" t="n">
        <f>85234552</f>
        <v>8.5234552E7</v>
      </c>
      <c r="W333" s="32" t="n">
        <f>1233313</f>
        <v>1233313.0</v>
      </c>
      <c r="X333" s="36" t="n">
        <f>18</f>
        <v>18.0</v>
      </c>
    </row>
    <row r="334">
      <c r="A334" s="27" t="s">
        <v>42</v>
      </c>
      <c r="B334" s="27" t="s">
        <v>1045</v>
      </c>
      <c r="C334" s="27" t="s">
        <v>1046</v>
      </c>
      <c r="D334" s="27" t="s">
        <v>1047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1620</f>
        <v>1620.0</v>
      </c>
      <c r="L334" s="34" t="s">
        <v>48</v>
      </c>
      <c r="M334" s="33" t="n">
        <f>1673</f>
        <v>1673.0</v>
      </c>
      <c r="N334" s="34" t="s">
        <v>103</v>
      </c>
      <c r="O334" s="33" t="n">
        <f>1580</f>
        <v>1580.0</v>
      </c>
      <c r="P334" s="34" t="s">
        <v>99</v>
      </c>
      <c r="Q334" s="33" t="n">
        <f>1595</f>
        <v>1595.0</v>
      </c>
      <c r="R334" s="34" t="s">
        <v>50</v>
      </c>
      <c r="S334" s="35" t="n">
        <f>1610.28</f>
        <v>1610.28</v>
      </c>
      <c r="T334" s="32" t="n">
        <f>31555</f>
        <v>31555.0</v>
      </c>
      <c r="U334" s="32" t="str">
        <f>"－"</f>
        <v>－</v>
      </c>
      <c r="V334" s="32" t="n">
        <f>50399104</f>
        <v>5.0399104E7</v>
      </c>
      <c r="W334" s="32" t="str">
        <f>"－"</f>
        <v>－</v>
      </c>
      <c r="X334" s="36" t="n">
        <f>18</f>
        <v>18.0</v>
      </c>
    </row>
    <row r="335">
      <c r="A335" s="27" t="s">
        <v>42</v>
      </c>
      <c r="B335" s="27" t="s">
        <v>1048</v>
      </c>
      <c r="C335" s="27" t="s">
        <v>1049</v>
      </c>
      <c r="D335" s="27" t="s">
        <v>1050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10.0</v>
      </c>
      <c r="K335" s="33" t="n">
        <f>5692</f>
        <v>5692.0</v>
      </c>
      <c r="L335" s="34" t="s">
        <v>48</v>
      </c>
      <c r="M335" s="33" t="n">
        <f>5745</f>
        <v>5745.0</v>
      </c>
      <c r="N335" s="34" t="s">
        <v>48</v>
      </c>
      <c r="O335" s="33" t="n">
        <f>5529</f>
        <v>5529.0</v>
      </c>
      <c r="P335" s="34" t="s">
        <v>156</v>
      </c>
      <c r="Q335" s="33" t="n">
        <f>5638</f>
        <v>5638.0</v>
      </c>
      <c r="R335" s="34" t="s">
        <v>50</v>
      </c>
      <c r="S335" s="35" t="n">
        <f>5621.73</f>
        <v>5621.73</v>
      </c>
      <c r="T335" s="32" t="n">
        <f>80720</f>
        <v>80720.0</v>
      </c>
      <c r="U335" s="32" t="n">
        <f>78300</f>
        <v>78300.0</v>
      </c>
      <c r="V335" s="32" t="n">
        <f>453199061</f>
        <v>4.53199061E8</v>
      </c>
      <c r="W335" s="32" t="n">
        <f>439572731</f>
        <v>4.39572731E8</v>
      </c>
      <c r="X335" s="36" t="n">
        <f>15</f>
        <v>15.0</v>
      </c>
    </row>
    <row r="336">
      <c r="A336" s="27" t="s">
        <v>42</v>
      </c>
      <c r="B336" s="27" t="s">
        <v>1051</v>
      </c>
      <c r="C336" s="27" t="s">
        <v>1052</v>
      </c>
      <c r="D336" s="27" t="s">
        <v>1053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10.0</v>
      </c>
      <c r="K336" s="33" t="n">
        <f>3549</f>
        <v>3549.0</v>
      </c>
      <c r="L336" s="34" t="s">
        <v>48</v>
      </c>
      <c r="M336" s="33" t="n">
        <f>3628</f>
        <v>3628.0</v>
      </c>
      <c r="N336" s="34" t="s">
        <v>50</v>
      </c>
      <c r="O336" s="33" t="n">
        <f>3521</f>
        <v>3521.0</v>
      </c>
      <c r="P336" s="34" t="s">
        <v>69</v>
      </c>
      <c r="Q336" s="33" t="n">
        <f>3624</f>
        <v>3624.0</v>
      </c>
      <c r="R336" s="34" t="s">
        <v>50</v>
      </c>
      <c r="S336" s="35" t="n">
        <f>3563.06</f>
        <v>3563.06</v>
      </c>
      <c r="T336" s="32" t="n">
        <f>1694180</f>
        <v>1694180.0</v>
      </c>
      <c r="U336" s="32" t="n">
        <f>1665300</f>
        <v>1665300.0</v>
      </c>
      <c r="V336" s="32" t="n">
        <f>6115722072</f>
        <v>6.115722072E9</v>
      </c>
      <c r="W336" s="32" t="n">
        <f>6013142052</f>
        <v>6.013142052E9</v>
      </c>
      <c r="X336" s="36" t="n">
        <f>16</f>
        <v>16.0</v>
      </c>
    </row>
    <row r="337">
      <c r="A337" s="27" t="s">
        <v>42</v>
      </c>
      <c r="B337" s="27" t="s">
        <v>1054</v>
      </c>
      <c r="C337" s="27" t="s">
        <v>1055</v>
      </c>
      <c r="D337" s="27" t="s">
        <v>1056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10.0</v>
      </c>
      <c r="K337" s="33" t="n">
        <f>604.9</f>
        <v>604.9</v>
      </c>
      <c r="L337" s="34" t="s">
        <v>48</v>
      </c>
      <c r="M337" s="33" t="n">
        <f>617.1</f>
        <v>617.1</v>
      </c>
      <c r="N337" s="34" t="s">
        <v>50</v>
      </c>
      <c r="O337" s="33" t="n">
        <f>601.7</f>
        <v>601.7</v>
      </c>
      <c r="P337" s="34" t="s">
        <v>69</v>
      </c>
      <c r="Q337" s="33" t="n">
        <f>616.8</f>
        <v>616.8</v>
      </c>
      <c r="R337" s="34" t="s">
        <v>50</v>
      </c>
      <c r="S337" s="35" t="n">
        <f>608.89</f>
        <v>608.89</v>
      </c>
      <c r="T337" s="32" t="n">
        <f>819000</f>
        <v>819000.0</v>
      </c>
      <c r="U337" s="32" t="n">
        <f>812000</f>
        <v>812000.0</v>
      </c>
      <c r="V337" s="32" t="n">
        <f>496582807</f>
        <v>4.96582807E8</v>
      </c>
      <c r="W337" s="32" t="n">
        <f>492315600</f>
        <v>4.923156E8</v>
      </c>
      <c r="X337" s="36" t="n">
        <f>16</f>
        <v>16.0</v>
      </c>
    </row>
    <row r="338">
      <c r="A338" s="27" t="s">
        <v>42</v>
      </c>
      <c r="B338" s="27" t="s">
        <v>1057</v>
      </c>
      <c r="C338" s="27" t="s">
        <v>1058</v>
      </c>
      <c r="D338" s="27" t="s">
        <v>1059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10210</f>
        <v>10210.0</v>
      </c>
      <c r="L338" s="34" t="s">
        <v>48</v>
      </c>
      <c r="M338" s="33" t="n">
        <f>10405</f>
        <v>10405.0</v>
      </c>
      <c r="N338" s="34" t="s">
        <v>157</v>
      </c>
      <c r="O338" s="33" t="n">
        <f>9668</f>
        <v>9668.0</v>
      </c>
      <c r="P338" s="34" t="s">
        <v>50</v>
      </c>
      <c r="Q338" s="33" t="n">
        <f>9765</f>
        <v>9765.0</v>
      </c>
      <c r="R338" s="34" t="s">
        <v>50</v>
      </c>
      <c r="S338" s="35" t="n">
        <f>10064.83</f>
        <v>10064.83</v>
      </c>
      <c r="T338" s="32" t="n">
        <f>9660</f>
        <v>9660.0</v>
      </c>
      <c r="U338" s="32" t="str">
        <f>"－"</f>
        <v>－</v>
      </c>
      <c r="V338" s="32" t="n">
        <f>96913307</f>
        <v>9.6913307E7</v>
      </c>
      <c r="W338" s="32" t="str">
        <f>"－"</f>
        <v>－</v>
      </c>
      <c r="X338" s="36" t="n">
        <f>18</f>
        <v>18.0</v>
      </c>
    </row>
    <row r="339">
      <c r="A339" s="27" t="s">
        <v>42</v>
      </c>
      <c r="B339" s="27" t="s">
        <v>1060</v>
      </c>
      <c r="C339" s="27" t="s">
        <v>1061</v>
      </c>
      <c r="D339" s="27" t="s">
        <v>1062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1004</f>
        <v>1004.0</v>
      </c>
      <c r="L339" s="34" t="s">
        <v>48</v>
      </c>
      <c r="M339" s="33" t="n">
        <f>1074</f>
        <v>1074.0</v>
      </c>
      <c r="N339" s="34" t="s">
        <v>83</v>
      </c>
      <c r="O339" s="33" t="n">
        <f>945</f>
        <v>945.0</v>
      </c>
      <c r="P339" s="34" t="s">
        <v>50</v>
      </c>
      <c r="Q339" s="33" t="n">
        <f>955</f>
        <v>955.0</v>
      </c>
      <c r="R339" s="34" t="s">
        <v>50</v>
      </c>
      <c r="S339" s="35" t="n">
        <f>1021.56</f>
        <v>1021.56</v>
      </c>
      <c r="T339" s="32" t="n">
        <f>985730</f>
        <v>985730.0</v>
      </c>
      <c r="U339" s="32" t="n">
        <f>430000</f>
        <v>430000.0</v>
      </c>
      <c r="V339" s="32" t="n">
        <f>987495946</f>
        <v>9.87495946E8</v>
      </c>
      <c r="W339" s="32" t="n">
        <f>428912632</f>
        <v>4.28912632E8</v>
      </c>
      <c r="X339" s="36" t="n">
        <f>18</f>
        <v>18.0</v>
      </c>
    </row>
    <row r="340">
      <c r="A340" s="27" t="s">
        <v>42</v>
      </c>
      <c r="B340" s="27" t="s">
        <v>1063</v>
      </c>
      <c r="C340" s="27" t="s">
        <v>1064</v>
      </c>
      <c r="D340" s="27" t="s">
        <v>1065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2834</f>
        <v>2834.0</v>
      </c>
      <c r="L340" s="34" t="s">
        <v>48</v>
      </c>
      <c r="M340" s="33" t="n">
        <f>3000</f>
        <v>3000.0</v>
      </c>
      <c r="N340" s="34" t="s">
        <v>69</v>
      </c>
      <c r="O340" s="33" t="n">
        <f>2764</f>
        <v>2764.0</v>
      </c>
      <c r="P340" s="34" t="s">
        <v>50</v>
      </c>
      <c r="Q340" s="33" t="n">
        <f>2774</f>
        <v>2774.0</v>
      </c>
      <c r="R340" s="34" t="s">
        <v>50</v>
      </c>
      <c r="S340" s="35" t="n">
        <f>2858.61</f>
        <v>2858.61</v>
      </c>
      <c r="T340" s="32" t="n">
        <f>5227</f>
        <v>5227.0</v>
      </c>
      <c r="U340" s="32" t="str">
        <f>"－"</f>
        <v>－</v>
      </c>
      <c r="V340" s="32" t="n">
        <f>15140809</f>
        <v>1.5140809E7</v>
      </c>
      <c r="W340" s="32" t="str">
        <f>"－"</f>
        <v>－</v>
      </c>
      <c r="X340" s="36" t="n">
        <f>18</f>
        <v>18.0</v>
      </c>
    </row>
    <row r="341">
      <c r="A341" s="27" t="s">
        <v>42</v>
      </c>
      <c r="B341" s="27" t="s">
        <v>1066</v>
      </c>
      <c r="C341" s="27" t="s">
        <v>1067</v>
      </c>
      <c r="D341" s="27" t="s">
        <v>1068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2269</f>
        <v>2269.0</v>
      </c>
      <c r="L341" s="34" t="s">
        <v>48</v>
      </c>
      <c r="M341" s="33" t="n">
        <f>2356</f>
        <v>2356.0</v>
      </c>
      <c r="N341" s="34" t="s">
        <v>79</v>
      </c>
      <c r="O341" s="33" t="n">
        <f>2185</f>
        <v>2185.0</v>
      </c>
      <c r="P341" s="34" t="s">
        <v>50</v>
      </c>
      <c r="Q341" s="33" t="n">
        <f>2185</f>
        <v>2185.0</v>
      </c>
      <c r="R341" s="34" t="s">
        <v>50</v>
      </c>
      <c r="S341" s="35" t="n">
        <f>2287.44</f>
        <v>2287.44</v>
      </c>
      <c r="T341" s="32" t="n">
        <f>683991</f>
        <v>683991.0</v>
      </c>
      <c r="U341" s="32" t="n">
        <f>6</f>
        <v>6.0</v>
      </c>
      <c r="V341" s="32" t="n">
        <f>1598302562</f>
        <v>1.598302562E9</v>
      </c>
      <c r="W341" s="32" t="n">
        <f>13787</f>
        <v>13787.0</v>
      </c>
      <c r="X341" s="36" t="n">
        <f>18</f>
        <v>18.0</v>
      </c>
    </row>
    <row r="342">
      <c r="A342" s="27" t="s">
        <v>42</v>
      </c>
      <c r="B342" s="27" t="s">
        <v>1069</v>
      </c>
      <c r="C342" s="27" t="s">
        <v>1070</v>
      </c>
      <c r="D342" s="27" t="s">
        <v>1071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8513</f>
        <v>8513.0</v>
      </c>
      <c r="L342" s="34" t="s">
        <v>48</v>
      </c>
      <c r="M342" s="33" t="n">
        <f>8577</f>
        <v>8577.0</v>
      </c>
      <c r="N342" s="34" t="s">
        <v>48</v>
      </c>
      <c r="O342" s="33" t="n">
        <f>8232</f>
        <v>8232.0</v>
      </c>
      <c r="P342" s="34" t="s">
        <v>83</v>
      </c>
      <c r="Q342" s="33" t="n">
        <f>8377</f>
        <v>8377.0</v>
      </c>
      <c r="R342" s="34" t="s">
        <v>50</v>
      </c>
      <c r="S342" s="35" t="n">
        <f>8361.72</f>
        <v>8361.72</v>
      </c>
      <c r="T342" s="32" t="n">
        <f>366916</f>
        <v>366916.0</v>
      </c>
      <c r="U342" s="32" t="n">
        <f>360000</f>
        <v>360000.0</v>
      </c>
      <c r="V342" s="32" t="n">
        <f>3032628577</f>
        <v>3.032628577E9</v>
      </c>
      <c r="W342" s="32" t="n">
        <f>2975079276</f>
        <v>2.975079276E9</v>
      </c>
      <c r="X342" s="36" t="n">
        <f>18</f>
        <v>18.0</v>
      </c>
    </row>
    <row r="343">
      <c r="A343" s="27" t="s">
        <v>42</v>
      </c>
      <c r="B343" s="27" t="s">
        <v>1072</v>
      </c>
      <c r="C343" s="27" t="s">
        <v>1073</v>
      </c>
      <c r="D343" s="27" t="s">
        <v>1074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5302</f>
        <v>5302.0</v>
      </c>
      <c r="L343" s="34" t="s">
        <v>48</v>
      </c>
      <c r="M343" s="33" t="n">
        <f>5486</f>
        <v>5486.0</v>
      </c>
      <c r="N343" s="34" t="s">
        <v>204</v>
      </c>
      <c r="O343" s="33" t="n">
        <f>5226</f>
        <v>5226.0</v>
      </c>
      <c r="P343" s="34" t="s">
        <v>69</v>
      </c>
      <c r="Q343" s="33" t="n">
        <f>5377</f>
        <v>5377.0</v>
      </c>
      <c r="R343" s="34" t="s">
        <v>50</v>
      </c>
      <c r="S343" s="35" t="n">
        <f>5295.67</f>
        <v>5295.67</v>
      </c>
      <c r="T343" s="32" t="n">
        <f>396609</f>
        <v>396609.0</v>
      </c>
      <c r="U343" s="32" t="n">
        <f>379101</f>
        <v>379101.0</v>
      </c>
      <c r="V343" s="32" t="n">
        <f>2125884347</f>
        <v>2.125884347E9</v>
      </c>
      <c r="W343" s="32" t="n">
        <f>2033800972</f>
        <v>2.033800972E9</v>
      </c>
      <c r="X343" s="36" t="n">
        <f>18</f>
        <v>18.0</v>
      </c>
    </row>
    <row r="344">
      <c r="A344" s="27" t="s">
        <v>42</v>
      </c>
      <c r="B344" s="27" t="s">
        <v>1075</v>
      </c>
      <c r="C344" s="27" t="s">
        <v>1076</v>
      </c>
      <c r="D344" s="27" t="s">
        <v>1077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1033</f>
        <v>1033.0</v>
      </c>
      <c r="L344" s="34" t="s">
        <v>48</v>
      </c>
      <c r="M344" s="33" t="n">
        <f>1048</f>
        <v>1048.0</v>
      </c>
      <c r="N344" s="34" t="s">
        <v>68</v>
      </c>
      <c r="O344" s="33" t="n">
        <f>975</f>
        <v>975.0</v>
      </c>
      <c r="P344" s="34" t="s">
        <v>50</v>
      </c>
      <c r="Q344" s="33" t="n">
        <f>985</f>
        <v>985.0</v>
      </c>
      <c r="R344" s="34" t="s">
        <v>50</v>
      </c>
      <c r="S344" s="35" t="n">
        <f>1022</f>
        <v>1022.0</v>
      </c>
      <c r="T344" s="32" t="n">
        <f>382640</f>
        <v>382640.0</v>
      </c>
      <c r="U344" s="32" t="str">
        <f>"－"</f>
        <v>－</v>
      </c>
      <c r="V344" s="32" t="n">
        <f>386911948</f>
        <v>3.86911948E8</v>
      </c>
      <c r="W344" s="32" t="str">
        <f>"－"</f>
        <v>－</v>
      </c>
      <c r="X344" s="36" t="n">
        <f>18</f>
        <v>18.0</v>
      </c>
    </row>
    <row r="345">
      <c r="A345" s="27" t="s">
        <v>42</v>
      </c>
      <c r="B345" s="27" t="s">
        <v>1078</v>
      </c>
      <c r="C345" s="27" t="s">
        <v>1079</v>
      </c>
      <c r="D345" s="27" t="s">
        <v>1080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1885</f>
        <v>1885.0</v>
      </c>
      <c r="L345" s="34" t="s">
        <v>48</v>
      </c>
      <c r="M345" s="33" t="n">
        <f>1951</f>
        <v>1951.0</v>
      </c>
      <c r="N345" s="34" t="s">
        <v>236</v>
      </c>
      <c r="O345" s="33" t="n">
        <f>1767</f>
        <v>1767.0</v>
      </c>
      <c r="P345" s="34" t="s">
        <v>50</v>
      </c>
      <c r="Q345" s="33" t="n">
        <f>1783</f>
        <v>1783.0</v>
      </c>
      <c r="R345" s="34" t="s">
        <v>50</v>
      </c>
      <c r="S345" s="35" t="n">
        <f>1897.44</f>
        <v>1897.44</v>
      </c>
      <c r="T345" s="32" t="n">
        <f>2012674</f>
        <v>2012674.0</v>
      </c>
      <c r="U345" s="32" t="n">
        <f>110712</f>
        <v>110712.0</v>
      </c>
      <c r="V345" s="32" t="n">
        <f>3774156171</f>
        <v>3.774156171E9</v>
      </c>
      <c r="W345" s="32" t="n">
        <f>200900434</f>
        <v>2.00900434E8</v>
      </c>
      <c r="X345" s="36" t="n">
        <f>18</f>
        <v>18.0</v>
      </c>
    </row>
    <row r="346">
      <c r="A346" s="27" t="s">
        <v>42</v>
      </c>
      <c r="B346" s="27" t="s">
        <v>1081</v>
      </c>
      <c r="C346" s="27" t="s">
        <v>1082</v>
      </c>
      <c r="D346" s="27" t="s">
        <v>1083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1271</f>
        <v>1271.0</v>
      </c>
      <c r="L346" s="34" t="s">
        <v>48</v>
      </c>
      <c r="M346" s="33" t="n">
        <f>1345</f>
        <v>1345.0</v>
      </c>
      <c r="N346" s="34" t="s">
        <v>236</v>
      </c>
      <c r="O346" s="33" t="n">
        <f>1239</f>
        <v>1239.0</v>
      </c>
      <c r="P346" s="34" t="s">
        <v>50</v>
      </c>
      <c r="Q346" s="33" t="n">
        <f>1247</f>
        <v>1247.0</v>
      </c>
      <c r="R346" s="34" t="s">
        <v>50</v>
      </c>
      <c r="S346" s="35" t="n">
        <f>1308.17</f>
        <v>1308.17</v>
      </c>
      <c r="T346" s="32" t="n">
        <f>1710461</f>
        <v>1710461.0</v>
      </c>
      <c r="U346" s="32" t="str">
        <f>"－"</f>
        <v>－</v>
      </c>
      <c r="V346" s="32" t="n">
        <f>2222977034</f>
        <v>2.222977034E9</v>
      </c>
      <c r="W346" s="32" t="str">
        <f>"－"</f>
        <v>－</v>
      </c>
      <c r="X346" s="36" t="n">
        <f>18</f>
        <v>18.0</v>
      </c>
    </row>
    <row r="347">
      <c r="A347" s="27" t="s">
        <v>42</v>
      </c>
      <c r="B347" s="27" t="s">
        <v>1084</v>
      </c>
      <c r="C347" s="27" t="s">
        <v>1085</v>
      </c>
      <c r="D347" s="27" t="s">
        <v>1086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17660</f>
        <v>17660.0</v>
      </c>
      <c r="L347" s="34" t="s">
        <v>48</v>
      </c>
      <c r="M347" s="33" t="n">
        <f>18240</f>
        <v>18240.0</v>
      </c>
      <c r="N347" s="34" t="s">
        <v>68</v>
      </c>
      <c r="O347" s="33" t="n">
        <f>16710</f>
        <v>16710.0</v>
      </c>
      <c r="P347" s="34" t="s">
        <v>236</v>
      </c>
      <c r="Q347" s="33" t="n">
        <f>18015</f>
        <v>18015.0</v>
      </c>
      <c r="R347" s="34" t="s">
        <v>50</v>
      </c>
      <c r="S347" s="35" t="n">
        <f>17203.61</f>
        <v>17203.61</v>
      </c>
      <c r="T347" s="32" t="n">
        <f>88753</f>
        <v>88753.0</v>
      </c>
      <c r="U347" s="32" t="n">
        <f>64</f>
        <v>64.0</v>
      </c>
      <c r="V347" s="32" t="n">
        <f>1550610470</f>
        <v>1.55061047E9</v>
      </c>
      <c r="W347" s="32" t="n">
        <f>1087930</f>
        <v>1087930.0</v>
      </c>
      <c r="X347" s="36" t="n">
        <f>18</f>
        <v>18.0</v>
      </c>
    </row>
    <row r="348">
      <c r="A348" s="27" t="s">
        <v>42</v>
      </c>
      <c r="B348" s="27" t="s">
        <v>1087</v>
      </c>
      <c r="C348" s="27" t="s">
        <v>1088</v>
      </c>
      <c r="D348" s="27" t="s">
        <v>1089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10.0</v>
      </c>
      <c r="K348" s="33" t="n">
        <f>4035</f>
        <v>4035.0</v>
      </c>
      <c r="L348" s="34" t="s">
        <v>161</v>
      </c>
      <c r="M348" s="33" t="n">
        <f>4035</f>
        <v>4035.0</v>
      </c>
      <c r="N348" s="34" t="s">
        <v>161</v>
      </c>
      <c r="O348" s="33" t="n">
        <f>3938</f>
        <v>3938.0</v>
      </c>
      <c r="P348" s="34" t="s">
        <v>157</v>
      </c>
      <c r="Q348" s="33" t="n">
        <f>4010</f>
        <v>4010.0</v>
      </c>
      <c r="R348" s="34" t="s">
        <v>50</v>
      </c>
      <c r="S348" s="35" t="n">
        <f>3990.56</f>
        <v>3990.56</v>
      </c>
      <c r="T348" s="32" t="n">
        <f>283330</f>
        <v>283330.0</v>
      </c>
      <c r="U348" s="32" t="n">
        <f>269310</f>
        <v>269310.0</v>
      </c>
      <c r="V348" s="32" t="n">
        <f>1120228170</f>
        <v>1.12022817E9</v>
      </c>
      <c r="W348" s="32" t="n">
        <f>1064719870</f>
        <v>1.06471987E9</v>
      </c>
      <c r="X348" s="36" t="n">
        <f>9</f>
        <v>9.0</v>
      </c>
    </row>
    <row r="349">
      <c r="A349" s="27" t="s">
        <v>42</v>
      </c>
      <c r="B349" s="27" t="s">
        <v>1090</v>
      </c>
      <c r="C349" s="27" t="s">
        <v>1091</v>
      </c>
      <c r="D349" s="27" t="s">
        <v>1092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10.0</v>
      </c>
      <c r="K349" s="33" t="n">
        <f>5013</f>
        <v>5013.0</v>
      </c>
      <c r="L349" s="34" t="s">
        <v>48</v>
      </c>
      <c r="M349" s="33" t="n">
        <f>5049</f>
        <v>5049.0</v>
      </c>
      <c r="N349" s="34" t="s">
        <v>68</v>
      </c>
      <c r="O349" s="33" t="n">
        <f>4827</f>
        <v>4827.0</v>
      </c>
      <c r="P349" s="34" t="s">
        <v>50</v>
      </c>
      <c r="Q349" s="33" t="n">
        <f>4849</f>
        <v>4849.0</v>
      </c>
      <c r="R349" s="34" t="s">
        <v>50</v>
      </c>
      <c r="S349" s="35" t="n">
        <f>4950</f>
        <v>4950.0</v>
      </c>
      <c r="T349" s="32" t="n">
        <f>47670</f>
        <v>47670.0</v>
      </c>
      <c r="U349" s="32" t="n">
        <f>12000</f>
        <v>12000.0</v>
      </c>
      <c r="V349" s="32" t="n">
        <f>235160280</f>
        <v>2.3516028E8</v>
      </c>
      <c r="W349" s="32" t="n">
        <f>59320400</f>
        <v>5.93204E7</v>
      </c>
      <c r="X349" s="36" t="n">
        <f>18</f>
        <v>18.0</v>
      </c>
    </row>
    <row r="350">
      <c r="A350" s="27" t="s">
        <v>42</v>
      </c>
      <c r="B350" s="27" t="s">
        <v>1093</v>
      </c>
      <c r="C350" s="27" t="s">
        <v>1094</v>
      </c>
      <c r="D350" s="27" t="s">
        <v>1095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10.0</v>
      </c>
      <c r="K350" s="33" t="n">
        <f>2659.5</f>
        <v>2659.5</v>
      </c>
      <c r="L350" s="34" t="s">
        <v>48</v>
      </c>
      <c r="M350" s="33" t="n">
        <f>2802.5</f>
        <v>2802.5</v>
      </c>
      <c r="N350" s="34" t="s">
        <v>236</v>
      </c>
      <c r="O350" s="33" t="n">
        <f>2586.5</f>
        <v>2586.5</v>
      </c>
      <c r="P350" s="34" t="s">
        <v>50</v>
      </c>
      <c r="Q350" s="33" t="n">
        <f>2602</f>
        <v>2602.0</v>
      </c>
      <c r="R350" s="34" t="s">
        <v>50</v>
      </c>
      <c r="S350" s="35" t="n">
        <f>2735.31</f>
        <v>2735.31</v>
      </c>
      <c r="T350" s="32" t="n">
        <f>1798670</f>
        <v>1798670.0</v>
      </c>
      <c r="U350" s="32" t="n">
        <f>833380</f>
        <v>833380.0</v>
      </c>
      <c r="V350" s="32" t="n">
        <f>4892040735</f>
        <v>4.892040735E9</v>
      </c>
      <c r="W350" s="32" t="n">
        <f>2287047945</f>
        <v>2.287047945E9</v>
      </c>
      <c r="X350" s="36" t="n">
        <f>18</f>
        <v>18.0</v>
      </c>
    </row>
    <row r="351">
      <c r="A351" s="27" t="s">
        <v>42</v>
      </c>
      <c r="B351" s="27" t="s">
        <v>1096</v>
      </c>
      <c r="C351" s="27" t="s">
        <v>1097</v>
      </c>
      <c r="D351" s="27" t="s">
        <v>1098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10.0</v>
      </c>
      <c r="K351" s="33" t="n">
        <f>2246</f>
        <v>2246.0</v>
      </c>
      <c r="L351" s="34" t="s">
        <v>48</v>
      </c>
      <c r="M351" s="33" t="n">
        <f>2294.5</f>
        <v>2294.5</v>
      </c>
      <c r="N351" s="34" t="s">
        <v>61</v>
      </c>
      <c r="O351" s="33" t="n">
        <f>2184</f>
        <v>2184.0</v>
      </c>
      <c r="P351" s="34" t="s">
        <v>50</v>
      </c>
      <c r="Q351" s="33" t="n">
        <f>2190</f>
        <v>2190.0</v>
      </c>
      <c r="R351" s="34" t="s">
        <v>50</v>
      </c>
      <c r="S351" s="35" t="n">
        <f>2244.78</f>
        <v>2244.78</v>
      </c>
      <c r="T351" s="32" t="n">
        <f>185520</f>
        <v>185520.0</v>
      </c>
      <c r="U351" s="32" t="n">
        <f>10030</f>
        <v>10030.0</v>
      </c>
      <c r="V351" s="32" t="n">
        <f>417540610</f>
        <v>4.1754061E8</v>
      </c>
      <c r="W351" s="32" t="n">
        <f>22763430</f>
        <v>2.276343E7</v>
      </c>
      <c r="X351" s="36" t="n">
        <f>18</f>
        <v>18.0</v>
      </c>
    </row>
    <row r="352">
      <c r="A352" s="27" t="s">
        <v>42</v>
      </c>
      <c r="B352" s="27" t="s">
        <v>1099</v>
      </c>
      <c r="C352" s="27" t="s">
        <v>1100</v>
      </c>
      <c r="D352" s="27" t="s">
        <v>1101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1887</f>
        <v>1887.0</v>
      </c>
      <c r="L352" s="34" t="s">
        <v>48</v>
      </c>
      <c r="M352" s="33" t="n">
        <f>1937</f>
        <v>1937.0</v>
      </c>
      <c r="N352" s="34" t="s">
        <v>116</v>
      </c>
      <c r="O352" s="33" t="n">
        <f>1818</f>
        <v>1818.0</v>
      </c>
      <c r="P352" s="34" t="s">
        <v>50</v>
      </c>
      <c r="Q352" s="33" t="n">
        <f>1818</f>
        <v>1818.0</v>
      </c>
      <c r="R352" s="34" t="s">
        <v>50</v>
      </c>
      <c r="S352" s="35" t="n">
        <f>1872.56</f>
        <v>1872.56</v>
      </c>
      <c r="T352" s="32" t="n">
        <f>16276</f>
        <v>16276.0</v>
      </c>
      <c r="U352" s="32" t="str">
        <f>"－"</f>
        <v>－</v>
      </c>
      <c r="V352" s="32" t="n">
        <f>30553871</f>
        <v>3.0553871E7</v>
      </c>
      <c r="W352" s="32" t="str">
        <f>"－"</f>
        <v>－</v>
      </c>
      <c r="X352" s="36" t="n">
        <f>16</f>
        <v>16.0</v>
      </c>
    </row>
    <row r="353">
      <c r="A353" s="27" t="s">
        <v>42</v>
      </c>
      <c r="B353" s="27" t="s">
        <v>1102</v>
      </c>
      <c r="C353" s="27" t="s">
        <v>1103</v>
      </c>
      <c r="D353" s="27" t="s">
        <v>1104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2080</f>
        <v>2080.0</v>
      </c>
      <c r="L353" s="34" t="s">
        <v>48</v>
      </c>
      <c r="M353" s="33" t="n">
        <f>2159</f>
        <v>2159.0</v>
      </c>
      <c r="N353" s="34" t="s">
        <v>103</v>
      </c>
      <c r="O353" s="33" t="n">
        <f>2056</f>
        <v>2056.0</v>
      </c>
      <c r="P353" s="34" t="s">
        <v>50</v>
      </c>
      <c r="Q353" s="33" t="n">
        <f>2056</f>
        <v>2056.0</v>
      </c>
      <c r="R353" s="34" t="s">
        <v>50</v>
      </c>
      <c r="S353" s="35" t="n">
        <f>2111.57</f>
        <v>2111.57</v>
      </c>
      <c r="T353" s="32" t="n">
        <f>31279</f>
        <v>31279.0</v>
      </c>
      <c r="U353" s="32" t="str">
        <f>"－"</f>
        <v>－</v>
      </c>
      <c r="V353" s="32" t="n">
        <f>65835222</f>
        <v>6.5835222E7</v>
      </c>
      <c r="W353" s="32" t="str">
        <f>"－"</f>
        <v>－</v>
      </c>
      <c r="X353" s="36" t="n">
        <f>14</f>
        <v>14.0</v>
      </c>
    </row>
    <row r="354">
      <c r="A354" s="27" t="s">
        <v>42</v>
      </c>
      <c r="B354" s="27" t="s">
        <v>1105</v>
      </c>
      <c r="C354" s="27" t="s">
        <v>1106</v>
      </c>
      <c r="D354" s="27" t="s">
        <v>1107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4400</f>
        <v>4400.0</v>
      </c>
      <c r="L354" s="34" t="s">
        <v>48</v>
      </c>
      <c r="M354" s="33" t="n">
        <f>4475</f>
        <v>4475.0</v>
      </c>
      <c r="N354" s="34" t="s">
        <v>236</v>
      </c>
      <c r="O354" s="33" t="n">
        <f>4310</f>
        <v>4310.0</v>
      </c>
      <c r="P354" s="34" t="s">
        <v>103</v>
      </c>
      <c r="Q354" s="33" t="n">
        <f>4355</f>
        <v>4355.0</v>
      </c>
      <c r="R354" s="34" t="s">
        <v>50</v>
      </c>
      <c r="S354" s="35" t="n">
        <f>4384.44</f>
        <v>4384.44</v>
      </c>
      <c r="T354" s="32" t="n">
        <f>55308</f>
        <v>55308.0</v>
      </c>
      <c r="U354" s="32" t="str">
        <f>"－"</f>
        <v>－</v>
      </c>
      <c r="V354" s="32" t="n">
        <f>242622295</f>
        <v>2.42622295E8</v>
      </c>
      <c r="W354" s="32" t="str">
        <f>"－"</f>
        <v>－</v>
      </c>
      <c r="X354" s="36" t="n">
        <f>18</f>
        <v>18.0</v>
      </c>
    </row>
    <row r="355">
      <c r="A355" s="27" t="s">
        <v>42</v>
      </c>
      <c r="B355" s="27" t="s">
        <v>1108</v>
      </c>
      <c r="C355" s="27" t="s">
        <v>1109</v>
      </c>
      <c r="D355" s="27" t="s">
        <v>1110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10.0</v>
      </c>
      <c r="K355" s="33" t="n">
        <f>2035</f>
        <v>2035.0</v>
      </c>
      <c r="L355" s="34" t="s">
        <v>48</v>
      </c>
      <c r="M355" s="33" t="n">
        <f>2035</f>
        <v>2035.0</v>
      </c>
      <c r="N355" s="34" t="s">
        <v>48</v>
      </c>
      <c r="O355" s="33" t="n">
        <f>1912.5</f>
        <v>1912.5</v>
      </c>
      <c r="P355" s="34" t="s">
        <v>50</v>
      </c>
      <c r="Q355" s="33" t="n">
        <f>1924.5</f>
        <v>1924.5</v>
      </c>
      <c r="R355" s="34" t="s">
        <v>50</v>
      </c>
      <c r="S355" s="35" t="n">
        <f>1989.5</f>
        <v>1989.5</v>
      </c>
      <c r="T355" s="32" t="n">
        <f>34040</f>
        <v>34040.0</v>
      </c>
      <c r="U355" s="32" t="str">
        <f>"－"</f>
        <v>－</v>
      </c>
      <c r="V355" s="32" t="n">
        <f>67742520</f>
        <v>6.774252E7</v>
      </c>
      <c r="W355" s="32" t="str">
        <f>"－"</f>
        <v>－</v>
      </c>
      <c r="X355" s="36" t="n">
        <f>18</f>
        <v>18.0</v>
      </c>
    </row>
    <row r="356">
      <c r="A356" s="27" t="s">
        <v>42</v>
      </c>
      <c r="B356" s="27" t="s">
        <v>1111</v>
      </c>
      <c r="C356" s="27" t="s">
        <v>1112</v>
      </c>
      <c r="D356" s="27" t="s">
        <v>1113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10.0</v>
      </c>
      <c r="K356" s="33" t="n">
        <f>277.6</f>
        <v>277.6</v>
      </c>
      <c r="L356" s="34" t="s">
        <v>48</v>
      </c>
      <c r="M356" s="33" t="n">
        <f>280.4</f>
        <v>280.4</v>
      </c>
      <c r="N356" s="34" t="s">
        <v>79</v>
      </c>
      <c r="O356" s="33" t="n">
        <f>269.8</f>
        <v>269.8</v>
      </c>
      <c r="P356" s="34" t="s">
        <v>50</v>
      </c>
      <c r="Q356" s="33" t="n">
        <f>269.8</f>
        <v>269.8</v>
      </c>
      <c r="R356" s="34" t="s">
        <v>50</v>
      </c>
      <c r="S356" s="35" t="n">
        <f>275.68</f>
        <v>275.68</v>
      </c>
      <c r="T356" s="32" t="n">
        <f>106000</f>
        <v>106000.0</v>
      </c>
      <c r="U356" s="32" t="str">
        <f>"－"</f>
        <v>－</v>
      </c>
      <c r="V356" s="32" t="n">
        <f>29284996</f>
        <v>2.9284996E7</v>
      </c>
      <c r="W356" s="32" t="str">
        <f>"－"</f>
        <v>－</v>
      </c>
      <c r="X356" s="36" t="n">
        <f>13</f>
        <v>13.0</v>
      </c>
    </row>
    <row r="357">
      <c r="A357" s="27" t="s">
        <v>42</v>
      </c>
      <c r="B357" s="27" t="s">
        <v>1114</v>
      </c>
      <c r="C357" s="27" t="s">
        <v>1115</v>
      </c>
      <c r="D357" s="27" t="s">
        <v>1116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10.0</v>
      </c>
      <c r="K357" s="33" t="n">
        <f>168.1</f>
        <v>168.1</v>
      </c>
      <c r="L357" s="34" t="s">
        <v>48</v>
      </c>
      <c r="M357" s="33" t="n">
        <f>169.9</f>
        <v>169.9</v>
      </c>
      <c r="N357" s="34" t="s">
        <v>50</v>
      </c>
      <c r="O357" s="33" t="n">
        <f>162.8</f>
        <v>162.8</v>
      </c>
      <c r="P357" s="34" t="s">
        <v>103</v>
      </c>
      <c r="Q357" s="33" t="n">
        <f>168.7</f>
        <v>168.7</v>
      </c>
      <c r="R357" s="34" t="s">
        <v>50</v>
      </c>
      <c r="S357" s="35" t="n">
        <f>165.61</f>
        <v>165.61</v>
      </c>
      <c r="T357" s="32" t="n">
        <f>179400</f>
        <v>179400.0</v>
      </c>
      <c r="U357" s="32" t="str">
        <f>"－"</f>
        <v>－</v>
      </c>
      <c r="V357" s="32" t="n">
        <f>30054625</f>
        <v>3.0054625E7</v>
      </c>
      <c r="W357" s="32" t="str">
        <f>"－"</f>
        <v>－</v>
      </c>
      <c r="X357" s="36" t="n">
        <f>18</f>
        <v>18.0</v>
      </c>
    </row>
    <row r="358">
      <c r="A358" s="27" t="s">
        <v>42</v>
      </c>
      <c r="B358" s="27" t="s">
        <v>1117</v>
      </c>
      <c r="C358" s="27" t="s">
        <v>1118</v>
      </c>
      <c r="D358" s="27" t="s">
        <v>1119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10.0</v>
      </c>
      <c r="K358" s="33" t="n">
        <f>639.8</f>
        <v>639.8</v>
      </c>
      <c r="L358" s="34" t="s">
        <v>116</v>
      </c>
      <c r="M358" s="33" t="n">
        <f>682</f>
        <v>682.0</v>
      </c>
      <c r="N358" s="34" t="s">
        <v>99</v>
      </c>
      <c r="O358" s="33" t="n">
        <f>639.8</f>
        <v>639.8</v>
      </c>
      <c r="P358" s="34" t="s">
        <v>116</v>
      </c>
      <c r="Q358" s="33" t="n">
        <f>682</f>
        <v>682.0</v>
      </c>
      <c r="R358" s="34" t="s">
        <v>204</v>
      </c>
      <c r="S358" s="35" t="n">
        <f>666.43</f>
        <v>666.43</v>
      </c>
      <c r="T358" s="32" t="n">
        <f>11590</f>
        <v>11590.0</v>
      </c>
      <c r="U358" s="32" t="n">
        <f>11320</f>
        <v>11320.0</v>
      </c>
      <c r="V358" s="32" t="n">
        <f>7563067</f>
        <v>7563067.0</v>
      </c>
      <c r="W358" s="32" t="n">
        <f>7384602</f>
        <v>7384602.0</v>
      </c>
      <c r="X358" s="36" t="n">
        <f>6</f>
        <v>6.0</v>
      </c>
    </row>
    <row r="359">
      <c r="A359" s="27" t="s">
        <v>42</v>
      </c>
      <c r="B359" s="27" t="s">
        <v>1120</v>
      </c>
      <c r="C359" s="27" t="s">
        <v>1121</v>
      </c>
      <c r="D359" s="27" t="s">
        <v>1122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1616</f>
        <v>1616.0</v>
      </c>
      <c r="L359" s="34" t="s">
        <v>48</v>
      </c>
      <c r="M359" s="33" t="n">
        <f>1679</f>
        <v>1679.0</v>
      </c>
      <c r="N359" s="34" t="s">
        <v>49</v>
      </c>
      <c r="O359" s="33" t="n">
        <f>1538</f>
        <v>1538.0</v>
      </c>
      <c r="P359" s="34" t="s">
        <v>50</v>
      </c>
      <c r="Q359" s="33" t="n">
        <f>1568</f>
        <v>1568.0</v>
      </c>
      <c r="R359" s="34" t="s">
        <v>50</v>
      </c>
      <c r="S359" s="35" t="n">
        <f>1628.22</f>
        <v>1628.22</v>
      </c>
      <c r="T359" s="32" t="n">
        <f>359346</f>
        <v>359346.0</v>
      </c>
      <c r="U359" s="32" t="n">
        <f>70014</f>
        <v>70014.0</v>
      </c>
      <c r="V359" s="32" t="n">
        <f>588083542</f>
        <v>5.88083542E8</v>
      </c>
      <c r="W359" s="32" t="n">
        <f>116446509</f>
        <v>1.16446509E8</v>
      </c>
      <c r="X359" s="36" t="n">
        <f>18</f>
        <v>18.0</v>
      </c>
    </row>
    <row r="360">
      <c r="A360" s="27" t="s">
        <v>42</v>
      </c>
      <c r="B360" s="27" t="s">
        <v>1123</v>
      </c>
      <c r="C360" s="27" t="s">
        <v>1124</v>
      </c>
      <c r="D360" s="27" t="s">
        <v>1125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1.0</v>
      </c>
      <c r="K360" s="33" t="n">
        <f>892</f>
        <v>892.0</v>
      </c>
      <c r="L360" s="34" t="s">
        <v>48</v>
      </c>
      <c r="M360" s="33" t="n">
        <f>895</f>
        <v>895.0</v>
      </c>
      <c r="N360" s="34" t="s">
        <v>50</v>
      </c>
      <c r="O360" s="33" t="n">
        <f>870</f>
        <v>870.0</v>
      </c>
      <c r="P360" s="34" t="s">
        <v>103</v>
      </c>
      <c r="Q360" s="33" t="n">
        <f>890</f>
        <v>890.0</v>
      </c>
      <c r="R360" s="34" t="s">
        <v>50</v>
      </c>
      <c r="S360" s="35" t="n">
        <f>880.83</f>
        <v>880.83</v>
      </c>
      <c r="T360" s="32" t="n">
        <f>2623</f>
        <v>2623.0</v>
      </c>
      <c r="U360" s="32" t="n">
        <f>2</f>
        <v>2.0</v>
      </c>
      <c r="V360" s="32" t="n">
        <f>2308084</f>
        <v>2308084.0</v>
      </c>
      <c r="W360" s="32" t="n">
        <f>1740</f>
        <v>1740.0</v>
      </c>
      <c r="X360" s="36" t="n">
        <f>18</f>
        <v>18.0</v>
      </c>
    </row>
    <row r="361">
      <c r="A361" s="27" t="s">
        <v>42</v>
      </c>
      <c r="B361" s="27" t="s">
        <v>1126</v>
      </c>
      <c r="C361" s="27" t="s">
        <v>1127</v>
      </c>
      <c r="D361" s="27" t="s">
        <v>1128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10.0</v>
      </c>
      <c r="K361" s="33" t="n">
        <f>678.4</f>
        <v>678.4</v>
      </c>
      <c r="L361" s="34" t="s">
        <v>48</v>
      </c>
      <c r="M361" s="33" t="n">
        <f>688.5</f>
        <v>688.5</v>
      </c>
      <c r="N361" s="34" t="s">
        <v>204</v>
      </c>
      <c r="O361" s="33" t="n">
        <f>674.6</f>
        <v>674.6</v>
      </c>
      <c r="P361" s="34" t="s">
        <v>69</v>
      </c>
      <c r="Q361" s="33" t="n">
        <f>688.5</f>
        <v>688.5</v>
      </c>
      <c r="R361" s="34" t="s">
        <v>50</v>
      </c>
      <c r="S361" s="35" t="n">
        <f>680.24</f>
        <v>680.24</v>
      </c>
      <c r="T361" s="32" t="n">
        <f>647060</f>
        <v>647060.0</v>
      </c>
      <c r="U361" s="32" t="n">
        <f>283000</f>
        <v>283000.0</v>
      </c>
      <c r="V361" s="32" t="n">
        <f>439014663</f>
        <v>4.39014663E8</v>
      </c>
      <c r="W361" s="32" t="n">
        <f>191750357</f>
        <v>1.91750357E8</v>
      </c>
      <c r="X361" s="36" t="n">
        <f>18</f>
        <v>18.0</v>
      </c>
    </row>
    <row r="362">
      <c r="A362" s="27" t="s">
        <v>42</v>
      </c>
      <c r="B362" s="27" t="s">
        <v>1129</v>
      </c>
      <c r="C362" s="27" t="s">
        <v>1130</v>
      </c>
      <c r="D362" s="27" t="s">
        <v>1131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10.0</v>
      </c>
      <c r="K362" s="33" t="n">
        <f>677.2</f>
        <v>677.2</v>
      </c>
      <c r="L362" s="34" t="s">
        <v>48</v>
      </c>
      <c r="M362" s="33" t="n">
        <f>683.4</f>
        <v>683.4</v>
      </c>
      <c r="N362" s="34" t="s">
        <v>161</v>
      </c>
      <c r="O362" s="33" t="n">
        <f>667.2</f>
        <v>667.2</v>
      </c>
      <c r="P362" s="34" t="s">
        <v>157</v>
      </c>
      <c r="Q362" s="33" t="n">
        <f>678</f>
        <v>678.0</v>
      </c>
      <c r="R362" s="34" t="s">
        <v>50</v>
      </c>
      <c r="S362" s="35" t="n">
        <f>675.46</f>
        <v>675.46</v>
      </c>
      <c r="T362" s="32" t="n">
        <f>4710100</f>
        <v>4710100.0</v>
      </c>
      <c r="U362" s="32" t="n">
        <f>4694610</f>
        <v>4694610.0</v>
      </c>
      <c r="V362" s="32" t="n">
        <f>3162854272</f>
        <v>3.162854272E9</v>
      </c>
      <c r="W362" s="32" t="n">
        <f>3152433335</f>
        <v>3.152433335E9</v>
      </c>
      <c r="X362" s="36" t="n">
        <f>17</f>
        <v>17.0</v>
      </c>
    </row>
    <row r="363">
      <c r="A363" s="27" t="s">
        <v>42</v>
      </c>
      <c r="B363" s="27" t="s">
        <v>1132</v>
      </c>
      <c r="C363" s="27" t="s">
        <v>1133</v>
      </c>
      <c r="D363" s="27" t="s">
        <v>1134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1215</f>
        <v>1215.0</v>
      </c>
      <c r="L363" s="34" t="s">
        <v>48</v>
      </c>
      <c r="M363" s="33" t="n">
        <f>1246</f>
        <v>1246.0</v>
      </c>
      <c r="N363" s="34" t="s">
        <v>236</v>
      </c>
      <c r="O363" s="33" t="n">
        <f>1175</f>
        <v>1175.0</v>
      </c>
      <c r="P363" s="34" t="s">
        <v>50</v>
      </c>
      <c r="Q363" s="33" t="n">
        <f>1184</f>
        <v>1184.0</v>
      </c>
      <c r="R363" s="34" t="s">
        <v>50</v>
      </c>
      <c r="S363" s="35" t="n">
        <f>1219.78</f>
        <v>1219.78</v>
      </c>
      <c r="T363" s="32" t="n">
        <f>8455</f>
        <v>8455.0</v>
      </c>
      <c r="U363" s="32" t="str">
        <f>"－"</f>
        <v>－</v>
      </c>
      <c r="V363" s="32" t="n">
        <f>10282927</f>
        <v>1.0282927E7</v>
      </c>
      <c r="W363" s="32" t="str">
        <f>"－"</f>
        <v>－</v>
      </c>
      <c r="X363" s="36" t="n">
        <f>18</f>
        <v>18.0</v>
      </c>
    </row>
    <row r="364">
      <c r="A364" s="27" t="s">
        <v>42</v>
      </c>
      <c r="B364" s="27" t="s">
        <v>1135</v>
      </c>
      <c r="C364" s="27" t="s">
        <v>1136</v>
      </c>
      <c r="D364" s="27" t="s">
        <v>1137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10.0</v>
      </c>
      <c r="K364" s="33" t="n">
        <f>2659.5</f>
        <v>2659.5</v>
      </c>
      <c r="L364" s="34" t="s">
        <v>48</v>
      </c>
      <c r="M364" s="33" t="n">
        <f>2920</f>
        <v>2920.0</v>
      </c>
      <c r="N364" s="34" t="s">
        <v>49</v>
      </c>
      <c r="O364" s="33" t="n">
        <f>2639</f>
        <v>2639.0</v>
      </c>
      <c r="P364" s="34" t="s">
        <v>48</v>
      </c>
      <c r="Q364" s="33" t="n">
        <f>2783.5</f>
        <v>2783.5</v>
      </c>
      <c r="R364" s="34" t="s">
        <v>50</v>
      </c>
      <c r="S364" s="35" t="n">
        <f>2785.39</f>
        <v>2785.39</v>
      </c>
      <c r="T364" s="32" t="n">
        <f>304560</f>
        <v>304560.0</v>
      </c>
      <c r="U364" s="32" t="n">
        <f>100</f>
        <v>100.0</v>
      </c>
      <c r="V364" s="32" t="n">
        <f>853903895</f>
        <v>8.53903895E8</v>
      </c>
      <c r="W364" s="32" t="n">
        <f>274750</f>
        <v>274750.0</v>
      </c>
      <c r="X364" s="36" t="n">
        <f>18</f>
        <v>18.0</v>
      </c>
    </row>
    <row r="365">
      <c r="A365" s="27" t="s">
        <v>42</v>
      </c>
      <c r="B365" s="27" t="s">
        <v>1138</v>
      </c>
      <c r="C365" s="27" t="s">
        <v>1139</v>
      </c>
      <c r="D365" s="27" t="s">
        <v>1140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10.0</v>
      </c>
      <c r="K365" s="33" t="n">
        <f>2909.5</f>
        <v>2909.5</v>
      </c>
      <c r="L365" s="34" t="s">
        <v>48</v>
      </c>
      <c r="M365" s="33" t="n">
        <f>3085</f>
        <v>3085.0</v>
      </c>
      <c r="N365" s="34" t="s">
        <v>49</v>
      </c>
      <c r="O365" s="33" t="n">
        <f>2844.5</f>
        <v>2844.5</v>
      </c>
      <c r="P365" s="34" t="s">
        <v>48</v>
      </c>
      <c r="Q365" s="33" t="n">
        <f>2998</f>
        <v>2998.0</v>
      </c>
      <c r="R365" s="34" t="s">
        <v>50</v>
      </c>
      <c r="S365" s="35" t="n">
        <f>2988.5</f>
        <v>2988.5</v>
      </c>
      <c r="T365" s="32" t="n">
        <f>314450</f>
        <v>314450.0</v>
      </c>
      <c r="U365" s="32" t="n">
        <f>20</f>
        <v>20.0</v>
      </c>
      <c r="V365" s="32" t="n">
        <f>955367605</f>
        <v>9.55367605E8</v>
      </c>
      <c r="W365" s="32" t="n">
        <f>60440</f>
        <v>60440.0</v>
      </c>
      <c r="X365" s="36" t="n">
        <f>18</f>
        <v>18.0</v>
      </c>
    </row>
    <row r="366">
      <c r="A366" s="27" t="s">
        <v>42</v>
      </c>
      <c r="B366" s="27" t="s">
        <v>1141</v>
      </c>
      <c r="C366" s="27" t="s">
        <v>1142</v>
      </c>
      <c r="D366" s="27" t="s">
        <v>1143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10.0</v>
      </c>
      <c r="K366" s="33" t="n">
        <f>5211</f>
        <v>5211.0</v>
      </c>
      <c r="L366" s="34" t="s">
        <v>48</v>
      </c>
      <c r="M366" s="33" t="n">
        <f>5265</f>
        <v>5265.0</v>
      </c>
      <c r="N366" s="34" t="s">
        <v>68</v>
      </c>
      <c r="O366" s="33" t="n">
        <f>5096</f>
        <v>5096.0</v>
      </c>
      <c r="P366" s="34" t="s">
        <v>204</v>
      </c>
      <c r="Q366" s="33" t="n">
        <f>5117</f>
        <v>5117.0</v>
      </c>
      <c r="R366" s="34" t="s">
        <v>50</v>
      </c>
      <c r="S366" s="35" t="n">
        <f>5173.67</f>
        <v>5173.67</v>
      </c>
      <c r="T366" s="32" t="n">
        <f>43700</f>
        <v>43700.0</v>
      </c>
      <c r="U366" s="32" t="str">
        <f>"－"</f>
        <v>－</v>
      </c>
      <c r="V366" s="32" t="n">
        <f>227899010</f>
        <v>2.2789901E8</v>
      </c>
      <c r="W366" s="32" t="str">
        <f>"－"</f>
        <v>－</v>
      </c>
      <c r="X366" s="36" t="n">
        <f>12</f>
        <v>12.0</v>
      </c>
    </row>
    <row r="367">
      <c r="A367" s="27" t="s">
        <v>42</v>
      </c>
      <c r="B367" s="27" t="s">
        <v>1144</v>
      </c>
      <c r="C367" s="27" t="s">
        <v>1145</v>
      </c>
      <c r="D367" s="27" t="s">
        <v>1146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10.0</v>
      </c>
      <c r="K367" s="33" t="n">
        <f>4150</f>
        <v>4150.0</v>
      </c>
      <c r="L367" s="34" t="s">
        <v>204</v>
      </c>
      <c r="M367" s="33" t="n">
        <f>4150</f>
        <v>4150.0</v>
      </c>
      <c r="N367" s="34" t="s">
        <v>204</v>
      </c>
      <c r="O367" s="33" t="n">
        <f>4150</f>
        <v>4150.0</v>
      </c>
      <c r="P367" s="34" t="s">
        <v>204</v>
      </c>
      <c r="Q367" s="33" t="n">
        <f>4150</f>
        <v>4150.0</v>
      </c>
      <c r="R367" s="34" t="s">
        <v>204</v>
      </c>
      <c r="S367" s="35" t="n">
        <f>4150</f>
        <v>4150.0</v>
      </c>
      <c r="T367" s="32" t="n">
        <f>30</f>
        <v>30.0</v>
      </c>
      <c r="U367" s="32" t="str">
        <f>"－"</f>
        <v>－</v>
      </c>
      <c r="V367" s="32" t="n">
        <f>124500</f>
        <v>124500.0</v>
      </c>
      <c r="W367" s="32" t="str">
        <f>"－"</f>
        <v>－</v>
      </c>
      <c r="X367" s="36" t="n">
        <f>1</f>
        <v>1.0</v>
      </c>
    </row>
    <row r="368">
      <c r="A368" s="27" t="s">
        <v>42</v>
      </c>
      <c r="B368" s="27" t="s">
        <v>1147</v>
      </c>
      <c r="C368" s="27" t="s">
        <v>1148</v>
      </c>
      <c r="D368" s="27" t="s">
        <v>1149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10.0</v>
      </c>
      <c r="K368" s="33" t="n">
        <f>1873.5</f>
        <v>1873.5</v>
      </c>
      <c r="L368" s="34" t="s">
        <v>48</v>
      </c>
      <c r="M368" s="33" t="n">
        <f>1899.5</f>
        <v>1899.5</v>
      </c>
      <c r="N368" s="34" t="s">
        <v>161</v>
      </c>
      <c r="O368" s="33" t="n">
        <f>1872</f>
        <v>1872.0</v>
      </c>
      <c r="P368" s="34" t="s">
        <v>68</v>
      </c>
      <c r="Q368" s="33" t="n">
        <f>1892.5</f>
        <v>1892.5</v>
      </c>
      <c r="R368" s="34" t="s">
        <v>50</v>
      </c>
      <c r="S368" s="35" t="n">
        <f>1884.86</f>
        <v>1884.86</v>
      </c>
      <c r="T368" s="32" t="n">
        <f>2730</f>
        <v>2730.0</v>
      </c>
      <c r="U368" s="32" t="str">
        <f>"－"</f>
        <v>－</v>
      </c>
      <c r="V368" s="32" t="n">
        <f>5148780</f>
        <v>5148780.0</v>
      </c>
      <c r="W368" s="32" t="str">
        <f>"－"</f>
        <v>－</v>
      </c>
      <c r="X368" s="36" t="n">
        <f>14</f>
        <v>14.0</v>
      </c>
    </row>
    <row r="369">
      <c r="A369" s="27" t="s">
        <v>42</v>
      </c>
      <c r="B369" s="27" t="s">
        <v>1150</v>
      </c>
      <c r="C369" s="27" t="s">
        <v>1151</v>
      </c>
      <c r="D369" s="27" t="s">
        <v>1152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1342</f>
        <v>1342.0</v>
      </c>
      <c r="L369" s="34" t="s">
        <v>48</v>
      </c>
      <c r="M369" s="33" t="n">
        <f>1342</f>
        <v>1342.0</v>
      </c>
      <c r="N369" s="34" t="s">
        <v>48</v>
      </c>
      <c r="O369" s="33" t="n">
        <f>1245</f>
        <v>1245.0</v>
      </c>
      <c r="P369" s="34" t="s">
        <v>204</v>
      </c>
      <c r="Q369" s="33" t="n">
        <f>1250</f>
        <v>1250.0</v>
      </c>
      <c r="R369" s="34" t="s">
        <v>50</v>
      </c>
      <c r="S369" s="35" t="n">
        <f>1282.39</f>
        <v>1282.39</v>
      </c>
      <c r="T369" s="32" t="n">
        <f>36594</f>
        <v>36594.0</v>
      </c>
      <c r="U369" s="32" t="str">
        <f>"－"</f>
        <v>－</v>
      </c>
      <c r="V369" s="32" t="n">
        <f>47149749</f>
        <v>4.7149749E7</v>
      </c>
      <c r="W369" s="32" t="str">
        <f>"－"</f>
        <v>－</v>
      </c>
      <c r="X369" s="36" t="n">
        <f>18</f>
        <v>18.0</v>
      </c>
    </row>
    <row r="370">
      <c r="A370" s="27" t="s">
        <v>42</v>
      </c>
      <c r="B370" s="27" t="s">
        <v>1153</v>
      </c>
      <c r="C370" s="27" t="s">
        <v>1154</v>
      </c>
      <c r="D370" s="27" t="s">
        <v>1155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1257</f>
        <v>1257.0</v>
      </c>
      <c r="L370" s="34" t="s">
        <v>48</v>
      </c>
      <c r="M370" s="33" t="n">
        <f>1264</f>
        <v>1264.0</v>
      </c>
      <c r="N370" s="34" t="s">
        <v>116</v>
      </c>
      <c r="O370" s="33" t="n">
        <f>1158</f>
        <v>1158.0</v>
      </c>
      <c r="P370" s="34" t="s">
        <v>50</v>
      </c>
      <c r="Q370" s="33" t="n">
        <f>1168</f>
        <v>1168.0</v>
      </c>
      <c r="R370" s="34" t="s">
        <v>50</v>
      </c>
      <c r="S370" s="35" t="n">
        <f>1232.5</f>
        <v>1232.5</v>
      </c>
      <c r="T370" s="32" t="n">
        <f>6296327</f>
        <v>6296327.0</v>
      </c>
      <c r="U370" s="32" t="n">
        <f>268</f>
        <v>268.0</v>
      </c>
      <c r="V370" s="32" t="n">
        <f>7651875693</f>
        <v>7.651875693E9</v>
      </c>
      <c r="W370" s="32" t="n">
        <f>303506</f>
        <v>303506.0</v>
      </c>
      <c r="X370" s="36" t="n">
        <f>18</f>
        <v>18.0</v>
      </c>
    </row>
    <row r="371">
      <c r="A371" s="27" t="s">
        <v>42</v>
      </c>
      <c r="B371" s="27" t="s">
        <v>1156</v>
      </c>
      <c r="C371" s="27" t="s">
        <v>1157</v>
      </c>
      <c r="D371" s="27" t="s">
        <v>1158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1031</f>
        <v>1031.0</v>
      </c>
      <c r="L371" s="34" t="s">
        <v>48</v>
      </c>
      <c r="M371" s="33" t="n">
        <f>1035</f>
        <v>1035.0</v>
      </c>
      <c r="N371" s="34" t="s">
        <v>68</v>
      </c>
      <c r="O371" s="33" t="n">
        <f>991</f>
        <v>991.0</v>
      </c>
      <c r="P371" s="34" t="s">
        <v>156</v>
      </c>
      <c r="Q371" s="33" t="n">
        <f>997</f>
        <v>997.0</v>
      </c>
      <c r="R371" s="34" t="s">
        <v>50</v>
      </c>
      <c r="S371" s="35" t="n">
        <f>1009.89</f>
        <v>1009.89</v>
      </c>
      <c r="T371" s="32" t="n">
        <f>924340</f>
        <v>924340.0</v>
      </c>
      <c r="U371" s="32" t="n">
        <f>90</f>
        <v>90.0</v>
      </c>
      <c r="V371" s="32" t="n">
        <f>930672694</f>
        <v>9.30672694E8</v>
      </c>
      <c r="W371" s="32" t="n">
        <f>83700</f>
        <v>83700.0</v>
      </c>
      <c r="X371" s="36" t="n">
        <f>18</f>
        <v>18.0</v>
      </c>
    </row>
    <row r="372">
      <c r="A372" s="27" t="s">
        <v>42</v>
      </c>
      <c r="B372" s="27" t="s">
        <v>1159</v>
      </c>
      <c r="C372" s="27" t="s">
        <v>1160</v>
      </c>
      <c r="D372" s="27" t="s">
        <v>1161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1122</f>
        <v>1122.0</v>
      </c>
      <c r="L372" s="34" t="s">
        <v>48</v>
      </c>
      <c r="M372" s="33" t="n">
        <f>1159</f>
        <v>1159.0</v>
      </c>
      <c r="N372" s="34" t="s">
        <v>236</v>
      </c>
      <c r="O372" s="33" t="n">
        <f>1054</f>
        <v>1054.0</v>
      </c>
      <c r="P372" s="34" t="s">
        <v>50</v>
      </c>
      <c r="Q372" s="33" t="n">
        <f>1058</f>
        <v>1058.0</v>
      </c>
      <c r="R372" s="34" t="s">
        <v>50</v>
      </c>
      <c r="S372" s="35" t="n">
        <f>1110.89</f>
        <v>1110.89</v>
      </c>
      <c r="T372" s="32" t="n">
        <f>10447</f>
        <v>10447.0</v>
      </c>
      <c r="U372" s="32" t="str">
        <f>"－"</f>
        <v>－</v>
      </c>
      <c r="V372" s="32" t="n">
        <f>11659463</f>
        <v>1.1659463E7</v>
      </c>
      <c r="W372" s="32" t="str">
        <f>"－"</f>
        <v>－</v>
      </c>
      <c r="X372" s="36" t="n">
        <f>18</f>
        <v>18.0</v>
      </c>
    </row>
    <row r="373">
      <c r="A373" s="27" t="s">
        <v>42</v>
      </c>
      <c r="B373" s="27" t="s">
        <v>1162</v>
      </c>
      <c r="C373" s="27" t="s">
        <v>1163</v>
      </c>
      <c r="D373" s="27" t="s">
        <v>1164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1139</f>
        <v>1139.0</v>
      </c>
      <c r="L373" s="34" t="s">
        <v>48</v>
      </c>
      <c r="M373" s="33" t="n">
        <f>1149</f>
        <v>1149.0</v>
      </c>
      <c r="N373" s="34" t="s">
        <v>61</v>
      </c>
      <c r="O373" s="33" t="n">
        <f>1064</f>
        <v>1064.0</v>
      </c>
      <c r="P373" s="34" t="s">
        <v>50</v>
      </c>
      <c r="Q373" s="33" t="n">
        <f>1074</f>
        <v>1074.0</v>
      </c>
      <c r="R373" s="34" t="s">
        <v>50</v>
      </c>
      <c r="S373" s="35" t="n">
        <f>1116.28</f>
        <v>1116.28</v>
      </c>
      <c r="T373" s="32" t="n">
        <f>1558888</f>
        <v>1558888.0</v>
      </c>
      <c r="U373" s="32" t="n">
        <f>77</f>
        <v>77.0</v>
      </c>
      <c r="V373" s="32" t="n">
        <f>1721552964</f>
        <v>1.721552964E9</v>
      </c>
      <c r="W373" s="32" t="n">
        <f>81886</f>
        <v>81886.0</v>
      </c>
      <c r="X373" s="36" t="n">
        <f>18</f>
        <v>18.0</v>
      </c>
    </row>
    <row r="374">
      <c r="A374" s="27" t="s">
        <v>42</v>
      </c>
      <c r="B374" s="27" t="s">
        <v>1165</v>
      </c>
      <c r="C374" s="27" t="s">
        <v>1166</v>
      </c>
      <c r="D374" s="27" t="s">
        <v>1167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46040</f>
        <v>46040.0</v>
      </c>
      <c r="L374" s="34" t="s">
        <v>48</v>
      </c>
      <c r="M374" s="33" t="n">
        <f>51150</f>
        <v>51150.0</v>
      </c>
      <c r="N374" s="34" t="s">
        <v>236</v>
      </c>
      <c r="O374" s="33" t="n">
        <f>43270</f>
        <v>43270.0</v>
      </c>
      <c r="P374" s="34" t="s">
        <v>50</v>
      </c>
      <c r="Q374" s="33" t="n">
        <f>43760</f>
        <v>43760.0</v>
      </c>
      <c r="R374" s="34" t="s">
        <v>50</v>
      </c>
      <c r="S374" s="35" t="n">
        <f>48583.33</f>
        <v>48583.33</v>
      </c>
      <c r="T374" s="32" t="n">
        <f>467070</f>
        <v>467070.0</v>
      </c>
      <c r="U374" s="32" t="n">
        <f>603</f>
        <v>603.0</v>
      </c>
      <c r="V374" s="32" t="n">
        <f>22326716980</f>
        <v>2.232671698E10</v>
      </c>
      <c r="W374" s="32" t="n">
        <f>29365390</f>
        <v>2.936539E7</v>
      </c>
      <c r="X374" s="36" t="n">
        <f>18</f>
        <v>18.0</v>
      </c>
    </row>
    <row r="375">
      <c r="A375" s="27" t="s">
        <v>42</v>
      </c>
      <c r="B375" s="27" t="s">
        <v>1168</v>
      </c>
      <c r="C375" s="27" t="s">
        <v>1169</v>
      </c>
      <c r="D375" s="27" t="s">
        <v>1170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17640</f>
        <v>17640.0</v>
      </c>
      <c r="L375" s="34" t="s">
        <v>48</v>
      </c>
      <c r="M375" s="33" t="n">
        <f>18535</f>
        <v>18535.0</v>
      </c>
      <c r="N375" s="34" t="s">
        <v>50</v>
      </c>
      <c r="O375" s="33" t="n">
        <f>15810</f>
        <v>15810.0</v>
      </c>
      <c r="P375" s="34" t="s">
        <v>236</v>
      </c>
      <c r="Q375" s="33" t="n">
        <f>18370</f>
        <v>18370.0</v>
      </c>
      <c r="R375" s="34" t="s">
        <v>50</v>
      </c>
      <c r="S375" s="35" t="n">
        <f>16714.17</f>
        <v>16714.17</v>
      </c>
      <c r="T375" s="32" t="n">
        <f>559309</f>
        <v>559309.0</v>
      </c>
      <c r="U375" s="32" t="n">
        <f>18</f>
        <v>18.0</v>
      </c>
      <c r="V375" s="32" t="n">
        <f>9704528815</f>
        <v>9.704528815E9</v>
      </c>
      <c r="W375" s="32" t="n">
        <f>292705</f>
        <v>292705.0</v>
      </c>
      <c r="X375" s="36" t="n">
        <f>18</f>
        <v>18.0</v>
      </c>
    </row>
    <row r="376">
      <c r="A376" s="27" t="s">
        <v>42</v>
      </c>
      <c r="B376" s="27" t="s">
        <v>1171</v>
      </c>
      <c r="C376" s="27" t="s">
        <v>1172</v>
      </c>
      <c r="D376" s="27" t="s">
        <v>1173</v>
      </c>
      <c r="E376" s="28" t="s">
        <v>46</v>
      </c>
      <c r="F376" s="29" t="s">
        <v>46</v>
      </c>
      <c r="G376" s="30" t="s">
        <v>46</v>
      </c>
      <c r="H376" s="31"/>
      <c r="I376" s="31" t="s">
        <v>47</v>
      </c>
      <c r="J376" s="32" t="n">
        <v>1.0</v>
      </c>
      <c r="K376" s="33" t="n">
        <f>2049</f>
        <v>2049.0</v>
      </c>
      <c r="L376" s="34" t="s">
        <v>48</v>
      </c>
      <c r="M376" s="33" t="n">
        <f>2088</f>
        <v>2088.0</v>
      </c>
      <c r="N376" s="34" t="s">
        <v>236</v>
      </c>
      <c r="O376" s="33" t="n">
        <f>1986</f>
        <v>1986.0</v>
      </c>
      <c r="P376" s="34" t="s">
        <v>50</v>
      </c>
      <c r="Q376" s="33" t="n">
        <f>1986</f>
        <v>1986.0</v>
      </c>
      <c r="R376" s="34" t="s">
        <v>50</v>
      </c>
      <c r="S376" s="35" t="n">
        <f>2036.54</f>
        <v>2036.54</v>
      </c>
      <c r="T376" s="32" t="n">
        <f>280</f>
        <v>280.0</v>
      </c>
      <c r="U376" s="32" t="str">
        <f>"－"</f>
        <v>－</v>
      </c>
      <c r="V376" s="32" t="n">
        <f>570446</f>
        <v>570446.0</v>
      </c>
      <c r="W376" s="32" t="str">
        <f>"－"</f>
        <v>－</v>
      </c>
      <c r="X376" s="36" t="n">
        <f>13</f>
        <v>13.0</v>
      </c>
    </row>
    <row r="377">
      <c r="A377" s="27" t="s">
        <v>42</v>
      </c>
      <c r="B377" s="27" t="s">
        <v>1174</v>
      </c>
      <c r="C377" s="27" t="s">
        <v>1175</v>
      </c>
      <c r="D377" s="27" t="s">
        <v>1176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10500</f>
        <v>10500.0</v>
      </c>
      <c r="L377" s="34" t="s">
        <v>48</v>
      </c>
      <c r="M377" s="33" t="n">
        <f>10670</f>
        <v>10670.0</v>
      </c>
      <c r="N377" s="34" t="s">
        <v>68</v>
      </c>
      <c r="O377" s="33" t="n">
        <f>9940</f>
        <v>9940.0</v>
      </c>
      <c r="P377" s="34" t="s">
        <v>50</v>
      </c>
      <c r="Q377" s="33" t="n">
        <f>9941</f>
        <v>9941.0</v>
      </c>
      <c r="R377" s="34" t="s">
        <v>50</v>
      </c>
      <c r="S377" s="35" t="n">
        <f>10373.67</f>
        <v>10373.67</v>
      </c>
      <c r="T377" s="32" t="n">
        <f>2267</f>
        <v>2267.0</v>
      </c>
      <c r="U377" s="32" t="n">
        <f>3</f>
        <v>3.0</v>
      </c>
      <c r="V377" s="32" t="n">
        <f>23485772</f>
        <v>2.3485772E7</v>
      </c>
      <c r="W377" s="32" t="n">
        <f>31485</f>
        <v>31485.0</v>
      </c>
      <c r="X377" s="36" t="n">
        <f>18</f>
        <v>18.0</v>
      </c>
    </row>
    <row r="378">
      <c r="A378" s="27" t="s">
        <v>42</v>
      </c>
      <c r="B378" s="27" t="s">
        <v>1177</v>
      </c>
      <c r="C378" s="27" t="s">
        <v>1178</v>
      </c>
      <c r="D378" s="27" t="s">
        <v>1179</v>
      </c>
      <c r="E378" s="28" t="s">
        <v>46</v>
      </c>
      <c r="F378" s="29" t="s">
        <v>46</v>
      </c>
      <c r="G378" s="30" t="s">
        <v>46</v>
      </c>
      <c r="H378" s="31"/>
      <c r="I378" s="31" t="s">
        <v>47</v>
      </c>
      <c r="J378" s="32" t="n">
        <v>1.0</v>
      </c>
      <c r="K378" s="33" t="n">
        <f>112000</f>
        <v>112000.0</v>
      </c>
      <c r="L378" s="34" t="s">
        <v>48</v>
      </c>
      <c r="M378" s="33" t="n">
        <f>116400</f>
        <v>116400.0</v>
      </c>
      <c r="N378" s="34" t="s">
        <v>50</v>
      </c>
      <c r="O378" s="33" t="n">
        <f>110600</f>
        <v>110600.0</v>
      </c>
      <c r="P378" s="34" t="s">
        <v>103</v>
      </c>
      <c r="Q378" s="33" t="n">
        <f>115100</f>
        <v>115100.0</v>
      </c>
      <c r="R378" s="34" t="s">
        <v>50</v>
      </c>
      <c r="S378" s="35" t="n">
        <f>112772.22</f>
        <v>112772.22</v>
      </c>
      <c r="T378" s="32" t="n">
        <f>15485</f>
        <v>15485.0</v>
      </c>
      <c r="U378" s="32" t="n">
        <f>1782</f>
        <v>1782.0</v>
      </c>
      <c r="V378" s="32" t="n">
        <f>1747128533</f>
        <v>1.747128533E9</v>
      </c>
      <c r="W378" s="32" t="n">
        <f>200780533</f>
        <v>2.00780533E8</v>
      </c>
      <c r="X378" s="36" t="n">
        <f>18</f>
        <v>18.0</v>
      </c>
    </row>
    <row r="379">
      <c r="A379" s="27" t="s">
        <v>42</v>
      </c>
      <c r="B379" s="27" t="s">
        <v>1180</v>
      </c>
      <c r="C379" s="27" t="s">
        <v>1181</v>
      </c>
      <c r="D379" s="27" t="s">
        <v>1182</v>
      </c>
      <c r="E379" s="28" t="s">
        <v>46</v>
      </c>
      <c r="F379" s="29" t="s">
        <v>46</v>
      </c>
      <c r="G379" s="30" t="s">
        <v>46</v>
      </c>
      <c r="H379" s="31"/>
      <c r="I379" s="31" t="s">
        <v>414</v>
      </c>
      <c r="J379" s="32" t="n">
        <v>1.0</v>
      </c>
      <c r="K379" s="33" t="n">
        <f>82800</f>
        <v>82800.0</v>
      </c>
      <c r="L379" s="34" t="s">
        <v>48</v>
      </c>
      <c r="M379" s="33" t="n">
        <f>85000</f>
        <v>85000.0</v>
      </c>
      <c r="N379" s="34" t="s">
        <v>236</v>
      </c>
      <c r="O379" s="33" t="n">
        <f>81500</f>
        <v>81500.0</v>
      </c>
      <c r="P379" s="34" t="s">
        <v>103</v>
      </c>
      <c r="Q379" s="33" t="n">
        <f>83800</f>
        <v>83800.0</v>
      </c>
      <c r="R379" s="34" t="s">
        <v>50</v>
      </c>
      <c r="S379" s="35" t="n">
        <f>83505.56</f>
        <v>83505.56</v>
      </c>
      <c r="T379" s="32" t="n">
        <f>50228</f>
        <v>50228.0</v>
      </c>
      <c r="U379" s="32" t="n">
        <f>5942</f>
        <v>5942.0</v>
      </c>
      <c r="V379" s="32" t="n">
        <f>4179462939</f>
        <v>4.179462939E9</v>
      </c>
      <c r="W379" s="32" t="n">
        <f>494936439</f>
        <v>4.94936439E8</v>
      </c>
      <c r="X379" s="36" t="n">
        <f>18</f>
        <v>18.0</v>
      </c>
    </row>
    <row r="380">
      <c r="A380" s="27" t="s">
        <v>42</v>
      </c>
      <c r="B380" s="27" t="s">
        <v>1183</v>
      </c>
      <c r="C380" s="27" t="s">
        <v>1184</v>
      </c>
      <c r="D380" s="27" t="s">
        <v>1185</v>
      </c>
      <c r="E380" s="28" t="s">
        <v>46</v>
      </c>
      <c r="F380" s="29" t="s">
        <v>46</v>
      </c>
      <c r="G380" s="30" t="s">
        <v>46</v>
      </c>
      <c r="H380" s="31"/>
      <c r="I380" s="31" t="s">
        <v>47</v>
      </c>
      <c r="J380" s="32" t="n">
        <v>1.0</v>
      </c>
      <c r="K380" s="33" t="n">
        <f>111600</f>
        <v>111600.0</v>
      </c>
      <c r="L380" s="34" t="s">
        <v>48</v>
      </c>
      <c r="M380" s="33" t="n">
        <f>111600</f>
        <v>111600.0</v>
      </c>
      <c r="N380" s="34" t="s">
        <v>48</v>
      </c>
      <c r="O380" s="33" t="n">
        <f>104500</f>
        <v>104500.0</v>
      </c>
      <c r="P380" s="34" t="s">
        <v>50</v>
      </c>
      <c r="Q380" s="33" t="n">
        <f>104500</f>
        <v>104500.0</v>
      </c>
      <c r="R380" s="34" t="s">
        <v>50</v>
      </c>
      <c r="S380" s="35" t="n">
        <f>108444.44</f>
        <v>108444.44</v>
      </c>
      <c r="T380" s="32" t="n">
        <f>38413</f>
        <v>38413.0</v>
      </c>
      <c r="U380" s="32" t="n">
        <f>5096</f>
        <v>5096.0</v>
      </c>
      <c r="V380" s="32" t="n">
        <f>4164915953</f>
        <v>4.164915953E9</v>
      </c>
      <c r="W380" s="32" t="n">
        <f>553417653</f>
        <v>5.53417653E8</v>
      </c>
      <c r="X380" s="36" t="n">
        <f>18</f>
        <v>18.0</v>
      </c>
    </row>
    <row r="381">
      <c r="A381" s="27" t="s">
        <v>42</v>
      </c>
      <c r="B381" s="27" t="s">
        <v>1186</v>
      </c>
      <c r="C381" s="27" t="s">
        <v>1187</v>
      </c>
      <c r="D381" s="27" t="s">
        <v>1188</v>
      </c>
      <c r="E381" s="28" t="s">
        <v>46</v>
      </c>
      <c r="F381" s="29" t="s">
        <v>46</v>
      </c>
      <c r="G381" s="30" t="s">
        <v>46</v>
      </c>
      <c r="H381" s="31"/>
      <c r="I381" s="31" t="s">
        <v>414</v>
      </c>
      <c r="J381" s="32" t="n">
        <v>1.0</v>
      </c>
      <c r="K381" s="33" t="n">
        <f>102900</f>
        <v>102900.0</v>
      </c>
      <c r="L381" s="34" t="s">
        <v>48</v>
      </c>
      <c r="M381" s="33" t="n">
        <f>105300</f>
        <v>105300.0</v>
      </c>
      <c r="N381" s="34" t="s">
        <v>68</v>
      </c>
      <c r="O381" s="33" t="n">
        <f>101400</f>
        <v>101400.0</v>
      </c>
      <c r="P381" s="34" t="s">
        <v>103</v>
      </c>
      <c r="Q381" s="33" t="n">
        <f>103500</f>
        <v>103500.0</v>
      </c>
      <c r="R381" s="34" t="s">
        <v>50</v>
      </c>
      <c r="S381" s="35" t="n">
        <f>103066.67</f>
        <v>103066.67</v>
      </c>
      <c r="T381" s="32" t="n">
        <f>64229</f>
        <v>64229.0</v>
      </c>
      <c r="U381" s="32" t="n">
        <f>11024</f>
        <v>11024.0</v>
      </c>
      <c r="V381" s="32" t="n">
        <f>6642998038</f>
        <v>6.642998038E9</v>
      </c>
      <c r="W381" s="32" t="n">
        <f>1148200938</f>
        <v>1.148200938E9</v>
      </c>
      <c r="X381" s="36" t="n">
        <f>18</f>
        <v>18.0</v>
      </c>
    </row>
    <row r="382">
      <c r="A382" s="27" t="s">
        <v>42</v>
      </c>
      <c r="B382" s="27" t="s">
        <v>1189</v>
      </c>
      <c r="C382" s="27" t="s">
        <v>1190</v>
      </c>
      <c r="D382" s="27" t="s">
        <v>1191</v>
      </c>
      <c r="E382" s="28" t="s">
        <v>46</v>
      </c>
      <c r="F382" s="29" t="s">
        <v>46</v>
      </c>
      <c r="G382" s="30" t="s">
        <v>46</v>
      </c>
      <c r="H382" s="31"/>
      <c r="I382" s="31" t="s">
        <v>47</v>
      </c>
      <c r="J382" s="32" t="n">
        <v>10.0</v>
      </c>
      <c r="K382" s="33" t="n">
        <f>201.9</f>
        <v>201.9</v>
      </c>
      <c r="L382" s="34" t="s">
        <v>48</v>
      </c>
      <c r="M382" s="33" t="n">
        <f>203.3</f>
        <v>203.3</v>
      </c>
      <c r="N382" s="34" t="s">
        <v>79</v>
      </c>
      <c r="O382" s="33" t="n">
        <f>185.9</f>
        <v>185.9</v>
      </c>
      <c r="P382" s="34" t="s">
        <v>50</v>
      </c>
      <c r="Q382" s="33" t="n">
        <f>187.6</f>
        <v>187.6</v>
      </c>
      <c r="R382" s="34" t="s">
        <v>50</v>
      </c>
      <c r="S382" s="35" t="n">
        <f>198.02</f>
        <v>198.02</v>
      </c>
      <c r="T382" s="32" t="n">
        <f>7491470</f>
        <v>7491470.0</v>
      </c>
      <c r="U382" s="32" t="str">
        <f>"－"</f>
        <v>－</v>
      </c>
      <c r="V382" s="32" t="n">
        <f>1480738629</f>
        <v>1.480738629E9</v>
      </c>
      <c r="W382" s="32" t="str">
        <f>"－"</f>
        <v>－</v>
      </c>
      <c r="X382" s="36" t="n">
        <f>18</f>
        <v>18.0</v>
      </c>
    </row>
    <row r="383">
      <c r="A383" s="27" t="s">
        <v>42</v>
      </c>
      <c r="B383" s="27" t="s">
        <v>1192</v>
      </c>
      <c r="C383" s="27" t="s">
        <v>1193</v>
      </c>
      <c r="D383" s="27" t="s">
        <v>1194</v>
      </c>
      <c r="E383" s="28" t="s">
        <v>46</v>
      </c>
      <c r="F383" s="29" t="s">
        <v>46</v>
      </c>
      <c r="G383" s="30" t="s">
        <v>46</v>
      </c>
      <c r="H383" s="31"/>
      <c r="I383" s="31" t="s">
        <v>47</v>
      </c>
      <c r="J383" s="32" t="n">
        <v>10.0</v>
      </c>
      <c r="K383" s="33" t="n">
        <f>210</f>
        <v>210.0</v>
      </c>
      <c r="L383" s="34" t="s">
        <v>48</v>
      </c>
      <c r="M383" s="33" t="n">
        <f>223.5</f>
        <v>223.5</v>
      </c>
      <c r="N383" s="34" t="s">
        <v>68</v>
      </c>
      <c r="O383" s="33" t="n">
        <f>203.7</f>
        <v>203.7</v>
      </c>
      <c r="P383" s="34" t="s">
        <v>50</v>
      </c>
      <c r="Q383" s="33" t="n">
        <f>205.6</f>
        <v>205.6</v>
      </c>
      <c r="R383" s="34" t="s">
        <v>50</v>
      </c>
      <c r="S383" s="35" t="n">
        <f>209.59</f>
        <v>209.59</v>
      </c>
      <c r="T383" s="32" t="n">
        <f>16415260</f>
        <v>1.641526E7</v>
      </c>
      <c r="U383" s="32" t="n">
        <f>480</f>
        <v>480.0</v>
      </c>
      <c r="V383" s="32" t="n">
        <f>3442597039</f>
        <v>3.442597039E9</v>
      </c>
      <c r="W383" s="32" t="n">
        <f>101353</f>
        <v>101353.0</v>
      </c>
      <c r="X383" s="36" t="n">
        <f>18</f>
        <v>18.0</v>
      </c>
    </row>
    <row r="384">
      <c r="A384" s="27" t="s">
        <v>42</v>
      </c>
      <c r="B384" s="27" t="s">
        <v>1195</v>
      </c>
      <c r="C384" s="27" t="s">
        <v>1196</v>
      </c>
      <c r="D384" s="27" t="s">
        <v>1197</v>
      </c>
      <c r="E384" s="28" t="s">
        <v>46</v>
      </c>
      <c r="F384" s="29" t="s">
        <v>46</v>
      </c>
      <c r="G384" s="30" t="s">
        <v>46</v>
      </c>
      <c r="H384" s="31"/>
      <c r="I384" s="31" t="s">
        <v>47</v>
      </c>
      <c r="J384" s="32" t="n">
        <v>1.0</v>
      </c>
      <c r="K384" s="33" t="n">
        <f>1019</f>
        <v>1019.0</v>
      </c>
      <c r="L384" s="34" t="s">
        <v>48</v>
      </c>
      <c r="M384" s="33" t="n">
        <f>1068</f>
        <v>1068.0</v>
      </c>
      <c r="N384" s="34" t="s">
        <v>236</v>
      </c>
      <c r="O384" s="33" t="n">
        <f>991</f>
        <v>991.0</v>
      </c>
      <c r="P384" s="34" t="s">
        <v>232</v>
      </c>
      <c r="Q384" s="33" t="n">
        <f>1001</f>
        <v>1001.0</v>
      </c>
      <c r="R384" s="34" t="s">
        <v>50</v>
      </c>
      <c r="S384" s="35" t="n">
        <f>1020.39</f>
        <v>1020.39</v>
      </c>
      <c r="T384" s="32" t="n">
        <f>1323801</f>
        <v>1323801.0</v>
      </c>
      <c r="U384" s="32" t="n">
        <f>448312</f>
        <v>448312.0</v>
      </c>
      <c r="V384" s="32" t="n">
        <f>1348123945</f>
        <v>1.348123945E9</v>
      </c>
      <c r="W384" s="32" t="n">
        <f>456956103</f>
        <v>4.56956103E8</v>
      </c>
      <c r="X384" s="36" t="n">
        <f>18</f>
        <v>18.0</v>
      </c>
    </row>
    <row r="385">
      <c r="A385" s="27" t="s">
        <v>42</v>
      </c>
      <c r="B385" s="27" t="s">
        <v>1198</v>
      </c>
      <c r="C385" s="27" t="s">
        <v>1199</v>
      </c>
      <c r="D385" s="27" t="s">
        <v>1200</v>
      </c>
      <c r="E385" s="28" t="s">
        <v>46</v>
      </c>
      <c r="F385" s="29" t="s">
        <v>46</v>
      </c>
      <c r="G385" s="30" t="s">
        <v>46</v>
      </c>
      <c r="H385" s="31"/>
      <c r="I385" s="31" t="s">
        <v>47</v>
      </c>
      <c r="J385" s="32" t="n">
        <v>1.0</v>
      </c>
      <c r="K385" s="33" t="n">
        <f>1908</f>
        <v>1908.0</v>
      </c>
      <c r="L385" s="34" t="s">
        <v>48</v>
      </c>
      <c r="M385" s="33" t="n">
        <f>1994</f>
        <v>1994.0</v>
      </c>
      <c r="N385" s="34" t="s">
        <v>49</v>
      </c>
      <c r="O385" s="33" t="n">
        <f>1750</f>
        <v>1750.0</v>
      </c>
      <c r="P385" s="34" t="s">
        <v>50</v>
      </c>
      <c r="Q385" s="33" t="n">
        <f>1769</f>
        <v>1769.0</v>
      </c>
      <c r="R385" s="34" t="s">
        <v>50</v>
      </c>
      <c r="S385" s="35" t="n">
        <f>1920.5</f>
        <v>1920.5</v>
      </c>
      <c r="T385" s="32" t="n">
        <f>16094829</f>
        <v>1.6094829E7</v>
      </c>
      <c r="U385" s="32" t="n">
        <f>65419</f>
        <v>65419.0</v>
      </c>
      <c r="V385" s="32" t="n">
        <f>30444311565</f>
        <v>3.0444311565E10</v>
      </c>
      <c r="W385" s="32" t="n">
        <f>120649926</f>
        <v>1.20649926E8</v>
      </c>
      <c r="X385" s="36" t="n">
        <f>18</f>
        <v>18.0</v>
      </c>
    </row>
    <row r="386">
      <c r="A386" s="27" t="s">
        <v>42</v>
      </c>
      <c r="B386" s="27" t="s">
        <v>1201</v>
      </c>
      <c r="C386" s="27" t="s">
        <v>1202</v>
      </c>
      <c r="D386" s="27" t="s">
        <v>1203</v>
      </c>
      <c r="E386" s="28" t="s">
        <v>46</v>
      </c>
      <c r="F386" s="29" t="s">
        <v>46</v>
      </c>
      <c r="G386" s="30" t="s">
        <v>46</v>
      </c>
      <c r="H386" s="31"/>
      <c r="I386" s="31" t="s">
        <v>47</v>
      </c>
      <c r="J386" s="32" t="n">
        <v>10.0</v>
      </c>
      <c r="K386" s="33" t="n">
        <f>1020</f>
        <v>1020.0</v>
      </c>
      <c r="L386" s="34" t="s">
        <v>48</v>
      </c>
      <c r="M386" s="33" t="n">
        <f>1023.5</f>
        <v>1023.5</v>
      </c>
      <c r="N386" s="34" t="s">
        <v>48</v>
      </c>
      <c r="O386" s="33" t="n">
        <f>825</f>
        <v>825.0</v>
      </c>
      <c r="P386" s="34" t="s">
        <v>156</v>
      </c>
      <c r="Q386" s="33" t="n">
        <f>925.9</f>
        <v>925.9</v>
      </c>
      <c r="R386" s="34" t="s">
        <v>50</v>
      </c>
      <c r="S386" s="35" t="n">
        <f>881.64</f>
        <v>881.64</v>
      </c>
      <c r="T386" s="32" t="n">
        <f>2564560</f>
        <v>2564560.0</v>
      </c>
      <c r="U386" s="32" t="n">
        <f>820</f>
        <v>820.0</v>
      </c>
      <c r="V386" s="32" t="n">
        <f>2285892939</f>
        <v>2.285892939E9</v>
      </c>
      <c r="W386" s="32" t="n">
        <f>676668</f>
        <v>676668.0</v>
      </c>
      <c r="X386" s="36" t="n">
        <f>18</f>
        <v>18.0</v>
      </c>
    </row>
    <row r="387">
      <c r="A387" s="27" t="s">
        <v>42</v>
      </c>
      <c r="B387" s="27" t="s">
        <v>1204</v>
      </c>
      <c r="C387" s="27" t="s">
        <v>1205</v>
      </c>
      <c r="D387" s="27" t="s">
        <v>1206</v>
      </c>
      <c r="E387" s="28" t="s">
        <v>1207</v>
      </c>
      <c r="F387" s="29" t="s">
        <v>1208</v>
      </c>
      <c r="G387" s="30" t="s">
        <v>46</v>
      </c>
      <c r="H387" s="31"/>
      <c r="I387" s="31" t="s">
        <v>47</v>
      </c>
      <c r="J387" s="32" t="n">
        <v>1.0</v>
      </c>
      <c r="K387" s="33" t="n">
        <f>587000</f>
        <v>587000.0</v>
      </c>
      <c r="L387" s="34" t="s">
        <v>48</v>
      </c>
      <c r="M387" s="33" t="n">
        <f>587000</f>
        <v>587000.0</v>
      </c>
      <c r="N387" s="34" t="s">
        <v>48</v>
      </c>
      <c r="O387" s="33" t="n">
        <f>561000</f>
        <v>561000.0</v>
      </c>
      <c r="P387" s="34" t="s">
        <v>232</v>
      </c>
      <c r="Q387" s="33" t="n">
        <f>577000</f>
        <v>577000.0</v>
      </c>
      <c r="R387" s="34" t="s">
        <v>99</v>
      </c>
      <c r="S387" s="35" t="n">
        <f>568812.5</f>
        <v>568812.5</v>
      </c>
      <c r="T387" s="32" t="n">
        <f>19872</f>
        <v>19872.0</v>
      </c>
      <c r="U387" s="32" t="n">
        <f>3272</f>
        <v>3272.0</v>
      </c>
      <c r="V387" s="32" t="n">
        <f>11324430079</f>
        <v>1.1324430079E10</v>
      </c>
      <c r="W387" s="32" t="n">
        <f>1863248079</f>
        <v>1.863248079E9</v>
      </c>
      <c r="X387" s="36" t="n">
        <f>16</f>
        <v>16.0</v>
      </c>
    </row>
    <row r="388">
      <c r="A388" s="27" t="s">
        <v>42</v>
      </c>
      <c r="B388" s="27" t="s">
        <v>1204</v>
      </c>
      <c r="C388" s="27" t="s">
        <v>1205</v>
      </c>
      <c r="D388" s="27" t="s">
        <v>1206</v>
      </c>
      <c r="E388" s="28" t="s">
        <v>1207</v>
      </c>
      <c r="F388" s="29" t="s">
        <v>1208</v>
      </c>
      <c r="G388" s="30" t="s">
        <v>46</v>
      </c>
      <c r="H388" s="31"/>
      <c r="I388" s="31" t="s">
        <v>47</v>
      </c>
      <c r="J388" s="32" t="n">
        <v>1.0</v>
      </c>
      <c r="K388" s="33" t="n">
        <f>113100</f>
        <v>113100.0</v>
      </c>
      <c r="L388" s="34" t="s">
        <v>204</v>
      </c>
      <c r="M388" s="33" t="n">
        <f>116300</f>
        <v>116300.0</v>
      </c>
      <c r="N388" s="34" t="s">
        <v>204</v>
      </c>
      <c r="O388" s="33" t="n">
        <f>112700</f>
        <v>112700.0</v>
      </c>
      <c r="P388" s="34" t="s">
        <v>204</v>
      </c>
      <c r="Q388" s="33" t="n">
        <f>115200</f>
        <v>115200.0</v>
      </c>
      <c r="R388" s="34" t="s">
        <v>50</v>
      </c>
      <c r="S388" s="35" t="n">
        <f>115450</f>
        <v>115450.0</v>
      </c>
      <c r="T388" s="32" t="n">
        <f>16677</f>
        <v>16677.0</v>
      </c>
      <c r="U388" s="32" t="n">
        <f>3171</f>
        <v>3171.0</v>
      </c>
      <c r="V388" s="32" t="n">
        <f>1918547522</f>
        <v>1.918547522E9</v>
      </c>
      <c r="W388" s="32" t="n">
        <f>363621322</f>
        <v>3.63621322E8</v>
      </c>
      <c r="X388" s="36" t="n">
        <f>2</f>
        <v>2.0</v>
      </c>
    </row>
    <row r="389">
      <c r="A389" s="27" t="s">
        <v>42</v>
      </c>
      <c r="B389" s="27" t="s">
        <v>1209</v>
      </c>
      <c r="C389" s="27" t="s">
        <v>1210</v>
      </c>
      <c r="D389" s="27" t="s">
        <v>1211</v>
      </c>
      <c r="E389" s="28" t="s">
        <v>46</v>
      </c>
      <c r="F389" s="29" t="s">
        <v>46</v>
      </c>
      <c r="G389" s="30" t="s">
        <v>46</v>
      </c>
      <c r="H389" s="31"/>
      <c r="I389" s="31" t="s">
        <v>47</v>
      </c>
      <c r="J389" s="32" t="n">
        <v>1.0</v>
      </c>
      <c r="K389" s="33" t="n">
        <f>125500</f>
        <v>125500.0</v>
      </c>
      <c r="L389" s="34" t="s">
        <v>48</v>
      </c>
      <c r="M389" s="33" t="n">
        <f>132900</f>
        <v>132900.0</v>
      </c>
      <c r="N389" s="34" t="s">
        <v>50</v>
      </c>
      <c r="O389" s="33" t="n">
        <f>125000</f>
        <v>125000.0</v>
      </c>
      <c r="P389" s="34" t="s">
        <v>48</v>
      </c>
      <c r="Q389" s="33" t="n">
        <f>131100</f>
        <v>131100.0</v>
      </c>
      <c r="R389" s="34" t="s">
        <v>50</v>
      </c>
      <c r="S389" s="35" t="n">
        <f>128616.67</f>
        <v>128616.67</v>
      </c>
      <c r="T389" s="32" t="n">
        <f>104813</f>
        <v>104813.0</v>
      </c>
      <c r="U389" s="32" t="n">
        <f>17169</f>
        <v>17169.0</v>
      </c>
      <c r="V389" s="32" t="n">
        <f>13495093773</f>
        <v>1.3495093773E10</v>
      </c>
      <c r="W389" s="32" t="n">
        <f>2211135273</f>
        <v>2.211135273E9</v>
      </c>
      <c r="X389" s="36" t="n">
        <f>18</f>
        <v>18.0</v>
      </c>
    </row>
    <row r="390">
      <c r="A390" s="27" t="s">
        <v>42</v>
      </c>
      <c r="B390" s="27" t="s">
        <v>1212</v>
      </c>
      <c r="C390" s="27" t="s">
        <v>1213</v>
      </c>
      <c r="D390" s="27" t="s">
        <v>1214</v>
      </c>
      <c r="E390" s="28" t="s">
        <v>46</v>
      </c>
      <c r="F390" s="29" t="s">
        <v>46</v>
      </c>
      <c r="G390" s="30" t="s">
        <v>46</v>
      </c>
      <c r="H390" s="31"/>
      <c r="I390" s="31" t="s">
        <v>47</v>
      </c>
      <c r="J390" s="32" t="n">
        <v>1.0</v>
      </c>
      <c r="K390" s="33" t="n">
        <f>116000</f>
        <v>116000.0</v>
      </c>
      <c r="L390" s="34" t="s">
        <v>48</v>
      </c>
      <c r="M390" s="33" t="n">
        <f>118900</f>
        <v>118900.0</v>
      </c>
      <c r="N390" s="34" t="s">
        <v>50</v>
      </c>
      <c r="O390" s="33" t="n">
        <f>113000</f>
        <v>113000.0</v>
      </c>
      <c r="P390" s="34" t="s">
        <v>232</v>
      </c>
      <c r="Q390" s="33" t="n">
        <f>118900</f>
        <v>118900.0</v>
      </c>
      <c r="R390" s="34" t="s">
        <v>50</v>
      </c>
      <c r="S390" s="35" t="n">
        <f>116133.33</f>
        <v>116133.33</v>
      </c>
      <c r="T390" s="32" t="n">
        <f>172128</f>
        <v>172128.0</v>
      </c>
      <c r="U390" s="32" t="n">
        <f>27270</f>
        <v>27270.0</v>
      </c>
      <c r="V390" s="32" t="n">
        <f>19985984890</f>
        <v>1.998598489E10</v>
      </c>
      <c r="W390" s="32" t="n">
        <f>3163218490</f>
        <v>3.16321849E9</v>
      </c>
      <c r="X390" s="36" t="n">
        <f>18</f>
        <v>18.0</v>
      </c>
    </row>
    <row r="391">
      <c r="A391" s="27" t="s">
        <v>42</v>
      </c>
      <c r="B391" s="27" t="s">
        <v>1215</v>
      </c>
      <c r="C391" s="27" t="s">
        <v>1216</v>
      </c>
      <c r="D391" s="27" t="s">
        <v>1217</v>
      </c>
      <c r="E391" s="28" t="s">
        <v>46</v>
      </c>
      <c r="F391" s="29" t="s">
        <v>46</v>
      </c>
      <c r="G391" s="30" t="s">
        <v>46</v>
      </c>
      <c r="H391" s="31"/>
      <c r="I391" s="31" t="s">
        <v>47</v>
      </c>
      <c r="J391" s="32" t="n">
        <v>1.0</v>
      </c>
      <c r="K391" s="33" t="n">
        <f>142200</f>
        <v>142200.0</v>
      </c>
      <c r="L391" s="34" t="s">
        <v>48</v>
      </c>
      <c r="M391" s="33" t="n">
        <f>146100</f>
        <v>146100.0</v>
      </c>
      <c r="N391" s="34" t="s">
        <v>99</v>
      </c>
      <c r="O391" s="33" t="n">
        <f>136700</f>
        <v>136700.0</v>
      </c>
      <c r="P391" s="34" t="s">
        <v>103</v>
      </c>
      <c r="Q391" s="33" t="n">
        <f>143300</f>
        <v>143300.0</v>
      </c>
      <c r="R391" s="34" t="s">
        <v>50</v>
      </c>
      <c r="S391" s="35" t="n">
        <f>140955.56</f>
        <v>140955.56</v>
      </c>
      <c r="T391" s="32" t="n">
        <f>146949</f>
        <v>146949.0</v>
      </c>
      <c r="U391" s="32" t="n">
        <f>38199</f>
        <v>38199.0</v>
      </c>
      <c r="V391" s="32" t="n">
        <f>20751668083</f>
        <v>2.0751668083E10</v>
      </c>
      <c r="W391" s="32" t="n">
        <f>5382133783</f>
        <v>5.382133783E9</v>
      </c>
      <c r="X391" s="36" t="n">
        <f>18</f>
        <v>18.0</v>
      </c>
    </row>
    <row r="392">
      <c r="A392" s="27" t="s">
        <v>42</v>
      </c>
      <c r="B392" s="27" t="s">
        <v>1218</v>
      </c>
      <c r="C392" s="27" t="s">
        <v>1219</v>
      </c>
      <c r="D392" s="27" t="s">
        <v>1220</v>
      </c>
      <c r="E392" s="28" t="s">
        <v>46</v>
      </c>
      <c r="F392" s="29" t="s">
        <v>46</v>
      </c>
      <c r="G392" s="30" t="s">
        <v>46</v>
      </c>
      <c r="H392" s="31"/>
      <c r="I392" s="31" t="s">
        <v>47</v>
      </c>
      <c r="J392" s="32" t="n">
        <v>1.0</v>
      </c>
      <c r="K392" s="33" t="n">
        <f>339000</f>
        <v>339000.0</v>
      </c>
      <c r="L392" s="34" t="s">
        <v>48</v>
      </c>
      <c r="M392" s="33" t="n">
        <f>342500</f>
        <v>342500.0</v>
      </c>
      <c r="N392" s="34" t="s">
        <v>49</v>
      </c>
      <c r="O392" s="33" t="n">
        <f>330500</f>
        <v>330500.0</v>
      </c>
      <c r="P392" s="34" t="s">
        <v>103</v>
      </c>
      <c r="Q392" s="33" t="n">
        <f>341000</f>
        <v>341000.0</v>
      </c>
      <c r="R392" s="34" t="s">
        <v>50</v>
      </c>
      <c r="S392" s="35" t="n">
        <f>337638.89</f>
        <v>337638.89</v>
      </c>
      <c r="T392" s="32" t="n">
        <f>55059</f>
        <v>55059.0</v>
      </c>
      <c r="U392" s="32" t="n">
        <f>11802</f>
        <v>11802.0</v>
      </c>
      <c r="V392" s="32" t="n">
        <f>18554275568</f>
        <v>1.8554275568E10</v>
      </c>
      <c r="W392" s="32" t="n">
        <f>3969361568</f>
        <v>3.969361568E9</v>
      </c>
      <c r="X392" s="36" t="n">
        <f>18</f>
        <v>18.0</v>
      </c>
    </row>
    <row r="393">
      <c r="A393" s="27" t="s">
        <v>42</v>
      </c>
      <c r="B393" s="27" t="s">
        <v>1221</v>
      </c>
      <c r="C393" s="27" t="s">
        <v>1222</v>
      </c>
      <c r="D393" s="27" t="s">
        <v>1223</v>
      </c>
      <c r="E393" s="28" t="s">
        <v>46</v>
      </c>
      <c r="F393" s="29" t="s">
        <v>46</v>
      </c>
      <c r="G393" s="30" t="s">
        <v>46</v>
      </c>
      <c r="H393" s="31"/>
      <c r="I393" s="31" t="s">
        <v>47</v>
      </c>
      <c r="J393" s="32" t="n">
        <v>1.0</v>
      </c>
      <c r="K393" s="33" t="n">
        <f>127300</f>
        <v>127300.0</v>
      </c>
      <c r="L393" s="34" t="s">
        <v>48</v>
      </c>
      <c r="M393" s="33" t="n">
        <f>128300</f>
        <v>128300.0</v>
      </c>
      <c r="N393" s="34" t="s">
        <v>48</v>
      </c>
      <c r="O393" s="33" t="n">
        <f>120000</f>
        <v>120000.0</v>
      </c>
      <c r="P393" s="34" t="s">
        <v>204</v>
      </c>
      <c r="Q393" s="33" t="n">
        <f>128100</f>
        <v>128100.0</v>
      </c>
      <c r="R393" s="34" t="s">
        <v>50</v>
      </c>
      <c r="S393" s="35" t="n">
        <f>123972.22</f>
        <v>123972.22</v>
      </c>
      <c r="T393" s="32" t="n">
        <f>307975</f>
        <v>307975.0</v>
      </c>
      <c r="U393" s="32" t="n">
        <f>58899</f>
        <v>58899.0</v>
      </c>
      <c r="V393" s="32" t="n">
        <f>38176596825</f>
        <v>3.8176596825E10</v>
      </c>
      <c r="W393" s="32" t="n">
        <f>7282078125</f>
        <v>7.282078125E9</v>
      </c>
      <c r="X393" s="36" t="n">
        <f>18</f>
        <v>18.0</v>
      </c>
    </row>
    <row r="394">
      <c r="A394" s="27" t="s">
        <v>42</v>
      </c>
      <c r="B394" s="27" t="s">
        <v>1224</v>
      </c>
      <c r="C394" s="27" t="s">
        <v>1225</v>
      </c>
      <c r="D394" s="27" t="s">
        <v>1226</v>
      </c>
      <c r="E394" s="28" t="s">
        <v>46</v>
      </c>
      <c r="F394" s="29" t="s">
        <v>46</v>
      </c>
      <c r="G394" s="30" t="s">
        <v>46</v>
      </c>
      <c r="H394" s="31"/>
      <c r="I394" s="31" t="s">
        <v>47</v>
      </c>
      <c r="J394" s="32" t="n">
        <v>1.0</v>
      </c>
      <c r="K394" s="33" t="n">
        <f>272300</f>
        <v>272300.0</v>
      </c>
      <c r="L394" s="34" t="s">
        <v>48</v>
      </c>
      <c r="M394" s="33" t="n">
        <f>274000</f>
        <v>274000.0</v>
      </c>
      <c r="N394" s="34" t="s">
        <v>50</v>
      </c>
      <c r="O394" s="33" t="n">
        <f>261800</f>
        <v>261800.0</v>
      </c>
      <c r="P394" s="34" t="s">
        <v>232</v>
      </c>
      <c r="Q394" s="33" t="n">
        <f>268700</f>
        <v>268700.0</v>
      </c>
      <c r="R394" s="34" t="s">
        <v>50</v>
      </c>
      <c r="S394" s="35" t="n">
        <f>265533.33</f>
        <v>265533.33</v>
      </c>
      <c r="T394" s="32" t="n">
        <f>57702</f>
        <v>57702.0</v>
      </c>
      <c r="U394" s="32" t="n">
        <f>16098</f>
        <v>16098.0</v>
      </c>
      <c r="V394" s="32" t="n">
        <f>15336190779</f>
        <v>1.5336190779E10</v>
      </c>
      <c r="W394" s="32" t="n">
        <f>4272654579</f>
        <v>4.272654579E9</v>
      </c>
      <c r="X394" s="36" t="n">
        <f>18</f>
        <v>18.0</v>
      </c>
    </row>
    <row r="395">
      <c r="A395" s="27" t="s">
        <v>42</v>
      </c>
      <c r="B395" s="27" t="s">
        <v>1227</v>
      </c>
      <c r="C395" s="27" t="s">
        <v>1228</v>
      </c>
      <c r="D395" s="27" t="s">
        <v>1229</v>
      </c>
      <c r="E395" s="28" t="s">
        <v>46</v>
      </c>
      <c r="F395" s="29" t="s">
        <v>46</v>
      </c>
      <c r="G395" s="30" t="s">
        <v>46</v>
      </c>
      <c r="H395" s="31"/>
      <c r="I395" s="31" t="s">
        <v>47</v>
      </c>
      <c r="J395" s="32" t="n">
        <v>1.0</v>
      </c>
      <c r="K395" s="33" t="n">
        <f>236900</f>
        <v>236900.0</v>
      </c>
      <c r="L395" s="34" t="s">
        <v>48</v>
      </c>
      <c r="M395" s="33" t="n">
        <f>247800</f>
        <v>247800.0</v>
      </c>
      <c r="N395" s="34" t="s">
        <v>50</v>
      </c>
      <c r="O395" s="33" t="n">
        <f>225400</f>
        <v>225400.0</v>
      </c>
      <c r="P395" s="34" t="s">
        <v>103</v>
      </c>
      <c r="Q395" s="33" t="n">
        <f>247800</f>
        <v>247800.0</v>
      </c>
      <c r="R395" s="34" t="s">
        <v>50</v>
      </c>
      <c r="S395" s="35" t="n">
        <f>230922.22</f>
        <v>230922.22</v>
      </c>
      <c r="T395" s="32" t="n">
        <f>173211</f>
        <v>173211.0</v>
      </c>
      <c r="U395" s="32" t="n">
        <f>31821</f>
        <v>31821.0</v>
      </c>
      <c r="V395" s="32" t="n">
        <f>40127760203</f>
        <v>4.0127760203E10</v>
      </c>
      <c r="W395" s="32" t="n">
        <f>7328292403</f>
        <v>7.328292403E9</v>
      </c>
      <c r="X395" s="36" t="n">
        <f>18</f>
        <v>18.0</v>
      </c>
    </row>
    <row r="396">
      <c r="A396" s="27" t="s">
        <v>42</v>
      </c>
      <c r="B396" s="27" t="s">
        <v>1230</v>
      </c>
      <c r="C396" s="27" t="s">
        <v>1231</v>
      </c>
      <c r="D396" s="27" t="s">
        <v>1232</v>
      </c>
      <c r="E396" s="28" t="s">
        <v>46</v>
      </c>
      <c r="F396" s="29" t="s">
        <v>46</v>
      </c>
      <c r="G396" s="30" t="s">
        <v>46</v>
      </c>
      <c r="H396" s="31"/>
      <c r="I396" s="31" t="s">
        <v>47</v>
      </c>
      <c r="J396" s="32" t="n">
        <v>1.0</v>
      </c>
      <c r="K396" s="33" t="n">
        <f>208500</f>
        <v>208500.0</v>
      </c>
      <c r="L396" s="34" t="s">
        <v>48</v>
      </c>
      <c r="M396" s="33" t="n">
        <f>209300</f>
        <v>209300.0</v>
      </c>
      <c r="N396" s="34" t="s">
        <v>48</v>
      </c>
      <c r="O396" s="33" t="n">
        <f>201100</f>
        <v>201100.0</v>
      </c>
      <c r="P396" s="34" t="s">
        <v>99</v>
      </c>
      <c r="Q396" s="33" t="n">
        <f>202900</f>
        <v>202900.0</v>
      </c>
      <c r="R396" s="34" t="s">
        <v>50</v>
      </c>
      <c r="S396" s="35" t="n">
        <f>204205.56</f>
        <v>204205.56</v>
      </c>
      <c r="T396" s="32" t="n">
        <f>49110</f>
        <v>49110.0</v>
      </c>
      <c r="U396" s="32" t="n">
        <f>9829</f>
        <v>9829.0</v>
      </c>
      <c r="V396" s="32" t="n">
        <f>10030263954</f>
        <v>1.0030263954E10</v>
      </c>
      <c r="W396" s="32" t="n">
        <f>2008325854</f>
        <v>2.008325854E9</v>
      </c>
      <c r="X396" s="36" t="n">
        <f>18</f>
        <v>18.0</v>
      </c>
    </row>
    <row r="397">
      <c r="A397" s="27" t="s">
        <v>42</v>
      </c>
      <c r="B397" s="27" t="s">
        <v>1233</v>
      </c>
      <c r="C397" s="27" t="s">
        <v>1234</v>
      </c>
      <c r="D397" s="27" t="s">
        <v>1235</v>
      </c>
      <c r="E397" s="28" t="s">
        <v>1236</v>
      </c>
      <c r="F397" s="29" t="s">
        <v>1237</v>
      </c>
      <c r="G397" s="30" t="s">
        <v>1238</v>
      </c>
      <c r="H397" s="31"/>
      <c r="I397" s="31" t="s">
        <v>47</v>
      </c>
      <c r="J397" s="32" t="n">
        <v>1.0</v>
      </c>
      <c r="K397" s="33" t="n">
        <f>990</f>
        <v>990.0</v>
      </c>
      <c r="L397" s="34" t="s">
        <v>83</v>
      </c>
      <c r="M397" s="33" t="n">
        <f>1020</f>
        <v>1020.0</v>
      </c>
      <c r="N397" s="34" t="s">
        <v>204</v>
      </c>
      <c r="O397" s="33" t="n">
        <f>981</f>
        <v>981.0</v>
      </c>
      <c r="P397" s="34" t="s">
        <v>83</v>
      </c>
      <c r="Q397" s="33" t="n">
        <f>1002</f>
        <v>1002.0</v>
      </c>
      <c r="R397" s="34" t="s">
        <v>50</v>
      </c>
      <c r="S397" s="35" t="n">
        <f>1002.5</f>
        <v>1002.5</v>
      </c>
      <c r="T397" s="32" t="n">
        <f>34860</f>
        <v>34860.0</v>
      </c>
      <c r="U397" s="32" t="str">
        <f>"－"</f>
        <v>－</v>
      </c>
      <c r="V397" s="32" t="n">
        <f>34859510</f>
        <v>3.485951E7</v>
      </c>
      <c r="W397" s="32" t="str">
        <f>"－"</f>
        <v>－</v>
      </c>
      <c r="X397" s="36" t="n">
        <f>6</f>
        <v>6.0</v>
      </c>
    </row>
    <row r="398">
      <c r="A398" s="27" t="s">
        <v>42</v>
      </c>
      <c r="B398" s="27" t="s">
        <v>1239</v>
      </c>
      <c r="C398" s="27" t="s">
        <v>1240</v>
      </c>
      <c r="D398" s="27" t="s">
        <v>1241</v>
      </c>
      <c r="E398" s="28" t="s">
        <v>46</v>
      </c>
      <c r="F398" s="29" t="s">
        <v>46</v>
      </c>
      <c r="G398" s="30" t="s">
        <v>46</v>
      </c>
      <c r="H398" s="31"/>
      <c r="I398" s="31" t="s">
        <v>47</v>
      </c>
      <c r="J398" s="32" t="n">
        <v>1.0</v>
      </c>
      <c r="K398" s="33" t="n">
        <f>243100</f>
        <v>243100.0</v>
      </c>
      <c r="L398" s="34" t="s">
        <v>48</v>
      </c>
      <c r="M398" s="33" t="n">
        <f>246200</f>
        <v>246200.0</v>
      </c>
      <c r="N398" s="34" t="s">
        <v>236</v>
      </c>
      <c r="O398" s="33" t="n">
        <f>234400</f>
        <v>234400.0</v>
      </c>
      <c r="P398" s="34" t="s">
        <v>204</v>
      </c>
      <c r="Q398" s="33" t="n">
        <f>236100</f>
        <v>236100.0</v>
      </c>
      <c r="R398" s="34" t="s">
        <v>50</v>
      </c>
      <c r="S398" s="35" t="n">
        <f>240655.56</f>
        <v>240655.56</v>
      </c>
      <c r="T398" s="32" t="n">
        <f>22571</f>
        <v>22571.0</v>
      </c>
      <c r="U398" s="32" t="n">
        <f>2450</f>
        <v>2450.0</v>
      </c>
      <c r="V398" s="32" t="n">
        <f>5422827828</f>
        <v>5.422827828E9</v>
      </c>
      <c r="W398" s="32" t="n">
        <f>588534528</f>
        <v>5.88534528E8</v>
      </c>
      <c r="X398" s="36" t="n">
        <f>18</f>
        <v>18.0</v>
      </c>
    </row>
    <row r="399">
      <c r="A399" s="27" t="s">
        <v>42</v>
      </c>
      <c r="B399" s="27" t="s">
        <v>1242</v>
      </c>
      <c r="C399" s="27" t="s">
        <v>1243</v>
      </c>
      <c r="D399" s="27" t="s">
        <v>1244</v>
      </c>
      <c r="E399" s="28" t="s">
        <v>46</v>
      </c>
      <c r="F399" s="29" t="s">
        <v>46</v>
      </c>
      <c r="G399" s="30" t="s">
        <v>46</v>
      </c>
      <c r="H399" s="31"/>
      <c r="I399" s="31" t="s">
        <v>47</v>
      </c>
      <c r="J399" s="32" t="n">
        <v>1.0</v>
      </c>
      <c r="K399" s="33" t="n">
        <f>124500</f>
        <v>124500.0</v>
      </c>
      <c r="L399" s="34" t="s">
        <v>48</v>
      </c>
      <c r="M399" s="33" t="n">
        <f>131500</f>
        <v>131500.0</v>
      </c>
      <c r="N399" s="34" t="s">
        <v>50</v>
      </c>
      <c r="O399" s="33" t="n">
        <f>121900</f>
        <v>121900.0</v>
      </c>
      <c r="P399" s="34" t="s">
        <v>103</v>
      </c>
      <c r="Q399" s="33" t="n">
        <f>131500</f>
        <v>131500.0</v>
      </c>
      <c r="R399" s="34" t="s">
        <v>50</v>
      </c>
      <c r="S399" s="35" t="n">
        <f>124266.67</f>
        <v>124266.67</v>
      </c>
      <c r="T399" s="32" t="n">
        <f>101657</f>
        <v>101657.0</v>
      </c>
      <c r="U399" s="32" t="n">
        <f>21664</f>
        <v>21664.0</v>
      </c>
      <c r="V399" s="32" t="n">
        <f>12686375180</f>
        <v>1.268637518E10</v>
      </c>
      <c r="W399" s="32" t="n">
        <f>2695739480</f>
        <v>2.69573948E9</v>
      </c>
      <c r="X399" s="36" t="n">
        <f>18</f>
        <v>18.0</v>
      </c>
    </row>
    <row r="400">
      <c r="A400" s="27" t="s">
        <v>42</v>
      </c>
      <c r="B400" s="27" t="s">
        <v>1245</v>
      </c>
      <c r="C400" s="27" t="s">
        <v>1246</v>
      </c>
      <c r="D400" s="27" t="s">
        <v>1247</v>
      </c>
      <c r="E400" s="28" t="s">
        <v>46</v>
      </c>
      <c r="F400" s="29" t="s">
        <v>46</v>
      </c>
      <c r="G400" s="30" t="s">
        <v>46</v>
      </c>
      <c r="H400" s="31"/>
      <c r="I400" s="31" t="s">
        <v>47</v>
      </c>
      <c r="J400" s="32" t="n">
        <v>1.0</v>
      </c>
      <c r="K400" s="33" t="n">
        <f>142800</f>
        <v>142800.0</v>
      </c>
      <c r="L400" s="34" t="s">
        <v>48</v>
      </c>
      <c r="M400" s="33" t="n">
        <f>149500</f>
        <v>149500.0</v>
      </c>
      <c r="N400" s="34" t="s">
        <v>50</v>
      </c>
      <c r="O400" s="33" t="n">
        <f>139300</f>
        <v>139300.0</v>
      </c>
      <c r="P400" s="34" t="s">
        <v>103</v>
      </c>
      <c r="Q400" s="33" t="n">
        <f>149500</f>
        <v>149500.0</v>
      </c>
      <c r="R400" s="34" t="s">
        <v>50</v>
      </c>
      <c r="S400" s="35" t="n">
        <f>143116.67</f>
        <v>143116.67</v>
      </c>
      <c r="T400" s="32" t="n">
        <f>80061</f>
        <v>80061.0</v>
      </c>
      <c r="U400" s="32" t="n">
        <f>13443</f>
        <v>13443.0</v>
      </c>
      <c r="V400" s="32" t="n">
        <f>11482863174</f>
        <v>1.1482863174E10</v>
      </c>
      <c r="W400" s="32" t="n">
        <f>1919643874</f>
        <v>1.919643874E9</v>
      </c>
      <c r="X400" s="36" t="n">
        <f>18</f>
        <v>18.0</v>
      </c>
    </row>
    <row r="401">
      <c r="A401" s="27" t="s">
        <v>42</v>
      </c>
      <c r="B401" s="27" t="s">
        <v>1248</v>
      </c>
      <c r="C401" s="27" t="s">
        <v>1249</v>
      </c>
      <c r="D401" s="27" t="s">
        <v>1250</v>
      </c>
      <c r="E401" s="28" t="s">
        <v>46</v>
      </c>
      <c r="F401" s="29" t="s">
        <v>46</v>
      </c>
      <c r="G401" s="30" t="s">
        <v>46</v>
      </c>
      <c r="H401" s="31"/>
      <c r="I401" s="31" t="s">
        <v>47</v>
      </c>
      <c r="J401" s="32" t="n">
        <v>1.0</v>
      </c>
      <c r="K401" s="33" t="n">
        <f>81900</f>
        <v>81900.0</v>
      </c>
      <c r="L401" s="34" t="s">
        <v>48</v>
      </c>
      <c r="M401" s="33" t="n">
        <f>83600</f>
        <v>83600.0</v>
      </c>
      <c r="N401" s="34" t="s">
        <v>50</v>
      </c>
      <c r="O401" s="33" t="n">
        <f>79500</f>
        <v>79500.0</v>
      </c>
      <c r="P401" s="34" t="s">
        <v>79</v>
      </c>
      <c r="Q401" s="33" t="n">
        <f>83000</f>
        <v>83000.0</v>
      </c>
      <c r="R401" s="34" t="s">
        <v>50</v>
      </c>
      <c r="S401" s="35" t="n">
        <f>81627.78</f>
        <v>81627.78</v>
      </c>
      <c r="T401" s="32" t="n">
        <f>100827</f>
        <v>100827.0</v>
      </c>
      <c r="U401" s="32" t="n">
        <f>20422</f>
        <v>20422.0</v>
      </c>
      <c r="V401" s="32" t="n">
        <f>8249895346</f>
        <v>8.249895346E9</v>
      </c>
      <c r="W401" s="32" t="n">
        <f>1671029646</f>
        <v>1.671029646E9</v>
      </c>
      <c r="X401" s="36" t="n">
        <f>18</f>
        <v>18.0</v>
      </c>
    </row>
    <row r="402">
      <c r="A402" s="27" t="s">
        <v>42</v>
      </c>
      <c r="B402" s="27" t="s">
        <v>1251</v>
      </c>
      <c r="C402" s="27" t="s">
        <v>1252</v>
      </c>
      <c r="D402" s="27" t="s">
        <v>1253</v>
      </c>
      <c r="E402" s="28" t="s">
        <v>46</v>
      </c>
      <c r="F402" s="29" t="s">
        <v>46</v>
      </c>
      <c r="G402" s="30" t="s">
        <v>46</v>
      </c>
      <c r="H402" s="31"/>
      <c r="I402" s="31" t="s">
        <v>47</v>
      </c>
      <c r="J402" s="32" t="n">
        <v>1.0</v>
      </c>
      <c r="K402" s="33" t="n">
        <f>79500</f>
        <v>79500.0</v>
      </c>
      <c r="L402" s="34" t="s">
        <v>48</v>
      </c>
      <c r="M402" s="33" t="n">
        <f>79700</f>
        <v>79700.0</v>
      </c>
      <c r="N402" s="34" t="s">
        <v>48</v>
      </c>
      <c r="O402" s="33" t="n">
        <f>76200</f>
        <v>76200.0</v>
      </c>
      <c r="P402" s="34" t="s">
        <v>232</v>
      </c>
      <c r="Q402" s="33" t="n">
        <f>77900</f>
        <v>77900.0</v>
      </c>
      <c r="R402" s="34" t="s">
        <v>50</v>
      </c>
      <c r="S402" s="35" t="n">
        <f>77805.56</f>
        <v>77805.56</v>
      </c>
      <c r="T402" s="32" t="n">
        <f>194659</f>
        <v>194659.0</v>
      </c>
      <c r="U402" s="32" t="n">
        <f>47420</f>
        <v>47420.0</v>
      </c>
      <c r="V402" s="32" t="n">
        <f>15148875212</f>
        <v>1.5148875212E10</v>
      </c>
      <c r="W402" s="32" t="n">
        <f>3689099212</f>
        <v>3.689099212E9</v>
      </c>
      <c r="X402" s="36" t="n">
        <f>18</f>
        <v>18.0</v>
      </c>
    </row>
    <row r="403">
      <c r="A403" s="27" t="s">
        <v>42</v>
      </c>
      <c r="B403" s="27" t="s">
        <v>1254</v>
      </c>
      <c r="C403" s="27" t="s">
        <v>1255</v>
      </c>
      <c r="D403" s="27" t="s">
        <v>1256</v>
      </c>
      <c r="E403" s="28" t="s">
        <v>46</v>
      </c>
      <c r="F403" s="29" t="s">
        <v>46</v>
      </c>
      <c r="G403" s="30" t="s">
        <v>46</v>
      </c>
      <c r="H403" s="31"/>
      <c r="I403" s="31" t="s">
        <v>414</v>
      </c>
      <c r="J403" s="32" t="n">
        <v>1.0</v>
      </c>
      <c r="K403" s="33" t="n">
        <f>128000</f>
        <v>128000.0</v>
      </c>
      <c r="L403" s="34" t="s">
        <v>48</v>
      </c>
      <c r="M403" s="33" t="n">
        <f>132400</f>
        <v>132400.0</v>
      </c>
      <c r="N403" s="34" t="s">
        <v>50</v>
      </c>
      <c r="O403" s="33" t="n">
        <f>125200</f>
        <v>125200.0</v>
      </c>
      <c r="P403" s="34" t="s">
        <v>103</v>
      </c>
      <c r="Q403" s="33" t="n">
        <f>130100</f>
        <v>130100.0</v>
      </c>
      <c r="R403" s="34" t="s">
        <v>50</v>
      </c>
      <c r="S403" s="35" t="n">
        <f>128311.11</f>
        <v>128311.11</v>
      </c>
      <c r="T403" s="32" t="n">
        <f>14739</f>
        <v>14739.0</v>
      </c>
      <c r="U403" s="32" t="n">
        <f>2210</f>
        <v>2210.0</v>
      </c>
      <c r="V403" s="32" t="n">
        <f>1889862697</f>
        <v>1.889862697E9</v>
      </c>
      <c r="W403" s="32" t="n">
        <f>283591997</f>
        <v>2.83591997E8</v>
      </c>
      <c r="X403" s="36" t="n">
        <f>18</f>
        <v>18.0</v>
      </c>
    </row>
    <row r="404">
      <c r="A404" s="27" t="s">
        <v>42</v>
      </c>
      <c r="B404" s="27" t="s">
        <v>1257</v>
      </c>
      <c r="C404" s="27" t="s">
        <v>1258</v>
      </c>
      <c r="D404" s="27" t="s">
        <v>1259</v>
      </c>
      <c r="E404" s="28" t="s">
        <v>46</v>
      </c>
      <c r="F404" s="29" t="s">
        <v>46</v>
      </c>
      <c r="G404" s="30" t="s">
        <v>46</v>
      </c>
      <c r="H404" s="31"/>
      <c r="I404" s="31" t="s">
        <v>47</v>
      </c>
      <c r="J404" s="32" t="n">
        <v>1.0</v>
      </c>
      <c r="K404" s="33" t="n">
        <f>106000</f>
        <v>106000.0</v>
      </c>
      <c r="L404" s="34" t="s">
        <v>48</v>
      </c>
      <c r="M404" s="33" t="n">
        <f>109600</f>
        <v>109600.0</v>
      </c>
      <c r="N404" s="34" t="s">
        <v>50</v>
      </c>
      <c r="O404" s="33" t="n">
        <f>103900</f>
        <v>103900.0</v>
      </c>
      <c r="P404" s="34" t="s">
        <v>232</v>
      </c>
      <c r="Q404" s="33" t="n">
        <f>108100</f>
        <v>108100.0</v>
      </c>
      <c r="R404" s="34" t="s">
        <v>50</v>
      </c>
      <c r="S404" s="35" t="n">
        <f>106116.67</f>
        <v>106116.67</v>
      </c>
      <c r="T404" s="32" t="n">
        <f>18007</f>
        <v>18007.0</v>
      </c>
      <c r="U404" s="32" t="n">
        <f>2105</f>
        <v>2105.0</v>
      </c>
      <c r="V404" s="32" t="n">
        <f>1910086721</f>
        <v>1.910086721E9</v>
      </c>
      <c r="W404" s="32" t="n">
        <f>223455521</f>
        <v>2.23455521E8</v>
      </c>
      <c r="X404" s="36" t="n">
        <f>18</f>
        <v>18.0</v>
      </c>
    </row>
    <row r="405">
      <c r="A405" s="27" t="s">
        <v>42</v>
      </c>
      <c r="B405" s="27" t="s">
        <v>1260</v>
      </c>
      <c r="C405" s="27" t="s">
        <v>1261</v>
      </c>
      <c r="D405" s="27" t="s">
        <v>1262</v>
      </c>
      <c r="E405" s="28" t="s">
        <v>46</v>
      </c>
      <c r="F405" s="29" t="s">
        <v>46</v>
      </c>
      <c r="G405" s="30" t="s">
        <v>46</v>
      </c>
      <c r="H405" s="31"/>
      <c r="I405" s="31" t="s">
        <v>47</v>
      </c>
      <c r="J405" s="32" t="n">
        <v>1.0</v>
      </c>
      <c r="K405" s="33" t="n">
        <f>93500</f>
        <v>93500.0</v>
      </c>
      <c r="L405" s="34" t="s">
        <v>48</v>
      </c>
      <c r="M405" s="33" t="n">
        <f>95800</f>
        <v>95800.0</v>
      </c>
      <c r="N405" s="34" t="s">
        <v>236</v>
      </c>
      <c r="O405" s="33" t="n">
        <f>90400</f>
        <v>90400.0</v>
      </c>
      <c r="P405" s="34" t="s">
        <v>103</v>
      </c>
      <c r="Q405" s="33" t="n">
        <f>91900</f>
        <v>91900.0</v>
      </c>
      <c r="R405" s="34" t="s">
        <v>50</v>
      </c>
      <c r="S405" s="35" t="n">
        <f>93483.33</f>
        <v>93483.33</v>
      </c>
      <c r="T405" s="32" t="n">
        <f>23834</f>
        <v>23834.0</v>
      </c>
      <c r="U405" s="32" t="n">
        <f>2380</f>
        <v>2380.0</v>
      </c>
      <c r="V405" s="32" t="n">
        <f>2227019813</f>
        <v>2.227019813E9</v>
      </c>
      <c r="W405" s="32" t="n">
        <f>222439113</f>
        <v>2.22439113E8</v>
      </c>
      <c r="X405" s="36" t="n">
        <f>18</f>
        <v>18.0</v>
      </c>
    </row>
    <row r="406">
      <c r="A406" s="27" t="s">
        <v>42</v>
      </c>
      <c r="B406" s="27" t="s">
        <v>1263</v>
      </c>
      <c r="C406" s="27" t="s">
        <v>1264</v>
      </c>
      <c r="D406" s="27" t="s">
        <v>1265</v>
      </c>
      <c r="E406" s="28" t="s">
        <v>46</v>
      </c>
      <c r="F406" s="29" t="s">
        <v>46</v>
      </c>
      <c r="G406" s="30" t="s">
        <v>46</v>
      </c>
      <c r="H406" s="31"/>
      <c r="I406" s="31" t="s">
        <v>47</v>
      </c>
      <c r="J406" s="32" t="n">
        <v>1.0</v>
      </c>
      <c r="K406" s="33" t="n">
        <f>149100</f>
        <v>149100.0</v>
      </c>
      <c r="L406" s="34" t="s">
        <v>48</v>
      </c>
      <c r="M406" s="33" t="n">
        <f>149700</f>
        <v>149700.0</v>
      </c>
      <c r="N406" s="34" t="s">
        <v>48</v>
      </c>
      <c r="O406" s="33" t="n">
        <f>140000</f>
        <v>140000.0</v>
      </c>
      <c r="P406" s="34" t="s">
        <v>50</v>
      </c>
      <c r="Q406" s="33" t="n">
        <f>140200</f>
        <v>140200.0</v>
      </c>
      <c r="R406" s="34" t="s">
        <v>50</v>
      </c>
      <c r="S406" s="35" t="n">
        <f>143983.33</f>
        <v>143983.33</v>
      </c>
      <c r="T406" s="32" t="n">
        <f>225542</f>
        <v>225542.0</v>
      </c>
      <c r="U406" s="32" t="n">
        <f>49830</f>
        <v>49830.0</v>
      </c>
      <c r="V406" s="32" t="n">
        <f>32469182894</f>
        <v>3.2469182894E10</v>
      </c>
      <c r="W406" s="32" t="n">
        <f>7185434094</f>
        <v>7.185434094E9</v>
      </c>
      <c r="X406" s="36" t="n">
        <f>18</f>
        <v>18.0</v>
      </c>
    </row>
    <row r="407">
      <c r="A407" s="27" t="s">
        <v>42</v>
      </c>
      <c r="B407" s="27" t="s">
        <v>1266</v>
      </c>
      <c r="C407" s="27" t="s">
        <v>1267</v>
      </c>
      <c r="D407" s="27" t="s">
        <v>1268</v>
      </c>
      <c r="E407" s="28" t="s">
        <v>46</v>
      </c>
      <c r="F407" s="29" t="s">
        <v>46</v>
      </c>
      <c r="G407" s="30" t="s">
        <v>46</v>
      </c>
      <c r="H407" s="31"/>
      <c r="I407" s="31" t="s">
        <v>414</v>
      </c>
      <c r="J407" s="32" t="n">
        <v>1.0</v>
      </c>
      <c r="K407" s="33" t="n">
        <f>130000</f>
        <v>130000.0</v>
      </c>
      <c r="L407" s="34" t="s">
        <v>48</v>
      </c>
      <c r="M407" s="33" t="n">
        <f>130200</f>
        <v>130200.0</v>
      </c>
      <c r="N407" s="34" t="s">
        <v>48</v>
      </c>
      <c r="O407" s="33" t="n">
        <f>119800</f>
        <v>119800.0</v>
      </c>
      <c r="P407" s="34" t="s">
        <v>99</v>
      </c>
      <c r="Q407" s="33" t="n">
        <f>121000</f>
        <v>121000.0</v>
      </c>
      <c r="R407" s="34" t="s">
        <v>50</v>
      </c>
      <c r="S407" s="35" t="n">
        <f>123572.22</f>
        <v>123572.22</v>
      </c>
      <c r="T407" s="32" t="n">
        <f>48912</f>
        <v>48912.0</v>
      </c>
      <c r="U407" s="32" t="n">
        <f>3215</f>
        <v>3215.0</v>
      </c>
      <c r="V407" s="32" t="n">
        <f>6088815484</f>
        <v>6.088815484E9</v>
      </c>
      <c r="W407" s="32" t="n">
        <f>397843884</f>
        <v>3.97843884E8</v>
      </c>
      <c r="X407" s="36" t="n">
        <f>18</f>
        <v>18.0</v>
      </c>
    </row>
    <row r="408">
      <c r="A408" s="27" t="s">
        <v>42</v>
      </c>
      <c r="B408" s="27" t="s">
        <v>1269</v>
      </c>
      <c r="C408" s="27" t="s">
        <v>1270</v>
      </c>
      <c r="D408" s="27" t="s">
        <v>1271</v>
      </c>
      <c r="E408" s="28" t="s">
        <v>46</v>
      </c>
      <c r="F408" s="29" t="s">
        <v>46</v>
      </c>
      <c r="G408" s="30" t="s">
        <v>46</v>
      </c>
      <c r="H408" s="31"/>
      <c r="I408" s="31" t="s">
        <v>47</v>
      </c>
      <c r="J408" s="32" t="n">
        <v>1.0</v>
      </c>
      <c r="K408" s="33" t="n">
        <f>142800</f>
        <v>142800.0</v>
      </c>
      <c r="L408" s="34" t="s">
        <v>48</v>
      </c>
      <c r="M408" s="33" t="n">
        <f>147300</f>
        <v>147300.0</v>
      </c>
      <c r="N408" s="34" t="s">
        <v>50</v>
      </c>
      <c r="O408" s="33" t="n">
        <f>138200</f>
        <v>138200.0</v>
      </c>
      <c r="P408" s="34" t="s">
        <v>103</v>
      </c>
      <c r="Q408" s="33" t="n">
        <f>147300</f>
        <v>147300.0</v>
      </c>
      <c r="R408" s="34" t="s">
        <v>50</v>
      </c>
      <c r="S408" s="35" t="n">
        <f>140666.67</f>
        <v>140666.67</v>
      </c>
      <c r="T408" s="32" t="n">
        <f>132036</f>
        <v>132036.0</v>
      </c>
      <c r="U408" s="32" t="n">
        <f>31701</f>
        <v>31701.0</v>
      </c>
      <c r="V408" s="32" t="n">
        <f>18597186467</f>
        <v>1.8597186467E10</v>
      </c>
      <c r="W408" s="32" t="n">
        <f>4448266367</f>
        <v>4.448266367E9</v>
      </c>
      <c r="X408" s="36" t="n">
        <f>18</f>
        <v>18.0</v>
      </c>
    </row>
    <row r="409">
      <c r="A409" s="27" t="s">
        <v>42</v>
      </c>
      <c r="B409" s="27" t="s">
        <v>1272</v>
      </c>
      <c r="C409" s="27" t="s">
        <v>1273</v>
      </c>
      <c r="D409" s="27" t="s">
        <v>1274</v>
      </c>
      <c r="E409" s="28" t="s">
        <v>46</v>
      </c>
      <c r="F409" s="29" t="s">
        <v>46</v>
      </c>
      <c r="G409" s="30" t="s">
        <v>46</v>
      </c>
      <c r="H409" s="31"/>
      <c r="I409" s="31" t="s">
        <v>47</v>
      </c>
      <c r="J409" s="32" t="n">
        <v>1.0</v>
      </c>
      <c r="K409" s="33" t="n">
        <f>51900</f>
        <v>51900.0</v>
      </c>
      <c r="L409" s="34" t="s">
        <v>48</v>
      </c>
      <c r="M409" s="33" t="n">
        <f>53000</f>
        <v>53000.0</v>
      </c>
      <c r="N409" s="34" t="s">
        <v>236</v>
      </c>
      <c r="O409" s="33" t="n">
        <f>50900</f>
        <v>50900.0</v>
      </c>
      <c r="P409" s="34" t="s">
        <v>103</v>
      </c>
      <c r="Q409" s="33" t="n">
        <f>52200</f>
        <v>52200.0</v>
      </c>
      <c r="R409" s="34" t="s">
        <v>50</v>
      </c>
      <c r="S409" s="35" t="n">
        <f>52050</f>
        <v>52050.0</v>
      </c>
      <c r="T409" s="32" t="n">
        <f>170168</f>
        <v>170168.0</v>
      </c>
      <c r="U409" s="32" t="n">
        <f>36290</f>
        <v>36290.0</v>
      </c>
      <c r="V409" s="32" t="n">
        <f>8853606317</f>
        <v>8.853606317E9</v>
      </c>
      <c r="W409" s="32" t="n">
        <f>1887478817</f>
        <v>1.887478817E9</v>
      </c>
      <c r="X409" s="36" t="n">
        <f>18</f>
        <v>18.0</v>
      </c>
    </row>
    <row r="410">
      <c r="A410" s="27" t="s">
        <v>42</v>
      </c>
      <c r="B410" s="27" t="s">
        <v>1275</v>
      </c>
      <c r="C410" s="27" t="s">
        <v>1276</v>
      </c>
      <c r="D410" s="27" t="s">
        <v>1277</v>
      </c>
      <c r="E410" s="28" t="s">
        <v>46</v>
      </c>
      <c r="F410" s="29" t="s">
        <v>46</v>
      </c>
      <c r="G410" s="30" t="s">
        <v>46</v>
      </c>
      <c r="H410" s="31"/>
      <c r="I410" s="31" t="s">
        <v>414</v>
      </c>
      <c r="J410" s="32" t="n">
        <v>1.0</v>
      </c>
      <c r="K410" s="33" t="n">
        <f>110400</f>
        <v>110400.0</v>
      </c>
      <c r="L410" s="34" t="s">
        <v>48</v>
      </c>
      <c r="M410" s="33" t="n">
        <f>110400</f>
        <v>110400.0</v>
      </c>
      <c r="N410" s="34" t="s">
        <v>48</v>
      </c>
      <c r="O410" s="33" t="n">
        <f>101500</f>
        <v>101500.0</v>
      </c>
      <c r="P410" s="34" t="s">
        <v>156</v>
      </c>
      <c r="Q410" s="33" t="n">
        <f>103200</f>
        <v>103200.0</v>
      </c>
      <c r="R410" s="34" t="s">
        <v>50</v>
      </c>
      <c r="S410" s="35" t="n">
        <f>106094.44</f>
        <v>106094.44</v>
      </c>
      <c r="T410" s="32" t="n">
        <f>21918</f>
        <v>21918.0</v>
      </c>
      <c r="U410" s="32" t="n">
        <f>1450</f>
        <v>1450.0</v>
      </c>
      <c r="V410" s="32" t="n">
        <f>2301832222</f>
        <v>2.301832222E9</v>
      </c>
      <c r="W410" s="32" t="n">
        <f>153797122</f>
        <v>1.53797122E8</v>
      </c>
      <c r="X410" s="36" t="n">
        <f>18</f>
        <v>18.0</v>
      </c>
    </row>
    <row r="411">
      <c r="A411" s="27" t="s">
        <v>42</v>
      </c>
      <c r="B411" s="27" t="s">
        <v>1278</v>
      </c>
      <c r="C411" s="27" t="s">
        <v>1279</v>
      </c>
      <c r="D411" s="27" t="s">
        <v>1280</v>
      </c>
      <c r="E411" s="28" t="s">
        <v>46</v>
      </c>
      <c r="F411" s="29" t="s">
        <v>46</v>
      </c>
      <c r="G411" s="30" t="s">
        <v>46</v>
      </c>
      <c r="H411" s="31"/>
      <c r="I411" s="31" t="s">
        <v>47</v>
      </c>
      <c r="J411" s="32" t="n">
        <v>1.0</v>
      </c>
      <c r="K411" s="33" t="n">
        <f>101100</f>
        <v>101100.0</v>
      </c>
      <c r="L411" s="34" t="s">
        <v>48</v>
      </c>
      <c r="M411" s="33" t="n">
        <f>104600</f>
        <v>104600.0</v>
      </c>
      <c r="N411" s="34" t="s">
        <v>50</v>
      </c>
      <c r="O411" s="33" t="n">
        <f>98400</f>
        <v>98400.0</v>
      </c>
      <c r="P411" s="34" t="s">
        <v>103</v>
      </c>
      <c r="Q411" s="33" t="n">
        <f>103100</f>
        <v>103100.0</v>
      </c>
      <c r="R411" s="34" t="s">
        <v>50</v>
      </c>
      <c r="S411" s="35" t="n">
        <f>101211.11</f>
        <v>101211.11</v>
      </c>
      <c r="T411" s="32" t="n">
        <f>247289</f>
        <v>247289.0</v>
      </c>
      <c r="U411" s="32" t="n">
        <f>57004</f>
        <v>57004.0</v>
      </c>
      <c r="V411" s="32" t="n">
        <f>25079416971</f>
        <v>2.5079416971E10</v>
      </c>
      <c r="W411" s="32" t="n">
        <f>5767666371</f>
        <v>5.767666371E9</v>
      </c>
      <c r="X411" s="36" t="n">
        <f>18</f>
        <v>18.0</v>
      </c>
    </row>
    <row r="412">
      <c r="A412" s="27" t="s">
        <v>42</v>
      </c>
      <c r="B412" s="27" t="s">
        <v>1281</v>
      </c>
      <c r="C412" s="27" t="s">
        <v>1282</v>
      </c>
      <c r="D412" s="27" t="s">
        <v>1283</v>
      </c>
      <c r="E412" s="28" t="s">
        <v>46</v>
      </c>
      <c r="F412" s="29" t="s">
        <v>46</v>
      </c>
      <c r="G412" s="30" t="s">
        <v>46</v>
      </c>
      <c r="H412" s="31"/>
      <c r="I412" s="31" t="s">
        <v>414</v>
      </c>
      <c r="J412" s="32" t="n">
        <v>1.0</v>
      </c>
      <c r="K412" s="33" t="n">
        <f>67400</f>
        <v>67400.0</v>
      </c>
      <c r="L412" s="34" t="s">
        <v>48</v>
      </c>
      <c r="M412" s="33" t="n">
        <f>69100</f>
        <v>69100.0</v>
      </c>
      <c r="N412" s="34" t="s">
        <v>50</v>
      </c>
      <c r="O412" s="33" t="n">
        <f>64800</f>
        <v>64800.0</v>
      </c>
      <c r="P412" s="34" t="s">
        <v>161</v>
      </c>
      <c r="Q412" s="33" t="n">
        <f>67400</f>
        <v>67400.0</v>
      </c>
      <c r="R412" s="34" t="s">
        <v>50</v>
      </c>
      <c r="S412" s="35" t="n">
        <f>66877.78</f>
        <v>66877.78</v>
      </c>
      <c r="T412" s="32" t="n">
        <f>28165</f>
        <v>28165.0</v>
      </c>
      <c r="U412" s="32" t="n">
        <f>1716</f>
        <v>1716.0</v>
      </c>
      <c r="V412" s="32" t="n">
        <f>1886639990</f>
        <v>1.88663999E9</v>
      </c>
      <c r="W412" s="32" t="n">
        <f>115120790</f>
        <v>1.1512079E8</v>
      </c>
      <c r="X412" s="36" t="n">
        <f>18</f>
        <v>18.0</v>
      </c>
    </row>
    <row r="413">
      <c r="A413" s="27" t="s">
        <v>42</v>
      </c>
      <c r="B413" s="27" t="s">
        <v>1284</v>
      </c>
      <c r="C413" s="27" t="s">
        <v>1285</v>
      </c>
      <c r="D413" s="27" t="s">
        <v>1286</v>
      </c>
      <c r="E413" s="28" t="s">
        <v>46</v>
      </c>
      <c r="F413" s="29" t="s">
        <v>46</v>
      </c>
      <c r="G413" s="30" t="s">
        <v>46</v>
      </c>
      <c r="H413" s="31"/>
      <c r="I413" s="31" t="s">
        <v>47</v>
      </c>
      <c r="J413" s="32" t="n">
        <v>1.0</v>
      </c>
      <c r="K413" s="33" t="n">
        <f>41600</f>
        <v>41600.0</v>
      </c>
      <c r="L413" s="34" t="s">
        <v>48</v>
      </c>
      <c r="M413" s="33" t="n">
        <f>42750</f>
        <v>42750.0</v>
      </c>
      <c r="N413" s="34" t="s">
        <v>204</v>
      </c>
      <c r="O413" s="33" t="n">
        <f>40850</f>
        <v>40850.0</v>
      </c>
      <c r="P413" s="34" t="s">
        <v>103</v>
      </c>
      <c r="Q413" s="33" t="n">
        <f>41900</f>
        <v>41900.0</v>
      </c>
      <c r="R413" s="34" t="s">
        <v>50</v>
      </c>
      <c r="S413" s="35" t="n">
        <f>41647.22</f>
        <v>41647.22</v>
      </c>
      <c r="T413" s="32" t="n">
        <f>85815</f>
        <v>85815.0</v>
      </c>
      <c r="U413" s="32" t="n">
        <f>13956</f>
        <v>13956.0</v>
      </c>
      <c r="V413" s="32" t="n">
        <f>3584069483</f>
        <v>3.584069483E9</v>
      </c>
      <c r="W413" s="32" t="n">
        <f>583059783</f>
        <v>5.83059783E8</v>
      </c>
      <c r="X413" s="36" t="n">
        <f>18</f>
        <v>18.0</v>
      </c>
    </row>
    <row r="414">
      <c r="A414" s="27" t="s">
        <v>42</v>
      </c>
      <c r="B414" s="27" t="s">
        <v>1287</v>
      </c>
      <c r="C414" s="27" t="s">
        <v>1288</v>
      </c>
      <c r="D414" s="27" t="s">
        <v>1289</v>
      </c>
      <c r="E414" s="28" t="s">
        <v>1207</v>
      </c>
      <c r="F414" s="29" t="s">
        <v>1208</v>
      </c>
      <c r="G414" s="30" t="s">
        <v>46</v>
      </c>
      <c r="H414" s="31"/>
      <c r="I414" s="31" t="s">
        <v>47</v>
      </c>
      <c r="J414" s="32" t="n">
        <v>1.0</v>
      </c>
      <c r="K414" s="33" t="n">
        <f>356000</f>
        <v>356000.0</v>
      </c>
      <c r="L414" s="34" t="s">
        <v>48</v>
      </c>
      <c r="M414" s="33" t="n">
        <f>356000</f>
        <v>356000.0</v>
      </c>
      <c r="N414" s="34" t="s">
        <v>48</v>
      </c>
      <c r="O414" s="33" t="n">
        <f>346000</f>
        <v>346000.0</v>
      </c>
      <c r="P414" s="34" t="s">
        <v>103</v>
      </c>
      <c r="Q414" s="33" t="n">
        <f>352500</f>
        <v>352500.0</v>
      </c>
      <c r="R414" s="34" t="s">
        <v>99</v>
      </c>
      <c r="S414" s="35" t="n">
        <f>350093.75</f>
        <v>350093.75</v>
      </c>
      <c r="T414" s="32" t="n">
        <f>27982</f>
        <v>27982.0</v>
      </c>
      <c r="U414" s="32" t="n">
        <f>4801</f>
        <v>4801.0</v>
      </c>
      <c r="V414" s="32" t="n">
        <f>9803133095</f>
        <v>9.803133095E9</v>
      </c>
      <c r="W414" s="32" t="n">
        <f>1680398595</f>
        <v>1.680398595E9</v>
      </c>
      <c r="X414" s="36" t="n">
        <f>16</f>
        <v>16.0</v>
      </c>
    </row>
    <row r="415">
      <c r="A415" s="27" t="s">
        <v>42</v>
      </c>
      <c r="B415" s="27" t="s">
        <v>1287</v>
      </c>
      <c r="C415" s="27" t="s">
        <v>1288</v>
      </c>
      <c r="D415" s="27" t="s">
        <v>1289</v>
      </c>
      <c r="E415" s="28" t="s">
        <v>1207</v>
      </c>
      <c r="F415" s="29" t="s">
        <v>1208</v>
      </c>
      <c r="G415" s="30" t="s">
        <v>46</v>
      </c>
      <c r="H415" s="31"/>
      <c r="I415" s="31" t="s">
        <v>47</v>
      </c>
      <c r="J415" s="32" t="n">
        <v>1.0</v>
      </c>
      <c r="K415" s="33" t="n">
        <f>114300</f>
        <v>114300.0</v>
      </c>
      <c r="L415" s="34" t="s">
        <v>204</v>
      </c>
      <c r="M415" s="33" t="n">
        <f>116700</f>
        <v>116700.0</v>
      </c>
      <c r="N415" s="34" t="s">
        <v>204</v>
      </c>
      <c r="O415" s="33" t="n">
        <f>114200</f>
        <v>114200.0</v>
      </c>
      <c r="P415" s="34" t="s">
        <v>204</v>
      </c>
      <c r="Q415" s="33" t="n">
        <f>115100</f>
        <v>115100.0</v>
      </c>
      <c r="R415" s="34" t="s">
        <v>50</v>
      </c>
      <c r="S415" s="35" t="n">
        <f>115800</f>
        <v>115800.0</v>
      </c>
      <c r="T415" s="32" t="n">
        <f>13128</f>
        <v>13128.0</v>
      </c>
      <c r="U415" s="32" t="n">
        <f>2554</f>
        <v>2554.0</v>
      </c>
      <c r="V415" s="32" t="n">
        <f>1518048563</f>
        <v>1.518048563E9</v>
      </c>
      <c r="W415" s="32" t="n">
        <f>295184363</f>
        <v>2.95184363E8</v>
      </c>
      <c r="X415" s="36" t="n">
        <f>2</f>
        <v>2.0</v>
      </c>
    </row>
    <row r="416">
      <c r="A416" s="27" t="s">
        <v>42</v>
      </c>
      <c r="B416" s="27" t="s">
        <v>1290</v>
      </c>
      <c r="C416" s="27" t="s">
        <v>1291</v>
      </c>
      <c r="D416" s="27" t="s">
        <v>1292</v>
      </c>
      <c r="E416" s="28" t="s">
        <v>46</v>
      </c>
      <c r="F416" s="29" t="s">
        <v>46</v>
      </c>
      <c r="G416" s="30" t="s">
        <v>46</v>
      </c>
      <c r="H416" s="31"/>
      <c r="I416" s="31" t="s">
        <v>47</v>
      </c>
      <c r="J416" s="32" t="n">
        <v>1.0</v>
      </c>
      <c r="K416" s="33" t="n">
        <f>151000</f>
        <v>151000.0</v>
      </c>
      <c r="L416" s="34" t="s">
        <v>48</v>
      </c>
      <c r="M416" s="33" t="n">
        <f>152900</f>
        <v>152900.0</v>
      </c>
      <c r="N416" s="34" t="s">
        <v>116</v>
      </c>
      <c r="O416" s="33" t="n">
        <f>138500</f>
        <v>138500.0</v>
      </c>
      <c r="P416" s="34" t="s">
        <v>50</v>
      </c>
      <c r="Q416" s="33" t="n">
        <f>138500</f>
        <v>138500.0</v>
      </c>
      <c r="R416" s="34" t="s">
        <v>50</v>
      </c>
      <c r="S416" s="35" t="n">
        <f>147188.89</f>
        <v>147188.89</v>
      </c>
      <c r="T416" s="32" t="n">
        <f>50881</f>
        <v>50881.0</v>
      </c>
      <c r="U416" s="32" t="n">
        <f>9867</f>
        <v>9867.0</v>
      </c>
      <c r="V416" s="32" t="n">
        <f>7467459458</f>
        <v>7.467459458E9</v>
      </c>
      <c r="W416" s="32" t="n">
        <f>1454032158</f>
        <v>1.454032158E9</v>
      </c>
      <c r="X416" s="36" t="n">
        <f>18</f>
        <v>18.0</v>
      </c>
    </row>
    <row r="417">
      <c r="A417" s="27" t="s">
        <v>42</v>
      </c>
      <c r="B417" s="27" t="s">
        <v>1293</v>
      </c>
      <c r="C417" s="27" t="s">
        <v>1294</v>
      </c>
      <c r="D417" s="27" t="s">
        <v>1295</v>
      </c>
      <c r="E417" s="28" t="s">
        <v>46</v>
      </c>
      <c r="F417" s="29" t="s">
        <v>46</v>
      </c>
      <c r="G417" s="30" t="s">
        <v>46</v>
      </c>
      <c r="H417" s="31"/>
      <c r="I417" s="31" t="s">
        <v>414</v>
      </c>
      <c r="J417" s="32" t="n">
        <v>1.0</v>
      </c>
      <c r="K417" s="33" t="n">
        <f>116600</f>
        <v>116600.0</v>
      </c>
      <c r="L417" s="34" t="s">
        <v>48</v>
      </c>
      <c r="M417" s="33" t="n">
        <f>117000</f>
        <v>117000.0</v>
      </c>
      <c r="N417" s="34" t="s">
        <v>236</v>
      </c>
      <c r="O417" s="33" t="n">
        <f>112400</f>
        <v>112400.0</v>
      </c>
      <c r="P417" s="34" t="s">
        <v>204</v>
      </c>
      <c r="Q417" s="33" t="n">
        <f>114000</f>
        <v>114000.0</v>
      </c>
      <c r="R417" s="34" t="s">
        <v>50</v>
      </c>
      <c r="S417" s="35" t="n">
        <f>115527.78</f>
        <v>115527.78</v>
      </c>
      <c r="T417" s="32" t="n">
        <f>20173</f>
        <v>20173.0</v>
      </c>
      <c r="U417" s="32" t="n">
        <f>1930</f>
        <v>1930.0</v>
      </c>
      <c r="V417" s="32" t="n">
        <f>2329708173</f>
        <v>2.329708173E9</v>
      </c>
      <c r="W417" s="32" t="n">
        <f>222679973</f>
        <v>2.22679973E8</v>
      </c>
      <c r="X417" s="36" t="n">
        <f>18</f>
        <v>18.0</v>
      </c>
    </row>
    <row r="418">
      <c r="A418" s="27" t="s">
        <v>42</v>
      </c>
      <c r="B418" s="27" t="s">
        <v>1296</v>
      </c>
      <c r="C418" s="27" t="s">
        <v>1297</v>
      </c>
      <c r="D418" s="27" t="s">
        <v>1298</v>
      </c>
      <c r="E418" s="28" t="s">
        <v>46</v>
      </c>
      <c r="F418" s="29" t="s">
        <v>46</v>
      </c>
      <c r="G418" s="30" t="s">
        <v>46</v>
      </c>
      <c r="H418" s="31"/>
      <c r="I418" s="31" t="s">
        <v>47</v>
      </c>
      <c r="J418" s="32" t="n">
        <v>1.0</v>
      </c>
      <c r="K418" s="33" t="n">
        <f>89000</f>
        <v>89000.0</v>
      </c>
      <c r="L418" s="34" t="s">
        <v>48</v>
      </c>
      <c r="M418" s="33" t="n">
        <f>89000</f>
        <v>89000.0</v>
      </c>
      <c r="N418" s="34" t="s">
        <v>48</v>
      </c>
      <c r="O418" s="33" t="n">
        <f>84500</f>
        <v>84500.0</v>
      </c>
      <c r="P418" s="34" t="s">
        <v>204</v>
      </c>
      <c r="Q418" s="33" t="n">
        <f>85300</f>
        <v>85300.0</v>
      </c>
      <c r="R418" s="34" t="s">
        <v>50</v>
      </c>
      <c r="S418" s="35" t="n">
        <f>87305.56</f>
        <v>87305.56</v>
      </c>
      <c r="T418" s="32" t="n">
        <f>89534</f>
        <v>89534.0</v>
      </c>
      <c r="U418" s="32" t="n">
        <f>7949</f>
        <v>7949.0</v>
      </c>
      <c r="V418" s="32" t="n">
        <f>7797194570</f>
        <v>7.79719457E9</v>
      </c>
      <c r="W418" s="32" t="n">
        <f>691773770</f>
        <v>6.9177377E8</v>
      </c>
      <c r="X418" s="36" t="n">
        <f>18</f>
        <v>18.0</v>
      </c>
    </row>
    <row r="419">
      <c r="A419" s="27" t="s">
        <v>42</v>
      </c>
      <c r="B419" s="27" t="s">
        <v>1299</v>
      </c>
      <c r="C419" s="27" t="s">
        <v>1300</v>
      </c>
      <c r="D419" s="27" t="s">
        <v>1301</v>
      </c>
      <c r="E419" s="28" t="s">
        <v>46</v>
      </c>
      <c r="F419" s="29" t="s">
        <v>46</v>
      </c>
      <c r="G419" s="30" t="s">
        <v>46</v>
      </c>
      <c r="H419" s="31"/>
      <c r="I419" s="31" t="s">
        <v>47</v>
      </c>
      <c r="J419" s="32" t="n">
        <v>1.0</v>
      </c>
      <c r="K419" s="33" t="n">
        <f>123100</f>
        <v>123100.0</v>
      </c>
      <c r="L419" s="34" t="s">
        <v>48</v>
      </c>
      <c r="M419" s="33" t="n">
        <f>126900</f>
        <v>126900.0</v>
      </c>
      <c r="N419" s="34" t="s">
        <v>50</v>
      </c>
      <c r="O419" s="33" t="n">
        <f>121200</f>
        <v>121200.0</v>
      </c>
      <c r="P419" s="34" t="s">
        <v>157</v>
      </c>
      <c r="Q419" s="33" t="n">
        <f>124400</f>
        <v>124400.0</v>
      </c>
      <c r="R419" s="34" t="s">
        <v>50</v>
      </c>
      <c r="S419" s="35" t="n">
        <f>123788.89</f>
        <v>123788.89</v>
      </c>
      <c r="T419" s="32" t="n">
        <f>533998</f>
        <v>533998.0</v>
      </c>
      <c r="U419" s="32" t="n">
        <f>123422</f>
        <v>123422.0</v>
      </c>
      <c r="V419" s="32" t="n">
        <f>66144283330</f>
        <v>6.614428333E10</v>
      </c>
      <c r="W419" s="32" t="n">
        <f>15296807130</f>
        <v>1.529680713E10</v>
      </c>
      <c r="X419" s="36" t="n">
        <f>18</f>
        <v>18.0</v>
      </c>
    </row>
    <row r="420">
      <c r="A420" s="27" t="s">
        <v>42</v>
      </c>
      <c r="B420" s="27" t="s">
        <v>1302</v>
      </c>
      <c r="C420" s="27" t="s">
        <v>1303</v>
      </c>
      <c r="D420" s="27" t="s">
        <v>1304</v>
      </c>
      <c r="E420" s="28" t="s">
        <v>46</v>
      </c>
      <c r="F420" s="29" t="s">
        <v>46</v>
      </c>
      <c r="G420" s="30" t="s">
        <v>46</v>
      </c>
      <c r="H420" s="31"/>
      <c r="I420" s="31" t="s">
        <v>47</v>
      </c>
      <c r="J420" s="32" t="n">
        <v>1.0</v>
      </c>
      <c r="K420" s="33" t="n">
        <f>109100</f>
        <v>109100.0</v>
      </c>
      <c r="L420" s="34" t="s">
        <v>48</v>
      </c>
      <c r="M420" s="33" t="n">
        <f>111200</f>
        <v>111200.0</v>
      </c>
      <c r="N420" s="34" t="s">
        <v>204</v>
      </c>
      <c r="O420" s="33" t="n">
        <f>105400</f>
        <v>105400.0</v>
      </c>
      <c r="P420" s="34" t="s">
        <v>232</v>
      </c>
      <c r="Q420" s="33" t="n">
        <f>108000</f>
        <v>108000.0</v>
      </c>
      <c r="R420" s="34" t="s">
        <v>50</v>
      </c>
      <c r="S420" s="35" t="n">
        <f>108572.22</f>
        <v>108572.22</v>
      </c>
      <c r="T420" s="32" t="n">
        <f>1827620</f>
        <v>1827620.0</v>
      </c>
      <c r="U420" s="32" t="n">
        <f>626234</f>
        <v>626234.0</v>
      </c>
      <c r="V420" s="32" t="n">
        <f>197922964424</f>
        <v>1.97922964424E11</v>
      </c>
      <c r="W420" s="32" t="n">
        <f>67769020524</f>
        <v>6.7769020524E10</v>
      </c>
      <c r="X420" s="36" t="n">
        <f>18</f>
        <v>18.0</v>
      </c>
    </row>
    <row r="421">
      <c r="A421" s="27" t="s">
        <v>42</v>
      </c>
      <c r="B421" s="27" t="s">
        <v>1305</v>
      </c>
      <c r="C421" s="27" t="s">
        <v>1306</v>
      </c>
      <c r="D421" s="27" t="s">
        <v>1307</v>
      </c>
      <c r="E421" s="28" t="s">
        <v>46</v>
      </c>
      <c r="F421" s="29" t="s">
        <v>46</v>
      </c>
      <c r="G421" s="30" t="s">
        <v>46</v>
      </c>
      <c r="H421" s="31"/>
      <c r="I421" s="31" t="s">
        <v>47</v>
      </c>
      <c r="J421" s="32" t="n">
        <v>1.0</v>
      </c>
      <c r="K421" s="33" t="n">
        <f>94600</f>
        <v>94600.0</v>
      </c>
      <c r="L421" s="34" t="s">
        <v>48</v>
      </c>
      <c r="M421" s="33" t="n">
        <f>95200</f>
        <v>95200.0</v>
      </c>
      <c r="N421" s="34" t="s">
        <v>48</v>
      </c>
      <c r="O421" s="33" t="n">
        <f>91000</f>
        <v>91000.0</v>
      </c>
      <c r="P421" s="34" t="s">
        <v>204</v>
      </c>
      <c r="Q421" s="33" t="n">
        <f>92400</f>
        <v>92400.0</v>
      </c>
      <c r="R421" s="34" t="s">
        <v>50</v>
      </c>
      <c r="S421" s="35" t="n">
        <f>93488.89</f>
        <v>93488.89</v>
      </c>
      <c r="T421" s="32" t="n">
        <f>466471</f>
        <v>466471.0</v>
      </c>
      <c r="U421" s="32" t="n">
        <f>98443</f>
        <v>98443.0</v>
      </c>
      <c r="V421" s="32" t="n">
        <f>43619262664</f>
        <v>4.3619262664E10</v>
      </c>
      <c r="W421" s="32" t="n">
        <f>9197023364</f>
        <v>9.197023364E9</v>
      </c>
      <c r="X421" s="36" t="n">
        <f>18</f>
        <v>18.0</v>
      </c>
    </row>
    <row r="422">
      <c r="A422" s="27" t="s">
        <v>42</v>
      </c>
      <c r="B422" s="27" t="s">
        <v>1308</v>
      </c>
      <c r="C422" s="27" t="s">
        <v>1309</v>
      </c>
      <c r="D422" s="27" t="s">
        <v>1310</v>
      </c>
      <c r="E422" s="28" t="s">
        <v>46</v>
      </c>
      <c r="F422" s="29" t="s">
        <v>46</v>
      </c>
      <c r="G422" s="30" t="s">
        <v>46</v>
      </c>
      <c r="H422" s="31"/>
      <c r="I422" s="31" t="s">
        <v>47</v>
      </c>
      <c r="J422" s="32" t="n">
        <v>1.0</v>
      </c>
      <c r="K422" s="33" t="n">
        <f>172500</f>
        <v>172500.0</v>
      </c>
      <c r="L422" s="34" t="s">
        <v>48</v>
      </c>
      <c r="M422" s="33" t="n">
        <f>177500</f>
        <v>177500.0</v>
      </c>
      <c r="N422" s="34" t="s">
        <v>99</v>
      </c>
      <c r="O422" s="33" t="n">
        <f>167600</f>
        <v>167600.0</v>
      </c>
      <c r="P422" s="34" t="s">
        <v>103</v>
      </c>
      <c r="Q422" s="33" t="n">
        <f>170300</f>
        <v>170300.0</v>
      </c>
      <c r="R422" s="34" t="s">
        <v>50</v>
      </c>
      <c r="S422" s="35" t="n">
        <f>172000</f>
        <v>172000.0</v>
      </c>
      <c r="T422" s="32" t="n">
        <f>202560</f>
        <v>202560.0</v>
      </c>
      <c r="U422" s="32" t="n">
        <f>45723</f>
        <v>45723.0</v>
      </c>
      <c r="V422" s="32" t="n">
        <f>34964327607</f>
        <v>3.4964327607E10</v>
      </c>
      <c r="W422" s="32" t="n">
        <f>7883446107</f>
        <v>7.883446107E9</v>
      </c>
      <c r="X422" s="36" t="n">
        <f>18</f>
        <v>18.0</v>
      </c>
    </row>
    <row r="423">
      <c r="A423" s="27" t="s">
        <v>42</v>
      </c>
      <c r="B423" s="27" t="s">
        <v>1311</v>
      </c>
      <c r="C423" s="27" t="s">
        <v>1312</v>
      </c>
      <c r="D423" s="27" t="s">
        <v>1313</v>
      </c>
      <c r="E423" s="28" t="s">
        <v>46</v>
      </c>
      <c r="F423" s="29" t="s">
        <v>46</v>
      </c>
      <c r="G423" s="30" t="s">
        <v>46</v>
      </c>
      <c r="H423" s="31"/>
      <c r="I423" s="31" t="s">
        <v>47</v>
      </c>
      <c r="J423" s="32" t="n">
        <v>1.0</v>
      </c>
      <c r="K423" s="33" t="n">
        <f>341500</f>
        <v>341500.0</v>
      </c>
      <c r="L423" s="34" t="s">
        <v>48</v>
      </c>
      <c r="M423" s="33" t="n">
        <f>357000</f>
        <v>357000.0</v>
      </c>
      <c r="N423" s="34" t="s">
        <v>204</v>
      </c>
      <c r="O423" s="33" t="n">
        <f>334500</f>
        <v>334500.0</v>
      </c>
      <c r="P423" s="34" t="s">
        <v>103</v>
      </c>
      <c r="Q423" s="33" t="n">
        <f>345000</f>
        <v>345000.0</v>
      </c>
      <c r="R423" s="34" t="s">
        <v>50</v>
      </c>
      <c r="S423" s="35" t="n">
        <f>345805.56</f>
        <v>345805.56</v>
      </c>
      <c r="T423" s="32" t="n">
        <f>44220</f>
        <v>44220.0</v>
      </c>
      <c r="U423" s="32" t="n">
        <f>10388</f>
        <v>10388.0</v>
      </c>
      <c r="V423" s="32" t="n">
        <f>15368655044</f>
        <v>1.5368655044E10</v>
      </c>
      <c r="W423" s="32" t="n">
        <f>3604641044</f>
        <v>3.604641044E9</v>
      </c>
      <c r="X423" s="36" t="n">
        <f>18</f>
        <v>18.0</v>
      </c>
    </row>
    <row r="424">
      <c r="A424" s="27" t="s">
        <v>42</v>
      </c>
      <c r="B424" s="27" t="s">
        <v>1314</v>
      </c>
      <c r="C424" s="27" t="s">
        <v>1315</v>
      </c>
      <c r="D424" s="27" t="s">
        <v>1316</v>
      </c>
      <c r="E424" s="28" t="s">
        <v>46</v>
      </c>
      <c r="F424" s="29" t="s">
        <v>46</v>
      </c>
      <c r="G424" s="30" t="s">
        <v>46</v>
      </c>
      <c r="H424" s="31"/>
      <c r="I424" s="31" t="s">
        <v>47</v>
      </c>
      <c r="J424" s="32" t="n">
        <v>1.0</v>
      </c>
      <c r="K424" s="33" t="n">
        <f>132200</f>
        <v>132200.0</v>
      </c>
      <c r="L424" s="34" t="s">
        <v>48</v>
      </c>
      <c r="M424" s="33" t="n">
        <f>135800</f>
        <v>135800.0</v>
      </c>
      <c r="N424" s="34" t="s">
        <v>99</v>
      </c>
      <c r="O424" s="33" t="n">
        <f>131400</f>
        <v>131400.0</v>
      </c>
      <c r="P424" s="34" t="s">
        <v>232</v>
      </c>
      <c r="Q424" s="33" t="n">
        <f>132600</f>
        <v>132600.0</v>
      </c>
      <c r="R424" s="34" t="s">
        <v>50</v>
      </c>
      <c r="S424" s="35" t="n">
        <f>132761.11</f>
        <v>132761.11</v>
      </c>
      <c r="T424" s="32" t="n">
        <f>119190</f>
        <v>119190.0</v>
      </c>
      <c r="U424" s="32" t="n">
        <f>23901</f>
        <v>23901.0</v>
      </c>
      <c r="V424" s="32" t="n">
        <f>15828755382</f>
        <v>1.5828755382E10</v>
      </c>
      <c r="W424" s="32" t="n">
        <f>3171104182</f>
        <v>3.171104182E9</v>
      </c>
      <c r="X424" s="36" t="n">
        <f>18</f>
        <v>18.0</v>
      </c>
    </row>
    <row r="425">
      <c r="A425" s="27" t="s">
        <v>42</v>
      </c>
      <c r="B425" s="27" t="s">
        <v>1317</v>
      </c>
      <c r="C425" s="27" t="s">
        <v>1318</v>
      </c>
      <c r="D425" s="27" t="s">
        <v>1319</v>
      </c>
      <c r="E425" s="28" t="s">
        <v>46</v>
      </c>
      <c r="F425" s="29" t="s">
        <v>46</v>
      </c>
      <c r="G425" s="30" t="s">
        <v>46</v>
      </c>
      <c r="H425" s="31"/>
      <c r="I425" s="31" t="s">
        <v>47</v>
      </c>
      <c r="J425" s="32" t="n">
        <v>1.0</v>
      </c>
      <c r="K425" s="33" t="n">
        <f>162300</f>
        <v>162300.0</v>
      </c>
      <c r="L425" s="34" t="s">
        <v>48</v>
      </c>
      <c r="M425" s="33" t="n">
        <f>171300</f>
        <v>171300.0</v>
      </c>
      <c r="N425" s="34" t="s">
        <v>50</v>
      </c>
      <c r="O425" s="33" t="n">
        <f>160500</f>
        <v>160500.0</v>
      </c>
      <c r="P425" s="34" t="s">
        <v>103</v>
      </c>
      <c r="Q425" s="33" t="n">
        <f>168000</f>
        <v>168000.0</v>
      </c>
      <c r="R425" s="34" t="s">
        <v>50</v>
      </c>
      <c r="S425" s="35" t="n">
        <f>165650</f>
        <v>165650.0</v>
      </c>
      <c r="T425" s="32" t="n">
        <f>66027</f>
        <v>66027.0</v>
      </c>
      <c r="U425" s="32" t="n">
        <f>12925</f>
        <v>12925.0</v>
      </c>
      <c r="V425" s="32" t="n">
        <f>10981055225</f>
        <v>1.0981055225E10</v>
      </c>
      <c r="W425" s="32" t="n">
        <f>2151000425</f>
        <v>2.151000425E9</v>
      </c>
      <c r="X425" s="36" t="n">
        <f>18</f>
        <v>18.0</v>
      </c>
    </row>
    <row r="426">
      <c r="A426" s="27" t="s">
        <v>42</v>
      </c>
      <c r="B426" s="27" t="s">
        <v>1320</v>
      </c>
      <c r="C426" s="27" t="s">
        <v>1321</v>
      </c>
      <c r="D426" s="27" t="s">
        <v>1322</v>
      </c>
      <c r="E426" s="28" t="s">
        <v>46</v>
      </c>
      <c r="F426" s="29" t="s">
        <v>46</v>
      </c>
      <c r="G426" s="30" t="s">
        <v>46</v>
      </c>
      <c r="H426" s="31"/>
      <c r="I426" s="31" t="s">
        <v>47</v>
      </c>
      <c r="J426" s="32" t="n">
        <v>1.0</v>
      </c>
      <c r="K426" s="33" t="n">
        <f>105400</f>
        <v>105400.0</v>
      </c>
      <c r="L426" s="34" t="s">
        <v>48</v>
      </c>
      <c r="M426" s="33" t="n">
        <f>108700</f>
        <v>108700.0</v>
      </c>
      <c r="N426" s="34" t="s">
        <v>50</v>
      </c>
      <c r="O426" s="33" t="n">
        <f>104000</f>
        <v>104000.0</v>
      </c>
      <c r="P426" s="34" t="s">
        <v>103</v>
      </c>
      <c r="Q426" s="33" t="n">
        <f>106600</f>
        <v>106600.0</v>
      </c>
      <c r="R426" s="34" t="s">
        <v>50</v>
      </c>
      <c r="S426" s="35" t="n">
        <f>106000</f>
        <v>106000.0</v>
      </c>
      <c r="T426" s="32" t="n">
        <f>59191</f>
        <v>59191.0</v>
      </c>
      <c r="U426" s="32" t="n">
        <f>12657</f>
        <v>12657.0</v>
      </c>
      <c r="V426" s="32" t="n">
        <f>6276655600</f>
        <v>6.2766556E9</v>
      </c>
      <c r="W426" s="32" t="n">
        <f>1340812300</f>
        <v>1.3408123E9</v>
      </c>
      <c r="X426" s="36" t="n">
        <f>18</f>
        <v>18.0</v>
      </c>
    </row>
    <row r="427">
      <c r="A427" s="27" t="s">
        <v>42</v>
      </c>
      <c r="B427" s="27" t="s">
        <v>1323</v>
      </c>
      <c r="C427" s="27" t="s">
        <v>1324</v>
      </c>
      <c r="D427" s="27" t="s">
        <v>1325</v>
      </c>
      <c r="E427" s="28" t="s">
        <v>46</v>
      </c>
      <c r="F427" s="29" t="s">
        <v>46</v>
      </c>
      <c r="G427" s="30" t="s">
        <v>46</v>
      </c>
      <c r="H427" s="31"/>
      <c r="I427" s="31" t="s">
        <v>47</v>
      </c>
      <c r="J427" s="32" t="n">
        <v>1.0</v>
      </c>
      <c r="K427" s="33" t="n">
        <f>150400</f>
        <v>150400.0</v>
      </c>
      <c r="L427" s="34" t="s">
        <v>48</v>
      </c>
      <c r="M427" s="33" t="n">
        <f>152200</f>
        <v>152200.0</v>
      </c>
      <c r="N427" s="34" t="s">
        <v>68</v>
      </c>
      <c r="O427" s="33" t="n">
        <f>147700</f>
        <v>147700.0</v>
      </c>
      <c r="P427" s="34" t="s">
        <v>99</v>
      </c>
      <c r="Q427" s="33" t="n">
        <f>148400</f>
        <v>148400.0</v>
      </c>
      <c r="R427" s="34" t="s">
        <v>50</v>
      </c>
      <c r="S427" s="35" t="n">
        <f>150227.78</f>
        <v>150227.78</v>
      </c>
      <c r="T427" s="32" t="n">
        <f>173487</f>
        <v>173487.0</v>
      </c>
      <c r="U427" s="32" t="n">
        <f>41231</f>
        <v>41231.0</v>
      </c>
      <c r="V427" s="32" t="n">
        <f>26025738707</f>
        <v>2.6025738707E10</v>
      </c>
      <c r="W427" s="32" t="n">
        <f>6189227207</f>
        <v>6.189227207E9</v>
      </c>
      <c r="X427" s="36" t="n">
        <f>18</f>
        <v>18.0</v>
      </c>
    </row>
    <row r="428">
      <c r="A428" s="27" t="s">
        <v>42</v>
      </c>
      <c r="B428" s="27" t="s">
        <v>1326</v>
      </c>
      <c r="C428" s="27" t="s">
        <v>1327</v>
      </c>
      <c r="D428" s="27" t="s">
        <v>1328</v>
      </c>
      <c r="E428" s="28" t="s">
        <v>46</v>
      </c>
      <c r="F428" s="29" t="s">
        <v>46</v>
      </c>
      <c r="G428" s="30" t="s">
        <v>46</v>
      </c>
      <c r="H428" s="31"/>
      <c r="I428" s="31" t="s">
        <v>47</v>
      </c>
      <c r="J428" s="32" t="n">
        <v>1.0</v>
      </c>
      <c r="K428" s="33" t="n">
        <f>63300</f>
        <v>63300.0</v>
      </c>
      <c r="L428" s="34" t="s">
        <v>48</v>
      </c>
      <c r="M428" s="33" t="n">
        <f>63700</f>
        <v>63700.0</v>
      </c>
      <c r="N428" s="34" t="s">
        <v>236</v>
      </c>
      <c r="O428" s="33" t="n">
        <f>60800</f>
        <v>60800.0</v>
      </c>
      <c r="P428" s="34" t="s">
        <v>204</v>
      </c>
      <c r="Q428" s="33" t="n">
        <f>61200</f>
        <v>61200.0</v>
      </c>
      <c r="R428" s="34" t="s">
        <v>50</v>
      </c>
      <c r="S428" s="35" t="n">
        <f>62638.89</f>
        <v>62638.89</v>
      </c>
      <c r="T428" s="32" t="n">
        <f>162099</f>
        <v>162099.0</v>
      </c>
      <c r="U428" s="32" t="n">
        <f>29575</f>
        <v>29575.0</v>
      </c>
      <c r="V428" s="32" t="n">
        <f>10143022537</f>
        <v>1.0143022537E10</v>
      </c>
      <c r="W428" s="32" t="n">
        <f>1848452037</f>
        <v>1.848452037E9</v>
      </c>
      <c r="X428" s="36" t="n">
        <f>18</f>
        <v>18.0</v>
      </c>
    </row>
    <row r="429">
      <c r="A429" s="27" t="s">
        <v>42</v>
      </c>
      <c r="B429" s="27" t="s">
        <v>1329</v>
      </c>
      <c r="C429" s="27" t="s">
        <v>1330</v>
      </c>
      <c r="D429" s="27" t="s">
        <v>1331</v>
      </c>
      <c r="E429" s="28" t="s">
        <v>46</v>
      </c>
      <c r="F429" s="29" t="s">
        <v>46</v>
      </c>
      <c r="G429" s="30" t="s">
        <v>46</v>
      </c>
      <c r="H429" s="31"/>
      <c r="I429" s="31" t="s">
        <v>47</v>
      </c>
      <c r="J429" s="32" t="n">
        <v>1.0</v>
      </c>
      <c r="K429" s="33" t="n">
        <f>68000</f>
        <v>68000.0</v>
      </c>
      <c r="L429" s="34" t="s">
        <v>48</v>
      </c>
      <c r="M429" s="33" t="n">
        <f>68400</f>
        <v>68400.0</v>
      </c>
      <c r="N429" s="34" t="s">
        <v>48</v>
      </c>
      <c r="O429" s="33" t="n">
        <f>63200</f>
        <v>63200.0</v>
      </c>
      <c r="P429" s="34" t="s">
        <v>204</v>
      </c>
      <c r="Q429" s="33" t="n">
        <f>64000</f>
        <v>64000.0</v>
      </c>
      <c r="R429" s="34" t="s">
        <v>50</v>
      </c>
      <c r="S429" s="35" t="n">
        <f>65050</f>
        <v>65050.0</v>
      </c>
      <c r="T429" s="32" t="n">
        <f>602566</f>
        <v>602566.0</v>
      </c>
      <c r="U429" s="32" t="n">
        <f>152338</f>
        <v>152338.0</v>
      </c>
      <c r="V429" s="32" t="n">
        <f>39151706198</f>
        <v>3.9151706198E10</v>
      </c>
      <c r="W429" s="32" t="n">
        <f>9906811398</f>
        <v>9.906811398E9</v>
      </c>
      <c r="X429" s="36" t="n">
        <f>18</f>
        <v>18.0</v>
      </c>
    </row>
    <row r="430">
      <c r="A430" s="27" t="s">
        <v>42</v>
      </c>
      <c r="B430" s="27" t="s">
        <v>1332</v>
      </c>
      <c r="C430" s="27" t="s">
        <v>1333</v>
      </c>
      <c r="D430" s="27" t="s">
        <v>1334</v>
      </c>
      <c r="E430" s="28" t="s">
        <v>46</v>
      </c>
      <c r="F430" s="29" t="s">
        <v>46</v>
      </c>
      <c r="G430" s="30" t="s">
        <v>46</v>
      </c>
      <c r="H430" s="31"/>
      <c r="I430" s="31" t="s">
        <v>47</v>
      </c>
      <c r="J430" s="32" t="n">
        <v>1.0</v>
      </c>
      <c r="K430" s="33" t="n">
        <f>80500</f>
        <v>80500.0</v>
      </c>
      <c r="L430" s="34" t="s">
        <v>48</v>
      </c>
      <c r="M430" s="33" t="n">
        <f>80800</f>
        <v>80800.0</v>
      </c>
      <c r="N430" s="34" t="s">
        <v>48</v>
      </c>
      <c r="O430" s="33" t="n">
        <f>76900</f>
        <v>76900.0</v>
      </c>
      <c r="P430" s="34" t="s">
        <v>49</v>
      </c>
      <c r="Q430" s="33" t="n">
        <f>79300</f>
        <v>79300.0</v>
      </c>
      <c r="R430" s="34" t="s">
        <v>50</v>
      </c>
      <c r="S430" s="35" t="n">
        <f>78716.67</f>
        <v>78716.67</v>
      </c>
      <c r="T430" s="32" t="n">
        <f>145666</f>
        <v>145666.0</v>
      </c>
      <c r="U430" s="32" t="n">
        <f>40335</f>
        <v>40335.0</v>
      </c>
      <c r="V430" s="32" t="n">
        <f>11483538284</f>
        <v>1.1483538284E10</v>
      </c>
      <c r="W430" s="32" t="n">
        <f>3177772584</f>
        <v>3.177772584E9</v>
      </c>
      <c r="X430" s="36" t="n">
        <f>18</f>
        <v>18.0</v>
      </c>
    </row>
    <row r="431">
      <c r="A431" s="27" t="s">
        <v>42</v>
      </c>
      <c r="B431" s="27" t="s">
        <v>1335</v>
      </c>
      <c r="C431" s="27" t="s">
        <v>1336</v>
      </c>
      <c r="D431" s="27" t="s">
        <v>1337</v>
      </c>
      <c r="E431" s="28" t="s">
        <v>46</v>
      </c>
      <c r="F431" s="29" t="s">
        <v>46</v>
      </c>
      <c r="G431" s="30" t="s">
        <v>46</v>
      </c>
      <c r="H431" s="31"/>
      <c r="I431" s="31" t="s">
        <v>47</v>
      </c>
      <c r="J431" s="32" t="n">
        <v>1.0</v>
      </c>
      <c r="K431" s="33" t="n">
        <f>129300</f>
        <v>129300.0</v>
      </c>
      <c r="L431" s="34" t="s">
        <v>48</v>
      </c>
      <c r="M431" s="33" t="n">
        <f>130200</f>
        <v>130200.0</v>
      </c>
      <c r="N431" s="34" t="s">
        <v>50</v>
      </c>
      <c r="O431" s="33" t="n">
        <f>121000</f>
        <v>121000.0</v>
      </c>
      <c r="P431" s="34" t="s">
        <v>116</v>
      </c>
      <c r="Q431" s="33" t="n">
        <f>126400</f>
        <v>126400.0</v>
      </c>
      <c r="R431" s="34" t="s">
        <v>50</v>
      </c>
      <c r="S431" s="35" t="n">
        <f>127250</f>
        <v>127250.0</v>
      </c>
      <c r="T431" s="32" t="n">
        <f>66468</f>
        <v>66468.0</v>
      </c>
      <c r="U431" s="32" t="n">
        <f>15619</f>
        <v>15619.0</v>
      </c>
      <c r="V431" s="32" t="n">
        <f>8456145708</f>
        <v>8.456145708E9</v>
      </c>
      <c r="W431" s="32" t="n">
        <f>1989312408</f>
        <v>1.989312408E9</v>
      </c>
      <c r="X431" s="36" t="n">
        <f>18</f>
        <v>18.0</v>
      </c>
    </row>
    <row r="432">
      <c r="A432" s="27" t="s">
        <v>42</v>
      </c>
      <c r="B432" s="27" t="s">
        <v>1338</v>
      </c>
      <c r="C432" s="27" t="s">
        <v>1339</v>
      </c>
      <c r="D432" s="27" t="s">
        <v>1340</v>
      </c>
      <c r="E432" s="28" t="s">
        <v>46</v>
      </c>
      <c r="F432" s="29" t="s">
        <v>46</v>
      </c>
      <c r="G432" s="30" t="s">
        <v>46</v>
      </c>
      <c r="H432" s="31"/>
      <c r="I432" s="31" t="s">
        <v>47</v>
      </c>
      <c r="J432" s="32" t="n">
        <v>1.0</v>
      </c>
      <c r="K432" s="33" t="n">
        <f>89300</f>
        <v>89300.0</v>
      </c>
      <c r="L432" s="34" t="s">
        <v>48</v>
      </c>
      <c r="M432" s="33" t="n">
        <f>90600</f>
        <v>90600.0</v>
      </c>
      <c r="N432" s="34" t="s">
        <v>50</v>
      </c>
      <c r="O432" s="33" t="n">
        <f>86000</f>
        <v>86000.0</v>
      </c>
      <c r="P432" s="34" t="s">
        <v>161</v>
      </c>
      <c r="Q432" s="33" t="n">
        <f>89200</f>
        <v>89200.0</v>
      </c>
      <c r="R432" s="34" t="s">
        <v>50</v>
      </c>
      <c r="S432" s="35" t="n">
        <f>87927.78</f>
        <v>87927.78</v>
      </c>
      <c r="T432" s="32" t="n">
        <f>132902</f>
        <v>132902.0</v>
      </c>
      <c r="U432" s="32" t="n">
        <f>35590</f>
        <v>35590.0</v>
      </c>
      <c r="V432" s="32" t="n">
        <f>11724217470</f>
        <v>1.172421747E10</v>
      </c>
      <c r="W432" s="32" t="n">
        <f>3138730170</f>
        <v>3.13873017E9</v>
      </c>
      <c r="X432" s="36" t="n">
        <f>18</f>
        <v>18.0</v>
      </c>
    </row>
    <row r="433">
      <c r="A433" s="27" t="s">
        <v>42</v>
      </c>
      <c r="B433" s="27" t="s">
        <v>1341</v>
      </c>
      <c r="C433" s="27" t="s">
        <v>1342</v>
      </c>
      <c r="D433" s="27" t="s">
        <v>1343</v>
      </c>
      <c r="E433" s="28" t="s">
        <v>46</v>
      </c>
      <c r="F433" s="29" t="s">
        <v>46</v>
      </c>
      <c r="G433" s="30" t="s">
        <v>46</v>
      </c>
      <c r="H433" s="31"/>
      <c r="I433" s="31" t="s">
        <v>47</v>
      </c>
      <c r="J433" s="32" t="n">
        <v>1.0</v>
      </c>
      <c r="K433" s="33" t="n">
        <f>147800</f>
        <v>147800.0</v>
      </c>
      <c r="L433" s="34" t="s">
        <v>48</v>
      </c>
      <c r="M433" s="33" t="n">
        <f>148500</f>
        <v>148500.0</v>
      </c>
      <c r="N433" s="34" t="s">
        <v>48</v>
      </c>
      <c r="O433" s="33" t="n">
        <f>143700</f>
        <v>143700.0</v>
      </c>
      <c r="P433" s="34" t="s">
        <v>204</v>
      </c>
      <c r="Q433" s="33" t="n">
        <f>144000</f>
        <v>144000.0</v>
      </c>
      <c r="R433" s="34" t="s">
        <v>50</v>
      </c>
      <c r="S433" s="35" t="n">
        <f>145644.44</f>
        <v>145644.44</v>
      </c>
      <c r="T433" s="32" t="n">
        <f>55989</f>
        <v>55989.0</v>
      </c>
      <c r="U433" s="32" t="n">
        <f>11070</f>
        <v>11070.0</v>
      </c>
      <c r="V433" s="32" t="n">
        <f>8154035668</f>
        <v>8.154035668E9</v>
      </c>
      <c r="W433" s="32" t="n">
        <f>1611486468</f>
        <v>1.611486468E9</v>
      </c>
      <c r="X433" s="36" t="n">
        <f>18</f>
        <v>18.0</v>
      </c>
    </row>
    <row r="434">
      <c r="A434" s="27" t="s">
        <v>42</v>
      </c>
      <c r="B434" s="27" t="s">
        <v>1344</v>
      </c>
      <c r="C434" s="27" t="s">
        <v>1345</v>
      </c>
      <c r="D434" s="27" t="s">
        <v>1346</v>
      </c>
      <c r="E434" s="28" t="s">
        <v>46</v>
      </c>
      <c r="F434" s="29" t="s">
        <v>46</v>
      </c>
      <c r="G434" s="30" t="s">
        <v>46</v>
      </c>
      <c r="H434" s="31"/>
      <c r="I434" s="31" t="s">
        <v>47</v>
      </c>
      <c r="J434" s="32" t="n">
        <v>1.0</v>
      </c>
      <c r="K434" s="33" t="n">
        <f>154200</f>
        <v>154200.0</v>
      </c>
      <c r="L434" s="34" t="s">
        <v>48</v>
      </c>
      <c r="M434" s="33" t="n">
        <f>160100</f>
        <v>160100.0</v>
      </c>
      <c r="N434" s="34" t="s">
        <v>50</v>
      </c>
      <c r="O434" s="33" t="n">
        <f>148400</f>
        <v>148400.0</v>
      </c>
      <c r="P434" s="34" t="s">
        <v>103</v>
      </c>
      <c r="Q434" s="33" t="n">
        <f>160100</f>
        <v>160100.0</v>
      </c>
      <c r="R434" s="34" t="s">
        <v>50</v>
      </c>
      <c r="S434" s="35" t="n">
        <f>151805.56</f>
        <v>151805.56</v>
      </c>
      <c r="T434" s="32" t="n">
        <f>238432</f>
        <v>238432.0</v>
      </c>
      <c r="U434" s="32" t="n">
        <f>47463</f>
        <v>47463.0</v>
      </c>
      <c r="V434" s="32" t="n">
        <f>36283417742</f>
        <v>3.6283417742E10</v>
      </c>
      <c r="W434" s="32" t="n">
        <f>7183927242</f>
        <v>7.183927242E9</v>
      </c>
      <c r="X434" s="36" t="n">
        <f>18</f>
        <v>18.0</v>
      </c>
    </row>
    <row r="435">
      <c r="A435" s="27" t="s">
        <v>42</v>
      </c>
      <c r="B435" s="27" t="s">
        <v>1347</v>
      </c>
      <c r="C435" s="27" t="s">
        <v>1348</v>
      </c>
      <c r="D435" s="27" t="s">
        <v>1349</v>
      </c>
      <c r="E435" s="28" t="s">
        <v>46</v>
      </c>
      <c r="F435" s="29" t="s">
        <v>46</v>
      </c>
      <c r="G435" s="30" t="s">
        <v>46</v>
      </c>
      <c r="H435" s="31"/>
      <c r="I435" s="31" t="s">
        <v>47</v>
      </c>
      <c r="J435" s="32" t="n">
        <v>1.0</v>
      </c>
      <c r="K435" s="33" t="n">
        <f>83500</f>
        <v>83500.0</v>
      </c>
      <c r="L435" s="34" t="s">
        <v>48</v>
      </c>
      <c r="M435" s="33" t="n">
        <f>84700</f>
        <v>84700.0</v>
      </c>
      <c r="N435" s="34" t="s">
        <v>204</v>
      </c>
      <c r="O435" s="33" t="n">
        <f>82200</f>
        <v>82200.0</v>
      </c>
      <c r="P435" s="34" t="s">
        <v>50</v>
      </c>
      <c r="Q435" s="33" t="n">
        <f>82200</f>
        <v>82200.0</v>
      </c>
      <c r="R435" s="34" t="s">
        <v>50</v>
      </c>
      <c r="S435" s="35" t="n">
        <f>83300</f>
        <v>83300.0</v>
      </c>
      <c r="T435" s="32" t="n">
        <f>64945</f>
        <v>64945.0</v>
      </c>
      <c r="U435" s="32" t="n">
        <f>13873</f>
        <v>13873.0</v>
      </c>
      <c r="V435" s="32" t="n">
        <f>5413556387</f>
        <v>5.413556387E9</v>
      </c>
      <c r="W435" s="32" t="n">
        <f>1156188887</f>
        <v>1.156188887E9</v>
      </c>
      <c r="X435" s="36" t="n">
        <f>18</f>
        <v>18.0</v>
      </c>
    </row>
    <row r="436">
      <c r="A436" s="27" t="s">
        <v>42</v>
      </c>
      <c r="B436" s="27" t="s">
        <v>1350</v>
      </c>
      <c r="C436" s="27" t="s">
        <v>1351</v>
      </c>
      <c r="D436" s="27" t="s">
        <v>1352</v>
      </c>
      <c r="E436" s="28" t="s">
        <v>46</v>
      </c>
      <c r="F436" s="29" t="s">
        <v>46</v>
      </c>
      <c r="G436" s="30" t="s">
        <v>46</v>
      </c>
      <c r="H436" s="31"/>
      <c r="I436" s="31" t="s">
        <v>47</v>
      </c>
      <c r="J436" s="32" t="n">
        <v>1.0</v>
      </c>
      <c r="K436" s="33" t="n">
        <f>292900</f>
        <v>292900.0</v>
      </c>
      <c r="L436" s="34" t="s">
        <v>48</v>
      </c>
      <c r="M436" s="33" t="n">
        <f>298000</f>
        <v>298000.0</v>
      </c>
      <c r="N436" s="34" t="s">
        <v>50</v>
      </c>
      <c r="O436" s="33" t="n">
        <f>284100</f>
        <v>284100.0</v>
      </c>
      <c r="P436" s="34" t="s">
        <v>103</v>
      </c>
      <c r="Q436" s="33" t="n">
        <f>292900</f>
        <v>292900.0</v>
      </c>
      <c r="R436" s="34" t="s">
        <v>50</v>
      </c>
      <c r="S436" s="35" t="n">
        <f>290650</f>
        <v>290650.0</v>
      </c>
      <c r="T436" s="32" t="n">
        <f>40877</f>
        <v>40877.0</v>
      </c>
      <c r="U436" s="32" t="n">
        <f>8169</f>
        <v>8169.0</v>
      </c>
      <c r="V436" s="32" t="n">
        <f>11885495506</f>
        <v>1.1885495506E10</v>
      </c>
      <c r="W436" s="32" t="n">
        <f>2372238206</f>
        <v>2.372238206E9</v>
      </c>
      <c r="X436" s="36" t="n">
        <f>18</f>
        <v>18.0</v>
      </c>
    </row>
    <row r="437">
      <c r="A437" s="27" t="s">
        <v>42</v>
      </c>
      <c r="B437" s="27" t="s">
        <v>1353</v>
      </c>
      <c r="C437" s="27" t="s">
        <v>1354</v>
      </c>
      <c r="D437" s="27" t="s">
        <v>1355</v>
      </c>
      <c r="E437" s="28" t="s">
        <v>46</v>
      </c>
      <c r="F437" s="29" t="s">
        <v>46</v>
      </c>
      <c r="G437" s="30" t="s">
        <v>46</v>
      </c>
      <c r="H437" s="31"/>
      <c r="I437" s="31" t="s">
        <v>47</v>
      </c>
      <c r="J437" s="32" t="n">
        <v>1.0</v>
      </c>
      <c r="K437" s="33" t="n">
        <f>128900</f>
        <v>128900.0</v>
      </c>
      <c r="L437" s="34" t="s">
        <v>48</v>
      </c>
      <c r="M437" s="33" t="n">
        <f>146000</f>
        <v>146000.0</v>
      </c>
      <c r="N437" s="34" t="s">
        <v>204</v>
      </c>
      <c r="O437" s="33" t="n">
        <f>128400</f>
        <v>128400.0</v>
      </c>
      <c r="P437" s="34" t="s">
        <v>48</v>
      </c>
      <c r="Q437" s="33" t="n">
        <f>143600</f>
        <v>143600.0</v>
      </c>
      <c r="R437" s="34" t="s">
        <v>50</v>
      </c>
      <c r="S437" s="35" t="n">
        <f>138850</f>
        <v>138850.0</v>
      </c>
      <c r="T437" s="32" t="n">
        <f>124213</f>
        <v>124213.0</v>
      </c>
      <c r="U437" s="32" t="n">
        <f>7985</f>
        <v>7985.0</v>
      </c>
      <c r="V437" s="32" t="n">
        <f>17419503712</f>
        <v>1.7419503712E10</v>
      </c>
      <c r="W437" s="32" t="n">
        <f>1119222812</f>
        <v>1.119222812E9</v>
      </c>
      <c r="X437" s="36" t="n">
        <f>18</f>
        <v>18.0</v>
      </c>
    </row>
    <row r="438">
      <c r="A438" s="27" t="s">
        <v>42</v>
      </c>
      <c r="B438" s="27" t="s">
        <v>1356</v>
      </c>
      <c r="C438" s="27" t="s">
        <v>1357</v>
      </c>
      <c r="D438" s="27" t="s">
        <v>1358</v>
      </c>
      <c r="E438" s="28" t="s">
        <v>46</v>
      </c>
      <c r="F438" s="29" t="s">
        <v>46</v>
      </c>
      <c r="G438" s="30" t="s">
        <v>46</v>
      </c>
      <c r="H438" s="31"/>
      <c r="I438" s="31" t="s">
        <v>414</v>
      </c>
      <c r="J438" s="32" t="n">
        <v>1.0</v>
      </c>
      <c r="K438" s="33" t="n">
        <f>177800</f>
        <v>177800.0</v>
      </c>
      <c r="L438" s="34" t="s">
        <v>48</v>
      </c>
      <c r="M438" s="33" t="n">
        <f>177800</f>
        <v>177800.0</v>
      </c>
      <c r="N438" s="34" t="s">
        <v>48</v>
      </c>
      <c r="O438" s="33" t="n">
        <f>167100</f>
        <v>167100.0</v>
      </c>
      <c r="P438" s="34" t="s">
        <v>103</v>
      </c>
      <c r="Q438" s="33" t="n">
        <f>174000</f>
        <v>174000.0</v>
      </c>
      <c r="R438" s="34" t="s">
        <v>50</v>
      </c>
      <c r="S438" s="35" t="n">
        <f>171788.89</f>
        <v>171788.89</v>
      </c>
      <c r="T438" s="32" t="n">
        <f>15308</f>
        <v>15308.0</v>
      </c>
      <c r="U438" s="32" t="n">
        <f>2116</f>
        <v>2116.0</v>
      </c>
      <c r="V438" s="32" t="n">
        <f>2634321783</f>
        <v>2.634321783E9</v>
      </c>
      <c r="W438" s="32" t="n">
        <f>363978083</f>
        <v>3.63978083E8</v>
      </c>
      <c r="X438" s="36" t="n">
        <f>18</f>
        <v>18.0</v>
      </c>
    </row>
    <row r="439">
      <c r="A439" s="27" t="s">
        <v>42</v>
      </c>
      <c r="B439" s="27" t="s">
        <v>1359</v>
      </c>
      <c r="C439" s="27" t="s">
        <v>1360</v>
      </c>
      <c r="D439" s="27" t="s">
        <v>1361</v>
      </c>
      <c r="E439" s="28" t="s">
        <v>46</v>
      </c>
      <c r="F439" s="29" t="s">
        <v>46</v>
      </c>
      <c r="G439" s="30" t="s">
        <v>46</v>
      </c>
      <c r="H439" s="31"/>
      <c r="I439" s="31" t="s">
        <v>47</v>
      </c>
      <c r="J439" s="32" t="n">
        <v>1.0</v>
      </c>
      <c r="K439" s="33" t="n">
        <f>245000</f>
        <v>245000.0</v>
      </c>
      <c r="L439" s="34" t="s">
        <v>48</v>
      </c>
      <c r="M439" s="33" t="n">
        <f>247600</f>
        <v>247600.0</v>
      </c>
      <c r="N439" s="34" t="s">
        <v>50</v>
      </c>
      <c r="O439" s="33" t="n">
        <f>234900</f>
        <v>234900.0</v>
      </c>
      <c r="P439" s="34" t="s">
        <v>204</v>
      </c>
      <c r="Q439" s="33" t="n">
        <f>247600</f>
        <v>247600.0</v>
      </c>
      <c r="R439" s="34" t="s">
        <v>50</v>
      </c>
      <c r="S439" s="35" t="n">
        <f>241222.22</f>
        <v>241222.22</v>
      </c>
      <c r="T439" s="32" t="n">
        <f>134787</f>
        <v>134787.0</v>
      </c>
      <c r="U439" s="32" t="n">
        <f>27556</f>
        <v>27556.0</v>
      </c>
      <c r="V439" s="32" t="n">
        <f>32481300720</f>
        <v>3.248130072E10</v>
      </c>
      <c r="W439" s="32" t="n">
        <f>6618396620</f>
        <v>6.61839662E9</v>
      </c>
      <c r="X439" s="36" t="n">
        <f>18</f>
        <v>18.0</v>
      </c>
    </row>
    <row r="440">
      <c r="A440" s="27" t="s">
        <v>42</v>
      </c>
      <c r="B440" s="27" t="s">
        <v>1362</v>
      </c>
      <c r="C440" s="27" t="s">
        <v>1363</v>
      </c>
      <c r="D440" s="27" t="s">
        <v>1364</v>
      </c>
      <c r="E440" s="28" t="s">
        <v>46</v>
      </c>
      <c r="F440" s="29" t="s">
        <v>46</v>
      </c>
      <c r="G440" s="30" t="s">
        <v>46</v>
      </c>
      <c r="H440" s="31"/>
      <c r="I440" s="31" t="s">
        <v>47</v>
      </c>
      <c r="J440" s="32" t="n">
        <v>1.0</v>
      </c>
      <c r="K440" s="33" t="n">
        <f>72200</f>
        <v>72200.0</v>
      </c>
      <c r="L440" s="34" t="s">
        <v>48</v>
      </c>
      <c r="M440" s="33" t="n">
        <f>72700</f>
        <v>72700.0</v>
      </c>
      <c r="N440" s="34" t="s">
        <v>48</v>
      </c>
      <c r="O440" s="33" t="n">
        <f>68100</f>
        <v>68100.0</v>
      </c>
      <c r="P440" s="34" t="s">
        <v>236</v>
      </c>
      <c r="Q440" s="33" t="n">
        <f>69500</f>
        <v>69500.0</v>
      </c>
      <c r="R440" s="34" t="s">
        <v>50</v>
      </c>
      <c r="S440" s="35" t="n">
        <f>69344.44</f>
        <v>69344.44</v>
      </c>
      <c r="T440" s="32" t="n">
        <f>494890</f>
        <v>494890.0</v>
      </c>
      <c r="U440" s="32" t="n">
        <f>105322</f>
        <v>105322.0</v>
      </c>
      <c r="V440" s="32" t="n">
        <f>34448192424</f>
        <v>3.4448192424E10</v>
      </c>
      <c r="W440" s="32" t="n">
        <f>7327774124</f>
        <v>7.327774124E9</v>
      </c>
      <c r="X440" s="36" t="n">
        <f>18</f>
        <v>18.0</v>
      </c>
    </row>
    <row r="441">
      <c r="A441" s="27" t="s">
        <v>42</v>
      </c>
      <c r="B441" s="27" t="s">
        <v>1365</v>
      </c>
      <c r="C441" s="27" t="s">
        <v>1366</v>
      </c>
      <c r="D441" s="27" t="s">
        <v>1367</v>
      </c>
      <c r="E441" s="28" t="s">
        <v>46</v>
      </c>
      <c r="F441" s="29" t="s">
        <v>46</v>
      </c>
      <c r="G441" s="30" t="s">
        <v>46</v>
      </c>
      <c r="H441" s="31"/>
      <c r="I441" s="31" t="s">
        <v>47</v>
      </c>
      <c r="J441" s="32" t="n">
        <v>1.0</v>
      </c>
      <c r="K441" s="33" t="n">
        <f>89800</f>
        <v>89800.0</v>
      </c>
      <c r="L441" s="34" t="s">
        <v>48</v>
      </c>
      <c r="M441" s="33" t="n">
        <f>90900</f>
        <v>90900.0</v>
      </c>
      <c r="N441" s="34" t="s">
        <v>50</v>
      </c>
      <c r="O441" s="33" t="n">
        <f>87100</f>
        <v>87100.0</v>
      </c>
      <c r="P441" s="34" t="s">
        <v>232</v>
      </c>
      <c r="Q441" s="33" t="n">
        <f>88800</f>
        <v>88800.0</v>
      </c>
      <c r="R441" s="34" t="s">
        <v>50</v>
      </c>
      <c r="S441" s="35" t="n">
        <f>88650</f>
        <v>88650.0</v>
      </c>
      <c r="T441" s="32" t="n">
        <f>148958</f>
        <v>148958.0</v>
      </c>
      <c r="U441" s="32" t="n">
        <f>31991</f>
        <v>31991.0</v>
      </c>
      <c r="V441" s="32" t="n">
        <f>13235705117</f>
        <v>1.3235705117E10</v>
      </c>
      <c r="W441" s="32" t="n">
        <f>2841808217</f>
        <v>2.841808217E9</v>
      </c>
      <c r="X441" s="36" t="n">
        <f>18</f>
        <v>18.0</v>
      </c>
    </row>
    <row r="442">
      <c r="A442" s="27" t="s">
        <v>42</v>
      </c>
      <c r="B442" s="27" t="s">
        <v>1368</v>
      </c>
      <c r="C442" s="27" t="s">
        <v>1369</v>
      </c>
      <c r="D442" s="27" t="s">
        <v>1370</v>
      </c>
      <c r="E442" s="28" t="s">
        <v>46</v>
      </c>
      <c r="F442" s="29" t="s">
        <v>46</v>
      </c>
      <c r="G442" s="30" t="s">
        <v>46</v>
      </c>
      <c r="H442" s="31"/>
      <c r="I442" s="31" t="s">
        <v>47</v>
      </c>
      <c r="J442" s="32" t="n">
        <v>1.0</v>
      </c>
      <c r="K442" s="33" t="n">
        <f>126600</f>
        <v>126600.0</v>
      </c>
      <c r="L442" s="34" t="s">
        <v>48</v>
      </c>
      <c r="M442" s="33" t="n">
        <f>129900</f>
        <v>129900.0</v>
      </c>
      <c r="N442" s="34" t="s">
        <v>157</v>
      </c>
      <c r="O442" s="33" t="n">
        <f>121800</f>
        <v>121800.0</v>
      </c>
      <c r="P442" s="34" t="s">
        <v>103</v>
      </c>
      <c r="Q442" s="33" t="n">
        <f>128600</f>
        <v>128600.0</v>
      </c>
      <c r="R442" s="34" t="s">
        <v>50</v>
      </c>
      <c r="S442" s="35" t="n">
        <f>126061.11</f>
        <v>126061.11</v>
      </c>
      <c r="T442" s="32" t="n">
        <f>78304</f>
        <v>78304.0</v>
      </c>
      <c r="U442" s="32" t="n">
        <f>18034</f>
        <v>18034.0</v>
      </c>
      <c r="V442" s="32" t="n">
        <f>9901187902</f>
        <v>9.901187902E9</v>
      </c>
      <c r="W442" s="32" t="n">
        <f>2275767902</f>
        <v>2.275767902E9</v>
      </c>
      <c r="X442" s="36" t="n">
        <f>18</f>
        <v>18.0</v>
      </c>
    </row>
    <row r="443">
      <c r="A443" s="27" t="s">
        <v>42</v>
      </c>
      <c r="B443" s="27" t="s">
        <v>1371</v>
      </c>
      <c r="C443" s="27" t="s">
        <v>1372</v>
      </c>
      <c r="D443" s="27" t="s">
        <v>1373</v>
      </c>
      <c r="E443" s="28" t="s">
        <v>46</v>
      </c>
      <c r="F443" s="29" t="s">
        <v>46</v>
      </c>
      <c r="G443" s="30" t="s">
        <v>46</v>
      </c>
      <c r="H443" s="31"/>
      <c r="I443" s="31" t="s">
        <v>414</v>
      </c>
      <c r="J443" s="32" t="n">
        <v>1.0</v>
      </c>
      <c r="K443" s="33" t="n">
        <f>44950</f>
        <v>44950.0</v>
      </c>
      <c r="L443" s="34" t="s">
        <v>48</v>
      </c>
      <c r="M443" s="33" t="n">
        <f>46050</f>
        <v>46050.0</v>
      </c>
      <c r="N443" s="34" t="s">
        <v>68</v>
      </c>
      <c r="O443" s="33" t="n">
        <f>42600</f>
        <v>42600.0</v>
      </c>
      <c r="P443" s="34" t="s">
        <v>83</v>
      </c>
      <c r="Q443" s="33" t="n">
        <f>43200</f>
        <v>43200.0</v>
      </c>
      <c r="R443" s="34" t="s">
        <v>50</v>
      </c>
      <c r="S443" s="35" t="n">
        <f>43472.22</f>
        <v>43472.22</v>
      </c>
      <c r="T443" s="32" t="n">
        <f>2321</f>
        <v>2321.0</v>
      </c>
      <c r="U443" s="32" t="n">
        <f>1</f>
        <v>1.0</v>
      </c>
      <c r="V443" s="32" t="n">
        <f>101422700</f>
        <v>1.014227E8</v>
      </c>
      <c r="W443" s="32" t="n">
        <f>43300</f>
        <v>43300.0</v>
      </c>
      <c r="X443" s="36" t="n">
        <f>18</f>
        <v>18.0</v>
      </c>
    </row>
    <row r="444">
      <c r="A444" s="27" t="s">
        <v>42</v>
      </c>
      <c r="B444" s="27" t="s">
        <v>1374</v>
      </c>
      <c r="C444" s="27" t="s">
        <v>1375</v>
      </c>
      <c r="D444" s="27" t="s">
        <v>1376</v>
      </c>
      <c r="E444" s="28" t="s">
        <v>46</v>
      </c>
      <c r="F444" s="29" t="s">
        <v>46</v>
      </c>
      <c r="G444" s="30" t="s">
        <v>46</v>
      </c>
      <c r="H444" s="31"/>
      <c r="I444" s="31" t="s">
        <v>414</v>
      </c>
      <c r="J444" s="32" t="n">
        <v>1.0</v>
      </c>
      <c r="K444" s="33" t="n">
        <f>74300</f>
        <v>74300.0</v>
      </c>
      <c r="L444" s="34" t="s">
        <v>48</v>
      </c>
      <c r="M444" s="33" t="n">
        <f>77200</f>
        <v>77200.0</v>
      </c>
      <c r="N444" s="34" t="s">
        <v>50</v>
      </c>
      <c r="O444" s="33" t="n">
        <f>71000</f>
        <v>71000.0</v>
      </c>
      <c r="P444" s="34" t="s">
        <v>232</v>
      </c>
      <c r="Q444" s="33" t="n">
        <f>76100</f>
        <v>76100.0</v>
      </c>
      <c r="R444" s="34" t="s">
        <v>50</v>
      </c>
      <c r="S444" s="35" t="n">
        <f>73538.89</f>
        <v>73538.89</v>
      </c>
      <c r="T444" s="32" t="n">
        <f>33456</f>
        <v>33456.0</v>
      </c>
      <c r="U444" s="32" t="n">
        <f>1587</f>
        <v>1587.0</v>
      </c>
      <c r="V444" s="32" t="n">
        <f>2461902752</f>
        <v>2.461902752E9</v>
      </c>
      <c r="W444" s="32" t="n">
        <f>114887852</f>
        <v>1.14887852E8</v>
      </c>
      <c r="X444" s="36" t="n">
        <f>18</f>
        <v>18.0</v>
      </c>
    </row>
    <row r="445">
      <c r="A445" s="27" t="s">
        <v>42</v>
      </c>
      <c r="B445" s="27" t="s">
        <v>1377</v>
      </c>
      <c r="C445" s="27" t="s">
        <v>1378</v>
      </c>
      <c r="D445" s="27" t="s">
        <v>1379</v>
      </c>
      <c r="E445" s="28" t="s">
        <v>46</v>
      </c>
      <c r="F445" s="29" t="s">
        <v>46</v>
      </c>
      <c r="G445" s="30" t="s">
        <v>46</v>
      </c>
      <c r="H445" s="31"/>
      <c r="I445" s="31" t="s">
        <v>414</v>
      </c>
      <c r="J445" s="32" t="n">
        <v>1.0</v>
      </c>
      <c r="K445" s="33" t="n">
        <f>47850</f>
        <v>47850.0</v>
      </c>
      <c r="L445" s="34" t="s">
        <v>48</v>
      </c>
      <c r="M445" s="33" t="n">
        <f>48700</f>
        <v>48700.0</v>
      </c>
      <c r="N445" s="34" t="s">
        <v>61</v>
      </c>
      <c r="O445" s="33" t="n">
        <f>42650</f>
        <v>42650.0</v>
      </c>
      <c r="P445" s="34" t="s">
        <v>204</v>
      </c>
      <c r="Q445" s="33" t="n">
        <f>43150</f>
        <v>43150.0</v>
      </c>
      <c r="R445" s="34" t="s">
        <v>50</v>
      </c>
      <c r="S445" s="35" t="n">
        <f>46555.56</f>
        <v>46555.56</v>
      </c>
      <c r="T445" s="32" t="n">
        <f>14004</f>
        <v>14004.0</v>
      </c>
      <c r="U445" s="32" t="n">
        <f>600</f>
        <v>600.0</v>
      </c>
      <c r="V445" s="32" t="n">
        <f>643351080</f>
        <v>6.4335108E8</v>
      </c>
      <c r="W445" s="32" t="n">
        <f>27083880</f>
        <v>2.708388E7</v>
      </c>
      <c r="X445" s="36" t="n">
        <f>18</f>
        <v>18.0</v>
      </c>
    </row>
    <row r="446">
      <c r="A446" s="27" t="s">
        <v>42</v>
      </c>
      <c r="B446" s="27" t="s">
        <v>1380</v>
      </c>
      <c r="C446" s="27" t="s">
        <v>1381</v>
      </c>
      <c r="D446" s="27" t="s">
        <v>1382</v>
      </c>
      <c r="E446" s="28" t="s">
        <v>46</v>
      </c>
      <c r="F446" s="29" t="s">
        <v>46</v>
      </c>
      <c r="G446" s="30" t="s">
        <v>46</v>
      </c>
      <c r="H446" s="31"/>
      <c r="I446" s="31" t="s">
        <v>47</v>
      </c>
      <c r="J446" s="32" t="n">
        <v>1.0</v>
      </c>
      <c r="K446" s="33" t="n">
        <f>47650</f>
        <v>47650.0</v>
      </c>
      <c r="L446" s="34" t="s">
        <v>48</v>
      </c>
      <c r="M446" s="33" t="n">
        <f>48550</f>
        <v>48550.0</v>
      </c>
      <c r="N446" s="34" t="s">
        <v>204</v>
      </c>
      <c r="O446" s="33" t="n">
        <f>46050</f>
        <v>46050.0</v>
      </c>
      <c r="P446" s="34" t="s">
        <v>232</v>
      </c>
      <c r="Q446" s="33" t="n">
        <f>48050</f>
        <v>48050.0</v>
      </c>
      <c r="R446" s="34" t="s">
        <v>50</v>
      </c>
      <c r="S446" s="35" t="n">
        <f>47325</f>
        <v>47325.0</v>
      </c>
      <c r="T446" s="32" t="n">
        <f>25466</f>
        <v>25466.0</v>
      </c>
      <c r="U446" s="32" t="n">
        <f>844</f>
        <v>844.0</v>
      </c>
      <c r="V446" s="32" t="n">
        <f>1204179441</f>
        <v>1.204179441E9</v>
      </c>
      <c r="W446" s="32" t="n">
        <f>39315991</f>
        <v>3.9315991E7</v>
      </c>
      <c r="X446" s="36" t="n">
        <f>18</f>
        <v>18.0</v>
      </c>
    </row>
    <row r="447">
      <c r="A447" s="27" t="s">
        <v>42</v>
      </c>
      <c r="B447" s="27" t="s">
        <v>1383</v>
      </c>
      <c r="C447" s="27" t="s">
        <v>1384</v>
      </c>
      <c r="D447" s="27" t="s">
        <v>1385</v>
      </c>
      <c r="E447" s="28" t="s">
        <v>46</v>
      </c>
      <c r="F447" s="29" t="s">
        <v>46</v>
      </c>
      <c r="G447" s="30" t="s">
        <v>46</v>
      </c>
      <c r="H447" s="31"/>
      <c r="I447" s="31" t="s">
        <v>414</v>
      </c>
      <c r="J447" s="32" t="n">
        <v>1.0</v>
      </c>
      <c r="K447" s="33" t="n">
        <f>44600</f>
        <v>44600.0</v>
      </c>
      <c r="L447" s="34" t="s">
        <v>48</v>
      </c>
      <c r="M447" s="33" t="n">
        <f>45100</f>
        <v>45100.0</v>
      </c>
      <c r="N447" s="34" t="s">
        <v>48</v>
      </c>
      <c r="O447" s="33" t="n">
        <f>42000</f>
        <v>42000.0</v>
      </c>
      <c r="P447" s="34" t="s">
        <v>232</v>
      </c>
      <c r="Q447" s="33" t="n">
        <f>43750</f>
        <v>43750.0</v>
      </c>
      <c r="R447" s="34" t="s">
        <v>50</v>
      </c>
      <c r="S447" s="35" t="n">
        <f>43147.22</f>
        <v>43147.22</v>
      </c>
      <c r="T447" s="32" t="n">
        <f>24839</f>
        <v>24839.0</v>
      </c>
      <c r="U447" s="32" t="n">
        <f>863</f>
        <v>863.0</v>
      </c>
      <c r="V447" s="32" t="n">
        <f>1068900286</f>
        <v>1.068900286E9</v>
      </c>
      <c r="W447" s="32" t="n">
        <f>36809436</f>
        <v>3.6809436E7</v>
      </c>
      <c r="X447" s="36" t="n">
        <f>18</f>
        <v>18.0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2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