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<sst xmlns="http://schemas.openxmlformats.org/spreadsheetml/2006/main" count="5373" uniqueCount="1402">
  <si>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</si>
  <si>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</si>
  <si>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</si>
  <si>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</si>
  <si>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</si>
  <si>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</si>
  <si>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</si>
  <si>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</si>
  <si>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</si>
  <si>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</si>
  <si>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</si>
  <si>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</si>
  <si>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</si>
  <si>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</si>
  <si>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</si>
  <si>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</si>
  <si>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</si>
  <si>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</si>
  <si>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</si>
  <si>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</si>
  <si>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</si>
  <si>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</si>
  <si>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</si>
  <si>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</si>
  <si>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</si>
  <si>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</si>
  <si>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</si>
  <si>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</si>
  <si>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</si>
  <si>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</si>
  <si>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</si>
  <si>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</si>
  <si>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</si>
  <si>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</si>
  <si>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</si>
  <si>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</si>
  <si>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</si>
  <si>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</si>
  <si>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</si>
  <si>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</si>
  <si>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</si>
  <si>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</si>
  <si>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2025/03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</si>
  <si>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</si>
  <si>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</si>
  <si>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</si>
  <si>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</si>
  <si>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</si>
  <si>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3</t>
  </si>
  <si>
    <t>26</t>
  </si>
  <si>
    <t>11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</si>
  <si>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</si>
  <si>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</si>
  <si>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</si>
  <si>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</si>
  <si>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</si>
  <si>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</si>
  <si>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</si>
  <si>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</si>
  <si>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</si>
  <si>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</si>
  <si>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18</t>
  </si>
  <si>
    <t>4</t>
  </si>
  <si>
    <t>1311</t>
  </si>
  <si>
    <t>ＮＥＸＴ　ＦＵＮＤＳ　ＴＯＰＩＸ　Ｃｏｒｅ　３０連動型上場投信　受益証券</t>
  </si>
  <si>
    <t>NEXT FUNDS TOPIX Core 30 Exchange Traded Fund</t>
  </si>
  <si>
    <t>25</t>
  </si>
  <si>
    <t>1319</t>
  </si>
  <si>
    <t>ＮＥＸＴ　ＦＵＮＤＳ　日経３００株価指数連動型上場投信　受益証券</t>
  </si>
  <si>
    <t>NEXT FUNDS Nikkei 300 Index Exchange Traded Fund</t>
  </si>
  <si>
    <t>19</t>
  </si>
  <si>
    <t>14</t>
  </si>
  <si>
    <t>27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</si>
  <si>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</si>
  <si>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</si>
  <si>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</si>
  <si>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</si>
  <si>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</si>
  <si>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</si>
  <si>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</si>
  <si>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</si>
  <si>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</si>
  <si>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</si>
  <si>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</si>
  <si>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</si>
  <si>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28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</si>
  <si>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</si>
  <si>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</si>
  <si>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</si>
  <si>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</si>
  <si>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</si>
  <si>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</si>
  <si>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</si>
  <si>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</si>
  <si>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</si>
  <si>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</si>
  <si>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</si>
  <si>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</si>
  <si>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</si>
  <si>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</si>
  <si>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</si>
  <si>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</si>
  <si>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</si>
  <si>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</si>
  <si>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</si>
  <si>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</si>
  <si>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</si>
  <si>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</si>
  <si>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</si>
  <si>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</si>
  <si>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</si>
  <si>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</si>
  <si>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</si>
  <si>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</si>
  <si>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</si>
  <si>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</si>
  <si>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</si>
  <si>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</si>
  <si>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</si>
  <si>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</si>
  <si>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</si>
  <si>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</si>
  <si>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</si>
  <si>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</si>
  <si>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</si>
  <si>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</si>
  <si>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</si>
  <si>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</si>
  <si>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</si>
  <si>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</si>
  <si>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</si>
  <si>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</si>
  <si>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</si>
  <si>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</si>
  <si>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</si>
  <si>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</si>
  <si>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</si>
  <si>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</si>
  <si>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</si>
  <si>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</si>
  <si>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</si>
  <si>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</si>
  <si>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</si>
  <si>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</si>
  <si>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</si>
  <si>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</si>
  <si>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</si>
  <si>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</si>
  <si>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</si>
  <si>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</si>
  <si>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</si>
  <si>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</si>
  <si>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</si>
  <si>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</si>
  <si>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</si>
  <si>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21</t>
  </si>
  <si>
    <t>140A</t>
  </si>
  <si>
    <t>ｉＦｒｅｅＥＴＦ　米国１０年国債先物インバース　受益証券</t>
  </si>
  <si>
    <t>iFreeETF 10-Year U.S. Treasury Note Futures Inverse</t>
  </si>
  <si>
    <t>5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</si>
  <si>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</si>
  <si>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</si>
  <si>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</si>
  <si>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</si>
  <si>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</si>
  <si>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</si>
  <si>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</si>
  <si>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</si>
  <si>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</si>
  <si>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</si>
  <si>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</si>
  <si>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</si>
  <si>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</si>
  <si>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</si>
  <si>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</si>
  <si>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</si>
  <si>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</si>
  <si>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</si>
  <si>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</si>
  <si>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</si>
  <si>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</si>
  <si>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</si>
  <si>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</si>
  <si>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</si>
  <si>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</si>
  <si>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</si>
  <si>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</si>
  <si>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</si>
  <si>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</si>
  <si>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</si>
  <si>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</si>
  <si>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</si>
  <si>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</si>
  <si>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</si>
  <si>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</si>
  <si>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</si>
  <si>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</si>
  <si>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</si>
  <si>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</si>
  <si>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</si>
  <si>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</si>
  <si>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</si>
  <si>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</si>
  <si>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</si>
  <si>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</si>
  <si>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24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</si>
  <si>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</si>
  <si>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</si>
  <si>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</si>
  <si>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</si>
  <si>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</si>
  <si>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</si>
  <si>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6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</si>
  <si>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</si>
  <si>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</si>
  <si>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</si>
  <si>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</si>
  <si>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</si>
  <si>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</si>
  <si>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</si>
  <si>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</si>
  <si>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</si>
  <si>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</si>
  <si>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</si>
  <si>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</si>
  <si>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10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</si>
  <si>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</si>
  <si>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</si>
  <si>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</si>
  <si>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</si>
  <si>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</si>
  <si>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</si>
  <si>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</si>
  <si>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</si>
  <si>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</si>
  <si>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</si>
  <si>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</si>
  <si>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</si>
  <si>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</si>
  <si>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</si>
  <si>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</si>
  <si>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</si>
  <si>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</si>
  <si>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</si>
  <si>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</si>
  <si>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</si>
  <si>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</si>
  <si>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</si>
  <si>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</si>
  <si>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</si>
  <si>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</si>
  <si>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</si>
  <si>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</si>
  <si>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17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</si>
  <si>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</si>
  <si>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</si>
  <si>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</si>
  <si>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</si>
  <si>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</si>
  <si>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</si>
  <si>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</si>
  <si>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</si>
  <si>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</si>
  <si>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</si>
  <si>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</si>
  <si>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</si>
  <si>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</si>
  <si>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</si>
  <si>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</si>
  <si>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</si>
  <si>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</si>
  <si>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</si>
  <si>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</si>
  <si>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</si>
  <si>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</si>
  <si>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</si>
  <si>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</si>
  <si>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</si>
  <si>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</si>
  <si>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</si>
  <si>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</si>
  <si>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</si>
  <si>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</si>
  <si>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</si>
  <si>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</si>
  <si>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</si>
  <si>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</si>
  <si>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</si>
  <si>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</si>
  <si>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</si>
  <si>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</si>
  <si>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</si>
  <si>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</si>
  <si>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</si>
  <si>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</si>
  <si>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</si>
  <si>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</si>
  <si>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</si>
  <si>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</si>
  <si>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13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</si>
  <si>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</si>
  <si>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</si>
  <si>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</si>
  <si>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7</t>
  </si>
  <si>
    <t>12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</si>
  <si>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</si>
  <si>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</si>
  <si>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</si>
  <si>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</si>
  <si>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</si>
  <si>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</si>
  <si>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</si>
  <si>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</si>
  <si>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</si>
  <si>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</si>
  <si>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</si>
  <si>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</si>
  <si>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</si>
  <si>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</si>
  <si>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</si>
  <si>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</si>
  <si>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</si>
  <si>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</si>
  <si>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</si>
  <si>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</si>
  <si>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</si>
  <si>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</si>
  <si>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</si>
  <si>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</si>
  <si>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</si>
  <si>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</si>
  <si>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</si>
  <si>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</si>
  <si>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</si>
  <si>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</si>
  <si>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</si>
  <si>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</si>
  <si>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</si>
  <si>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</si>
  <si>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</si>
  <si>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</si>
  <si>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</si>
  <si>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</si>
  <si>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</si>
  <si>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</si>
  <si>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</si>
  <si>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</si>
  <si>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</si>
  <si>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</si>
  <si>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</si>
  <si>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</si>
  <si>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</si>
  <si>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</si>
  <si>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</si>
  <si>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</si>
  <si>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</si>
  <si>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</si>
  <si>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</si>
  <si>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</si>
  <si>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</si>
  <si>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</si>
  <si>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</si>
  <si>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</si>
  <si>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</si>
  <si>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</si>
  <si>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</si>
  <si>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</si>
  <si>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</si>
  <si>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</si>
  <si>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</si>
  <si>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</si>
  <si>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</si>
  <si>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</si>
  <si>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</si>
  <si>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</si>
  <si>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</si>
  <si>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</si>
  <si>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</si>
  <si>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</si>
  <si>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</si>
  <si>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</si>
  <si>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</si>
  <si>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</si>
  <si>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</si>
  <si>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</si>
  <si>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</si>
  <si>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</si>
  <si>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</si>
  <si>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</si>
  <si>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</si>
  <si>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</si>
  <si>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</si>
  <si>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</si>
  <si>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</si>
  <si>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</si>
  <si>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</si>
  <si>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</si>
  <si>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</si>
  <si>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</si>
  <si>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</si>
  <si>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</si>
  <si>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</si>
  <si>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</si>
  <si>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</si>
  <si>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</si>
  <si>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</si>
  <si>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</si>
  <si>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</si>
  <si>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</si>
  <si>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</si>
  <si>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</si>
  <si>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</si>
  <si>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</si>
  <si>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</si>
  <si>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</si>
  <si>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</si>
  <si>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</si>
  <si>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</si>
  <si>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</si>
  <si>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</si>
  <si>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</si>
  <si>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</si>
  <si>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</si>
  <si>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</si>
  <si>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</si>
  <si>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</si>
  <si>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</si>
  <si>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</si>
  <si>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</si>
  <si>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</si>
  <si>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</si>
  <si>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</si>
  <si>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</si>
  <si>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</si>
  <si>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</si>
  <si>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</si>
  <si>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</si>
  <si>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</si>
  <si>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</si>
  <si>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</si>
  <si>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</si>
  <si>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</si>
  <si>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</si>
  <si>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</si>
  <si>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</si>
  <si>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</si>
  <si>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</si>
  <si>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</si>
  <si>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</si>
  <si>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</si>
  <si>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</si>
  <si>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</si>
  <si>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</si>
  <si>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</si>
  <si>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</si>
  <si>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</si>
  <si>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</si>
  <si>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</si>
  <si>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</si>
  <si>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</si>
  <si>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</si>
  <si>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</si>
  <si>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</si>
  <si>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</si>
  <si>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</si>
  <si>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</si>
  <si>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</si>
  <si>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</si>
  <si>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</si>
  <si>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</si>
  <si>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</si>
  <si>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</si>
  <si>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</si>
  <si>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</si>
  <si>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</si>
  <si>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</si>
  <si>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</si>
  <si>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</si>
  <si>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</si>
  <si>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</si>
  <si>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</si>
  <si>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</si>
  <si>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</si>
  <si>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</si>
  <si>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</si>
  <si>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</si>
  <si>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</si>
  <si>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</si>
  <si>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</si>
  <si>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</si>
  <si>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</si>
  <si>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</si>
  <si>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</si>
  <si>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</si>
  <si>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</si>
  <si>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</si>
  <si>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</si>
  <si>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</si>
  <si>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</si>
  <si>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</si>
  <si>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</si>
  <si>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</si>
  <si>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</si>
  <si>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</si>
  <si>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</si>
  <si>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</si>
  <si>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</si>
  <si>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</si>
  <si>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</si>
  <si>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</si>
  <si>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</si>
  <si>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</si>
  <si>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</si>
  <si>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</si>
  <si>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</si>
  <si>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</si>
  <si>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</si>
  <si>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</si>
  <si>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</si>
  <si>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</si>
  <si>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</si>
  <si>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</si>
  <si>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</si>
  <si>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</si>
  <si>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</si>
  <si>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</si>
  <si>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</si>
  <si>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</si>
  <si>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</si>
  <si>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</si>
  <si>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</si>
  <si>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</si>
  <si>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</si>
  <si>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</si>
  <si>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</si>
  <si>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</si>
  <si>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</si>
  <si>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</si>
  <si>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</si>
  <si>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</si>
  <si>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</si>
  <si>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</si>
  <si>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</si>
  <si>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</si>
  <si>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</si>
  <si>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</si>
  <si>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</si>
  <si>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</si>
  <si>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</si>
  <si>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</si>
  <si>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</si>
  <si>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</si>
  <si>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</si>
  <si>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</si>
  <si>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</si>
  <si>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</si>
  <si>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</si>
  <si>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</si>
  <si>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</si>
  <si>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</si>
  <si>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</si>
  <si>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</si>
  <si>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</si>
  <si>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</si>
  <si>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</si>
  <si>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</si>
  <si>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</si>
  <si>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</si>
  <si>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</si>
  <si>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</si>
  <si>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</si>
  <si>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</si>
  <si>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</si>
  <si>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</si>
  <si>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</si>
  <si>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</si>
  <si>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</si>
  <si>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</si>
  <si>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</si>
  <si>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</si>
  <si>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</si>
  <si>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</si>
  <si>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</si>
  <si>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</si>
  <si>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</si>
  <si>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</si>
  <si>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</si>
  <si>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</si>
  <si>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</si>
  <si>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</si>
  <si>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</si>
  <si>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</si>
  <si>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</si>
  <si>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</si>
  <si>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</si>
  <si>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</si>
  <si>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</si>
  <si>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</si>
  <si>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</si>
  <si>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</si>
  <si>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</si>
  <si>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</si>
  <si>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</si>
  <si>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</si>
  <si>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</si>
  <si>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</si>
  <si>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</si>
  <si>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</si>
  <si>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</si>
  <si>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</si>
  <si>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</si>
  <si>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</si>
  <si>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</si>
  <si>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</si>
  <si>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</si>
  <si>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</si>
  <si>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</si>
  <si>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</si>
  <si>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</si>
  <si>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</si>
  <si>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</si>
  <si>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</si>
  <si>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</si>
  <si>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</si>
  <si>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</si>
  <si>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</si>
  <si>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</si>
  <si>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</si>
  <si>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</si>
  <si>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</si>
  <si>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</si>
  <si>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</si>
  <si>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</si>
  <si>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</si>
  <si>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</si>
  <si>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</si>
  <si>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</si>
  <si>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</si>
  <si>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</si>
  <si>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</si>
  <si>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</si>
  <si>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</si>
  <si>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</si>
  <si>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</si>
  <si>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</si>
  <si>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</si>
  <si>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</si>
  <si>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</si>
  <si>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</si>
  <si>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</si>
  <si>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</si>
  <si>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</si>
  <si>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</si>
  <si>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</si>
  <si>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</si>
  <si>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</si>
  <si>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</si>
  <si>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</si>
  <si>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</si>
  <si>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</si>
  <si>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</si>
  <si>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</si>
  <si>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</si>
  <si>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</si>
  <si>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</si>
  <si>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</si>
  <si>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</si>
  <si>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</si>
  <si>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</si>
  <si>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</si>
  <si>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</si>
  <si>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</si>
  <si>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</si>
  <si>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</si>
  <si>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</si>
  <si>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</si>
  <si>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</si>
  <si>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</si>
  <si>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</si>
  <si>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</si>
  <si>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</si>
  <si>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</si>
  <si>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</si>
  <si>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</si>
  <si>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</si>
  <si>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</si>
  <si>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</si>
  <si>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</si>
  <si>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</si>
  <si>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</si>
  <si>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</si>
  <si>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</si>
  <si>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</si>
  <si>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</si>
  <si>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</si>
  <si>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</si>
  <si>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</si>
  <si>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</si>
  <si>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</si>
  <si>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</si>
  <si>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</si>
  <si>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</si>
  <si>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</si>
  <si>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</si>
  <si>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</si>
  <si>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</si>
  <si>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</si>
  <si>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</si>
  <si>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</si>
  <si>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</si>
  <si>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</si>
  <si>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</si>
  <si>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</si>
  <si>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</si>
  <si>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</si>
  <si>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</si>
  <si>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</si>
  <si>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</si>
  <si>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</si>
  <si>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</si>
  <si>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</si>
  <si>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</si>
  <si>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</si>
  <si>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</si>
  <si>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</si>
  <si>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</si>
  <si>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</si>
  <si>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</si>
  <si>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</si>
  <si>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</si>
  <si>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</si>
  <si>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</si>
  <si>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</si>
  <si>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</si>
  <si>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</si>
  <si>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</si>
  <si>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</si>
  <si>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</si>
  <si>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</si>
  <si>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</si>
  <si>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</si>
  <si>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</si>
  <si>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</si>
  <si>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</si>
  <si>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</si>
  <si>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</si>
  <si>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</si>
  <si>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</si>
  <si>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</si>
  <si>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</si>
  <si>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</si>
  <si>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</si>
  <si>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</si>
  <si>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</si>
  <si>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</si>
  <si>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</si>
  <si>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</si>
  <si>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</si>
  <si>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</si>
  <si>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</si>
  <si>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</si>
  <si>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</si>
  <si>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</si>
  <si>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</si>
  <si>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</si>
  <si>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</si>
  <si>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</si>
  <si>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</si>
  <si>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</si>
  <si>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</si>
  <si>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</si>
  <si>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</si>
  <si>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</si>
  <si>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</si>
  <si>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</si>
  <si>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</si>
  <si>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</si>
  <si>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</si>
  <si>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</si>
  <si>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</si>
  <si>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</si>
  <si>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</si>
  <si>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</si>
  <si>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</si>
  <si>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</si>
  <si>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</si>
  <si>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</si>
  <si>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</si>
  <si>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</si>
  <si>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 xml:space="preserve">新株落ち  </t>
  </si>
  <si>
    <t xml:space="preserve">ex-subscription right  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</si>
  <si>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</si>
  <si>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</si>
  <si>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</si>
  <si>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</si>
  <si>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</si>
  <si>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</si>
  <si>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</si>
  <si>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</si>
  <si>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</si>
  <si>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</si>
  <si>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</si>
  <si>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</si>
  <si>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</si>
  <si>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</si>
  <si>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</si>
  <si>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</si>
  <si>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</si>
  <si>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</si>
  <si>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</si>
  <si>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</si>
  <si>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</si>
  <si>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</si>
  <si>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</si>
  <si>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</si>
  <si>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</si>
  <si>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</si>
  <si>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</si>
  <si>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</si>
  <si>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</si>
  <si>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</si>
  <si>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</si>
  <si>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</si>
  <si>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</si>
  <si>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</si>
  <si>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</si>
  <si>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</si>
  <si>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</si>
  <si>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</si>
  <si>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</si>
  <si>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</si>
  <si>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</si>
  <si>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</si>
  <si>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</si>
  <si>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</si>
  <si>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</si>
  <si>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</si>
  <si>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</si>
  <si>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</si>
  <si>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</si>
  <si>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</si>
  <si>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</si>
  <si>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</si>
  <si>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</si>
  <si>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</si>
  <si>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</si>
  <si>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</si>
  <si>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</si>
  <si>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</si>
  <si>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</si>
  <si>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</si>
  <si>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</si>
  <si>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</si>
  <si>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</si>
  <si>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</si>
  <si>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</si>
  <si>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</si>
  <si>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</si>
  <si>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</si>
  <si>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</si>
  <si>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</si>
  <si>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</si>
  <si>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</si>
  <si>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</si>
  <si>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</si>
  <si>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</si>
  <si>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</si>
  <si>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</si>
  <si>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</si>
  <si>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</si>
  <si>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</si>
  <si>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</si>
  <si>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</si>
  <si>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</si>
  <si>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</si>
  <si>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</si>
  <si>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</si>
  <si>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</si>
  <si>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</si>
  <si>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</si>
  <si>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</si>
  <si>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</si>
  <si>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</si>
  <si>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</si>
  <si>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</si>
  <si>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</si>
  <si>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</si>
  <si>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</si>
  <si>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</si>
  <si>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</si>
  <si>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</si>
  <si>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</si>
  <si>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</si>
  <si>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</si>
  <si>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</si>
  <si>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</si>
  <si>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</si>
  <si>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</si>
  <si>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</si>
  <si>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</si>
  <si>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</si>
  <si>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</si>
  <si>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</si>
  <si>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</si>
  <si>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</si>
  <si>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</si>
  <si>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</si>
  <si>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</si>
  <si>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</si>
  <si>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</si>
  <si>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</si>
  <si>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</si>
  <si>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</si>
  <si>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</si>
  <si>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</si>
  <si>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</si>
  <si>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</si>
  <si>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</si>
  <si>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</si>
  <si>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</si>
  <si>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</si>
  <si>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</si>
  <si>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</si>
  <si>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</si>
  <si>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</si>
  <si>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</si>
  <si>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</si>
  <si>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</si>
  <si>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</si>
  <si>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</si>
  <si>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</si>
  <si>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</si>
  <si>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</si>
  <si>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</si>
  <si>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</si>
  <si>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</si>
  <si>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</si>
  <si>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</si>
  <si>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</si>
  <si>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</si>
  <si>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</si>
  <si>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</si>
  <si>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</si>
  <si>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</si>
  <si>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</si>
  <si>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</si>
  <si>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</si>
  <si>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</si>
  <si>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</si>
  <si>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</si>
  <si>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</si>
  <si>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</si>
  <si>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</si>
  <si>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</si>
  <si>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</si>
  <si>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</si>
  <si>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</si>
  <si>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</si>
  <si>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</si>
  <si>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</si>
  <si>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</si>
  <si>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</si>
  <si>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</si>
  <si>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</si>
  <si>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</si>
  <si>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</si>
  <si>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</si>
  <si>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</si>
  <si>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</si>
  <si>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</si>
  <si>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</si>
  <si>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</si>
  <si>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</si>
  <si>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</si>
  <si>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</si>
  <si>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</si>
  <si>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</si>
  <si>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</si>
  <si>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</si>
  <si>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</si>
  <si>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</si>
  <si>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</si>
  <si>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</si>
  <si>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</si>
  <si>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</si>
  <si>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</si>
  <si>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</si>
  <si>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</si>
  <si>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</si>
  <si>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</si>
  <si>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</si>
  <si>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</si>
  <si>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</si>
  <si>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</si>
  <si>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</si>
  <si>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</si>
  <si>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</si>
  <si>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</si>
  <si>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</si>
  <si>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</si>
  <si>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</si>
  <si>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</si>
  <si>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</si>
  <si>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</si>
  <si>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</si>
  <si>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</si>
  <si>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</si>
  <si>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</si>
  <si>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</si>
  <si>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</si>
  <si>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</si>
  <si>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</si>
  <si>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</si>
  <si>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</si>
  <si>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</si>
  <si>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</si>
  <si>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</si>
  <si>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</si>
  <si>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</si>
  <si>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</si>
  <si>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</si>
  <si>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</si>
  <si>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</si>
  <si>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</si>
  <si>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</si>
  <si>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</si>
  <si>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</si>
  <si>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</si>
  <si>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</si>
  <si>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</si>
  <si>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</si>
  <si>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</si>
  <si>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</si>
  <si>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</si>
  <si>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</si>
  <si>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</si>
  <si>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</si>
  <si>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</si>
  <si>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</si>
  <si>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</si>
  <si>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</si>
  <si>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</si>
  <si>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</si>
  <si>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</si>
  <si>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</si>
  <si>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</si>
  <si>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</si>
  <si>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</si>
  <si>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</si>
  <si>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</si>
  <si>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</si>
  <si>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</si>
  <si>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</si>
  <si>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</si>
  <si>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</si>
  <si>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</si>
  <si>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</si>
  <si>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</si>
  <si>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</si>
  <si>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</si>
  <si>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</si>
  <si>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</si>
  <si>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</si>
  <si>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</si>
  <si>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</si>
  <si>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</si>
  <si>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</si>
  <si>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</si>
  <si>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</si>
  <si>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</si>
  <si>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</si>
  <si>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</si>
  <si>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</si>
  <si>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</si>
  <si>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</si>
  <si>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</si>
  <si>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</si>
  <si>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</si>
  <si>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</si>
  <si>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</si>
  <si>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</si>
  <si>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</si>
  <si>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</si>
  <si>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</si>
  <si>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</si>
  <si>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</si>
  <si>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</si>
  <si>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</si>
  <si>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</si>
  <si>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</si>
  <si>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</si>
  <si>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</si>
  <si>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</si>
  <si>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</si>
  <si>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</si>
  <si>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</si>
  <si>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</si>
  <si>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</si>
  <si>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</si>
  <si>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</si>
  <si>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</si>
  <si>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</si>
  <si>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</si>
  <si>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</si>
  <si>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</si>
  <si>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</si>
  <si>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</si>
  <si>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</si>
  <si>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</si>
  <si>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</si>
  <si>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</si>
  <si>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</si>
  <si>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</si>
  <si>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</si>
  <si>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</si>
  <si>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</si>
  <si>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</si>
  <si>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</si>
  <si>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</si>
  <si>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</si>
  <si>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</si>
  <si>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</si>
  <si>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</si>
  <si>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</si>
  <si>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</si>
  <si>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</si>
  <si>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</si>
  <si>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</si>
  <si>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</si>
  <si>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</si>
  <si>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</si>
  <si>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</si>
  <si>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</si>
  <si>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</si>
  <si>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</si>
  <si>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</si>
  <si>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</si>
  <si>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</si>
  <si>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</si>
  <si>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</si>
  <si>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</si>
  <si>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</si>
  <si>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</si>
  <si>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</si>
  <si>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</si>
  <si>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</si>
  <si>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</si>
  <si>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</si>
  <si>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</si>
  <si>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</si>
  <si>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</si>
  <si>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</si>
  <si>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</si>
  <si>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</si>
  <si>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</si>
  <si>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</si>
  <si>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</si>
  <si>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</si>
  <si>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</si>
  <si>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</si>
  <si>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</si>
  <si>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</si>
  <si>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</si>
  <si>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</si>
  <si>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</si>
  <si>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</si>
  <si>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</si>
  <si>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</si>
  <si>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</si>
  <si>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</si>
  <si>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</si>
  <si>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</si>
  <si>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</si>
  <si>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</si>
  <si>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</si>
  <si>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</si>
  <si>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</si>
  <si>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</si>
  <si>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</si>
  <si>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</si>
  <si>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</si>
  <si>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</si>
  <si>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</si>
  <si>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</si>
  <si>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</si>
  <si>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</si>
  <si>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</si>
  <si>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</si>
  <si>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</si>
  <si>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</si>
  <si>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</si>
  <si>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</si>
  <si>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</si>
  <si>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</si>
  <si>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</si>
  <si>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</si>
  <si>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</si>
  <si>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</si>
  <si>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</si>
  <si>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</si>
  <si>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</si>
  <si>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</si>
  <si>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</si>
  <si>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</si>
  <si>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</si>
  <si>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</si>
  <si>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</si>
  <si>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</si>
  <si>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</si>
  <si>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</si>
  <si>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</si>
  <si>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</si>
  <si>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</si>
  <si>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</si>
  <si>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</si>
  <si>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</si>
  <si>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</si>
  <si>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</si>
  <si>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</si>
  <si>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</si>
  <si>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</si>
  <si>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</si>
  <si>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</si>
  <si>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</si>
  <si>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</si>
  <si>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</si>
  <si>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</si>
  <si>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</si>
  <si>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</si>
  <si>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</si>
  <si>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</si>
  <si>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</si>
  <si>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</si>
  <si>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</si>
  <si>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</si>
  <si>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</si>
  <si>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</si>
  <si>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</si>
  <si>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</si>
  <si>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</si>
  <si>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</si>
  <si>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</si>
  <si>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</si>
  <si>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</si>
  <si>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</si>
  <si>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</si>
  <si>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</si>
  <si>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</si>
  <si>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</si>
  <si>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</si>
  <si>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</si>
  <si>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</si>
  <si>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</si>
  <si>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</si>
  <si>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</si>
  <si>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</si>
  <si>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</si>
  <si>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</si>
  <si>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</si>
  <si>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</si>
  <si>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</si>
  <si>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</si>
  <si>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</si>
  <si>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</si>
  <si>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</si>
  <si>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 xml:space="preserve">新規上場  </t>
  </si>
  <si>
    <t xml:space="preserve">New Listing  </t>
  </si>
  <si>
    <t xml:space="preserve">2025/03/21  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</si>
  <si>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</si>
  <si>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</si>
  <si>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</si>
  <si>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</si>
  <si>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</si>
  <si>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</si>
  <si>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</si>
  <si>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</si>
  <si>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</si>
  <si>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</si>
  <si>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</si>
  <si>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</si>
  <si>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</si>
  <si>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</si>
  <si>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</si>
  <si>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 xml:space="preserve">2025/03/27  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</si>
  <si>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</si>
  <si>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</si>
  <si>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</si>
  <si>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</si>
  <si>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</si>
  <si>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</si>
  <si>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</si>
  <si>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</si>
  <si>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</si>
  <si>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</si>
  <si>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</si>
  <si>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</si>
  <si>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</si>
  <si>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</si>
  <si>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</si>
  <si>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</si>
  <si>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</si>
  <si>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</si>
  <si>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</si>
  <si>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</si>
  <si>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</si>
  <si>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</si>
  <si>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</si>
  <si>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</si>
  <si>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</si>
  <si>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</si>
  <si>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</si>
  <si>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</si>
  <si>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</si>
  <si>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</si>
  <si>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 xml:space="preserve">2025/03/28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</si>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</sst>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1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2887.5</f>
        <v>2887.5</v>
      </c>
      <c r="L7" s="34" t="s">
        <v>48</v>
      </c>
      <c r="M7" s="33" t="n">
        <f>2995</f>
        <v>2995.0</v>
      </c>
      <c r="N7" s="34" t="s">
        <v>49</v>
      </c>
      <c r="O7" s="33" t="n">
        <f>2780</f>
        <v>2780.0</v>
      </c>
      <c r="P7" s="34" t="s">
        <v>50</v>
      </c>
      <c r="Q7" s="33" t="n">
        <f>2857</f>
        <v>2857.0</v>
      </c>
      <c r="R7" s="34" t="s">
        <v>51</v>
      </c>
      <c r="S7" s="35" t="n">
        <f>2914.45</f>
        <v>2914.45</v>
      </c>
      <c r="T7" s="32" t="n">
        <f>12947350</f>
        <v>1.294735E7</v>
      </c>
      <c r="U7" s="32" t="n">
        <f>10685920</f>
        <v>1.068592E7</v>
      </c>
      <c r="V7" s="32" t="n">
        <f>37811976057</f>
        <v>3.7811976057E10</v>
      </c>
      <c r="W7" s="32" t="n">
        <f>31269726962</f>
        <v>3.1269726962E10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2850.5</f>
        <v>2850.5</v>
      </c>
      <c r="L8" s="34" t="s">
        <v>48</v>
      </c>
      <c r="M8" s="33" t="n">
        <f>2964</f>
        <v>2964.0</v>
      </c>
      <c r="N8" s="34" t="s">
        <v>49</v>
      </c>
      <c r="O8" s="33" t="n">
        <f>2751.5</f>
        <v>2751.5</v>
      </c>
      <c r="P8" s="34" t="s">
        <v>50</v>
      </c>
      <c r="Q8" s="33" t="n">
        <f>2824</f>
        <v>2824.0</v>
      </c>
      <c r="R8" s="34" t="s">
        <v>51</v>
      </c>
      <c r="S8" s="35" t="n">
        <f>2884.35</f>
        <v>2884.35</v>
      </c>
      <c r="T8" s="32" t="n">
        <f>51928630</f>
        <v>5.192863E7</v>
      </c>
      <c r="U8" s="32" t="n">
        <f>13958770</f>
        <v>1.395877E7</v>
      </c>
      <c r="V8" s="32" t="n">
        <f>150079453711</f>
        <v>1.50079453711E11</v>
      </c>
      <c r="W8" s="32" t="n">
        <f>40571769001</f>
        <v>4.0571769001E10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2817</f>
        <v>2817.0</v>
      </c>
      <c r="L9" s="34" t="s">
        <v>48</v>
      </c>
      <c r="M9" s="33" t="n">
        <f>2928</f>
        <v>2928.0</v>
      </c>
      <c r="N9" s="34" t="s">
        <v>49</v>
      </c>
      <c r="O9" s="33" t="n">
        <f>2719</f>
        <v>2719.0</v>
      </c>
      <c r="P9" s="34" t="s">
        <v>50</v>
      </c>
      <c r="Q9" s="33" t="n">
        <f>2786</f>
        <v>2786.0</v>
      </c>
      <c r="R9" s="34" t="s">
        <v>51</v>
      </c>
      <c r="S9" s="35" t="n">
        <f>2849.1</f>
        <v>2849.1</v>
      </c>
      <c r="T9" s="32" t="n">
        <f>17178053</f>
        <v>1.7178053E7</v>
      </c>
      <c r="U9" s="32" t="n">
        <f>9498644</f>
        <v>9498644.0</v>
      </c>
      <c r="V9" s="32" t="n">
        <f>49032009583</f>
        <v>4.9032009583E10</v>
      </c>
      <c r="W9" s="32" t="n">
        <f>27378052572</f>
        <v>2.7378052572E10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43840</f>
        <v>43840.0</v>
      </c>
      <c r="L10" s="34" t="s">
        <v>48</v>
      </c>
      <c r="M10" s="33" t="n">
        <f>45740</f>
        <v>45740.0</v>
      </c>
      <c r="N10" s="34" t="s">
        <v>61</v>
      </c>
      <c r="O10" s="33" t="n">
        <f>42400</f>
        <v>42400.0</v>
      </c>
      <c r="P10" s="34" t="s">
        <v>62</v>
      </c>
      <c r="Q10" s="33" t="n">
        <f>43300</f>
        <v>43300.0</v>
      </c>
      <c r="R10" s="34" t="s">
        <v>51</v>
      </c>
      <c r="S10" s="35" t="n">
        <f>43877</f>
        <v>43877.0</v>
      </c>
      <c r="T10" s="32" t="n">
        <f>5217</f>
        <v>5217.0</v>
      </c>
      <c r="U10" s="32" t="str">
        <f>"－"</f>
        <v>－</v>
      </c>
      <c r="V10" s="32" t="n">
        <f>228826320</f>
        <v>2.2882632E8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1421</f>
        <v>1421.0</v>
      </c>
      <c r="L11" s="34" t="s">
        <v>48</v>
      </c>
      <c r="M11" s="33" t="n">
        <f>1493</f>
        <v>1493.0</v>
      </c>
      <c r="N11" s="34" t="s">
        <v>66</v>
      </c>
      <c r="O11" s="33" t="n">
        <f>1364</f>
        <v>1364.0</v>
      </c>
      <c r="P11" s="34" t="s">
        <v>50</v>
      </c>
      <c r="Q11" s="33" t="n">
        <f>1410</f>
        <v>1410.0</v>
      </c>
      <c r="R11" s="34" t="s">
        <v>51</v>
      </c>
      <c r="S11" s="35" t="n">
        <f>1442.5</f>
        <v>1442.5</v>
      </c>
      <c r="T11" s="32" t="n">
        <f>271320</f>
        <v>271320.0</v>
      </c>
      <c r="U11" s="32" t="n">
        <f>36250</f>
        <v>36250.0</v>
      </c>
      <c r="V11" s="32" t="n">
        <f>386624025</f>
        <v>3.86624025E8</v>
      </c>
      <c r="W11" s="32" t="n">
        <f>51105090</f>
        <v>5.110509E7</v>
      </c>
      <c r="X11" s="36" t="n">
        <f>20</f>
        <v>20.0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530</f>
        <v>530.0</v>
      </c>
      <c r="L12" s="34" t="s">
        <v>62</v>
      </c>
      <c r="M12" s="33" t="n">
        <f>543</f>
        <v>543.0</v>
      </c>
      <c r="N12" s="34" t="s">
        <v>70</v>
      </c>
      <c r="O12" s="33" t="n">
        <f>517.7</f>
        <v>517.7</v>
      </c>
      <c r="P12" s="34" t="s">
        <v>71</v>
      </c>
      <c r="Q12" s="33" t="n">
        <f>530.8</f>
        <v>530.8</v>
      </c>
      <c r="R12" s="34" t="s">
        <v>72</v>
      </c>
      <c r="S12" s="35" t="n">
        <f>529.15</f>
        <v>529.15</v>
      </c>
      <c r="T12" s="32" t="n">
        <f>218000</f>
        <v>218000.0</v>
      </c>
      <c r="U12" s="32" t="n">
        <f>1000</f>
        <v>1000.0</v>
      </c>
      <c r="V12" s="32" t="n">
        <f>113925600</f>
        <v>1.139256E8</v>
      </c>
      <c r="W12" s="32" t="n">
        <f>533000</f>
        <v>533000.0</v>
      </c>
      <c r="X12" s="36" t="n">
        <f>11</f>
        <v>11.0</v>
      </c>
    </row>
    <row r="13">
      <c r="A13" s="27" t="s">
        <v>42</v>
      </c>
      <c r="B13" s="27" t="s">
        <v>73</v>
      </c>
      <c r="C13" s="27" t="s">
        <v>74</v>
      </c>
      <c r="D13" s="27" t="s">
        <v>75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39030</f>
        <v>39030.0</v>
      </c>
      <c r="L13" s="34" t="s">
        <v>48</v>
      </c>
      <c r="M13" s="33" t="n">
        <f>39560</f>
        <v>39560.0</v>
      </c>
      <c r="N13" s="34" t="s">
        <v>49</v>
      </c>
      <c r="O13" s="33" t="n">
        <f>37130</f>
        <v>37130.0</v>
      </c>
      <c r="P13" s="34" t="s">
        <v>51</v>
      </c>
      <c r="Q13" s="33" t="n">
        <f>37210</f>
        <v>37210.0</v>
      </c>
      <c r="R13" s="34" t="s">
        <v>51</v>
      </c>
      <c r="S13" s="35" t="n">
        <f>38671</f>
        <v>38671.0</v>
      </c>
      <c r="T13" s="32" t="n">
        <f>1498143</f>
        <v>1498143.0</v>
      </c>
      <c r="U13" s="32" t="n">
        <f>767885</f>
        <v>767885.0</v>
      </c>
      <c r="V13" s="32" t="n">
        <f>57813243792</f>
        <v>5.7813243792E10</v>
      </c>
      <c r="W13" s="32" t="n">
        <f>29802252102</f>
        <v>2.9802252102E10</v>
      </c>
      <c r="X13" s="36" t="n">
        <f>20</f>
        <v>20.0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39170</f>
        <v>39170.0</v>
      </c>
      <c r="L14" s="34" t="s">
        <v>48</v>
      </c>
      <c r="M14" s="33" t="n">
        <f>39700</f>
        <v>39700.0</v>
      </c>
      <c r="N14" s="34" t="s">
        <v>49</v>
      </c>
      <c r="O14" s="33" t="n">
        <f>37240</f>
        <v>37240.0</v>
      </c>
      <c r="P14" s="34" t="s">
        <v>51</v>
      </c>
      <c r="Q14" s="33" t="n">
        <f>37360</f>
        <v>37360.0</v>
      </c>
      <c r="R14" s="34" t="s">
        <v>51</v>
      </c>
      <c r="S14" s="35" t="n">
        <f>38809</f>
        <v>38809.0</v>
      </c>
      <c r="T14" s="32" t="n">
        <f>8026878</f>
        <v>8026878.0</v>
      </c>
      <c r="U14" s="32" t="n">
        <f>855500</f>
        <v>855500.0</v>
      </c>
      <c r="V14" s="32" t="n">
        <f>309912420092</f>
        <v>3.09912420092E11</v>
      </c>
      <c r="W14" s="32" t="n">
        <f>33278389792</f>
        <v>3.3278389792E10</v>
      </c>
      <c r="X14" s="36" t="n">
        <f>20</f>
        <v>20.0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8530</f>
        <v>8530.0</v>
      </c>
      <c r="L15" s="34" t="s">
        <v>48</v>
      </c>
      <c r="M15" s="33" t="n">
        <f>8834</f>
        <v>8834.0</v>
      </c>
      <c r="N15" s="34" t="s">
        <v>70</v>
      </c>
      <c r="O15" s="33" t="n">
        <f>8255</f>
        <v>8255.0</v>
      </c>
      <c r="P15" s="34" t="s">
        <v>50</v>
      </c>
      <c r="Q15" s="33" t="n">
        <f>8340</f>
        <v>8340.0</v>
      </c>
      <c r="R15" s="34" t="s">
        <v>51</v>
      </c>
      <c r="S15" s="35" t="n">
        <f>8537.85</f>
        <v>8537.85</v>
      </c>
      <c r="T15" s="32" t="n">
        <f>25020</f>
        <v>25020.0</v>
      </c>
      <c r="U15" s="32" t="str">
        <f>"－"</f>
        <v>－</v>
      </c>
      <c r="V15" s="32" t="n">
        <f>213011630</f>
        <v>2.1301163E8</v>
      </c>
      <c r="W15" s="32" t="str">
        <f>"－"</f>
        <v>－</v>
      </c>
      <c r="X15" s="36" t="n">
        <f>20</f>
        <v>20.0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190.2</f>
        <v>190.2</v>
      </c>
      <c r="L16" s="34" t="s">
        <v>48</v>
      </c>
      <c r="M16" s="33" t="n">
        <f>209.7</f>
        <v>209.7</v>
      </c>
      <c r="N16" s="34" t="s">
        <v>85</v>
      </c>
      <c r="O16" s="33" t="n">
        <f>185</f>
        <v>185.0</v>
      </c>
      <c r="P16" s="34" t="s">
        <v>50</v>
      </c>
      <c r="Q16" s="33" t="n">
        <f>200</f>
        <v>200.0</v>
      </c>
      <c r="R16" s="34" t="s">
        <v>51</v>
      </c>
      <c r="S16" s="35" t="n">
        <f>197.29</f>
        <v>197.29</v>
      </c>
      <c r="T16" s="32" t="n">
        <f>522800</f>
        <v>522800.0</v>
      </c>
      <c r="U16" s="32" t="n">
        <f>3400</f>
        <v>3400.0</v>
      </c>
      <c r="V16" s="32" t="n">
        <f>103728120</f>
        <v>1.0372812E8</v>
      </c>
      <c r="W16" s="32" t="n">
        <f>699390</f>
        <v>699390.0</v>
      </c>
      <c r="X16" s="36" t="n">
        <f>20</f>
        <v>20.0</v>
      </c>
    </row>
    <row r="17">
      <c r="A17" s="27" t="s">
        <v>42</v>
      </c>
      <c r="B17" s="27" t="s">
        <v>86</v>
      </c>
      <c r="C17" s="27" t="s">
        <v>87</v>
      </c>
      <c r="D17" s="27" t="s">
        <v>88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39920</f>
        <v>39920.0</v>
      </c>
      <c r="L17" s="34" t="s">
        <v>48</v>
      </c>
      <c r="M17" s="33" t="n">
        <f>42950</f>
        <v>42950.0</v>
      </c>
      <c r="N17" s="34" t="s">
        <v>51</v>
      </c>
      <c r="O17" s="33" t="n">
        <f>38980</f>
        <v>38980.0</v>
      </c>
      <c r="P17" s="34" t="s">
        <v>50</v>
      </c>
      <c r="Q17" s="33" t="n">
        <f>42830</f>
        <v>42830.0</v>
      </c>
      <c r="R17" s="34" t="s">
        <v>51</v>
      </c>
      <c r="S17" s="35" t="n">
        <f>40948</f>
        <v>40948.0</v>
      </c>
      <c r="T17" s="32" t="n">
        <f>386141</f>
        <v>386141.0</v>
      </c>
      <c r="U17" s="32" t="n">
        <f>91</f>
        <v>91.0</v>
      </c>
      <c r="V17" s="32" t="n">
        <f>15936971675</f>
        <v>1.5936971675E10</v>
      </c>
      <c r="W17" s="32" t="n">
        <f>3625965</f>
        <v>3625965.0</v>
      </c>
      <c r="X17" s="36" t="n">
        <f>20</f>
        <v>20.0</v>
      </c>
    </row>
    <row r="18">
      <c r="A18" s="27" t="s">
        <v>42</v>
      </c>
      <c r="B18" s="27" t="s">
        <v>89</v>
      </c>
      <c r="C18" s="27" t="s">
        <v>90</v>
      </c>
      <c r="D18" s="27" t="s">
        <v>91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10440</f>
        <v>10440.0</v>
      </c>
      <c r="L18" s="34" t="s">
        <v>48</v>
      </c>
      <c r="M18" s="33" t="n">
        <f>11250</f>
        <v>11250.0</v>
      </c>
      <c r="N18" s="34" t="s">
        <v>85</v>
      </c>
      <c r="O18" s="33" t="n">
        <f>10190</f>
        <v>10190.0</v>
      </c>
      <c r="P18" s="34" t="s">
        <v>50</v>
      </c>
      <c r="Q18" s="33" t="n">
        <f>11240</f>
        <v>11240.0</v>
      </c>
      <c r="R18" s="34" t="s">
        <v>51</v>
      </c>
      <c r="S18" s="35" t="n">
        <f>10735</f>
        <v>10735.0</v>
      </c>
      <c r="T18" s="32" t="n">
        <f>485510</f>
        <v>485510.0</v>
      </c>
      <c r="U18" s="32" t="n">
        <f>360</f>
        <v>360.0</v>
      </c>
      <c r="V18" s="32" t="n">
        <f>5241512200</f>
        <v>5.2415122E9</v>
      </c>
      <c r="W18" s="32" t="n">
        <f>3891100</f>
        <v>3891100.0</v>
      </c>
      <c r="X18" s="36" t="n">
        <f>20</f>
        <v>20.0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38940</f>
        <v>38940.0</v>
      </c>
      <c r="L19" s="34" t="s">
        <v>48</v>
      </c>
      <c r="M19" s="33" t="n">
        <f>39460</f>
        <v>39460.0</v>
      </c>
      <c r="N19" s="34" t="s">
        <v>49</v>
      </c>
      <c r="O19" s="33" t="n">
        <f>37010</f>
        <v>37010.0</v>
      </c>
      <c r="P19" s="34" t="s">
        <v>51</v>
      </c>
      <c r="Q19" s="33" t="n">
        <f>37150</f>
        <v>37150.0</v>
      </c>
      <c r="R19" s="34" t="s">
        <v>51</v>
      </c>
      <c r="S19" s="35" t="n">
        <f>38573.5</f>
        <v>38573.5</v>
      </c>
      <c r="T19" s="32" t="n">
        <f>1937526</f>
        <v>1937526.0</v>
      </c>
      <c r="U19" s="32" t="n">
        <f>965065</f>
        <v>965065.0</v>
      </c>
      <c r="V19" s="32" t="n">
        <f>74106680493</f>
        <v>7.4106680493E10</v>
      </c>
      <c r="W19" s="32" t="n">
        <f>36983031723</f>
        <v>3.6983031723E10</v>
      </c>
      <c r="X19" s="36" t="n">
        <f>20</f>
        <v>20.0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39200</f>
        <v>39200.0</v>
      </c>
      <c r="L20" s="34" t="s">
        <v>48</v>
      </c>
      <c r="M20" s="33" t="n">
        <f>39740</f>
        <v>39740.0</v>
      </c>
      <c r="N20" s="34" t="s">
        <v>49</v>
      </c>
      <c r="O20" s="33" t="n">
        <f>37280</f>
        <v>37280.0</v>
      </c>
      <c r="P20" s="34" t="s">
        <v>51</v>
      </c>
      <c r="Q20" s="33" t="n">
        <f>37350</f>
        <v>37350.0</v>
      </c>
      <c r="R20" s="34" t="s">
        <v>51</v>
      </c>
      <c r="S20" s="35" t="n">
        <f>38858</f>
        <v>38858.0</v>
      </c>
      <c r="T20" s="32" t="n">
        <f>2275224</f>
        <v>2275224.0</v>
      </c>
      <c r="U20" s="32" t="n">
        <f>1148353</f>
        <v>1148353.0</v>
      </c>
      <c r="V20" s="32" t="n">
        <f>88243507904</f>
        <v>8.8243507904E10</v>
      </c>
      <c r="W20" s="32" t="n">
        <f>44668052374</f>
        <v>4.4668052374E10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1029</f>
        <v>1029.0</v>
      </c>
      <c r="L21" s="34" t="s">
        <v>48</v>
      </c>
      <c r="M21" s="33" t="n">
        <f>1030</f>
        <v>1030.0</v>
      </c>
      <c r="N21" s="34" t="s">
        <v>49</v>
      </c>
      <c r="O21" s="33" t="n">
        <f>996</f>
        <v>996.0</v>
      </c>
      <c r="P21" s="34" t="s">
        <v>50</v>
      </c>
      <c r="Q21" s="33" t="n">
        <f>1009</f>
        <v>1009.0</v>
      </c>
      <c r="R21" s="34" t="s">
        <v>51</v>
      </c>
      <c r="S21" s="35" t="n">
        <f>1014.15</f>
        <v>1014.15</v>
      </c>
      <c r="T21" s="32" t="n">
        <f>2887907</f>
        <v>2887907.0</v>
      </c>
      <c r="U21" s="32" t="n">
        <f>1939577</f>
        <v>1939577.0</v>
      </c>
      <c r="V21" s="32" t="n">
        <f>2934347051</f>
        <v>2.934347051E9</v>
      </c>
      <c r="W21" s="32" t="n">
        <f>1970958380</f>
        <v>1.97095838E9</v>
      </c>
      <c r="X21" s="36" t="n">
        <f>20</f>
        <v>20.0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1833.5</f>
        <v>1833.5</v>
      </c>
      <c r="L22" s="34" t="s">
        <v>48</v>
      </c>
      <c r="M22" s="33" t="n">
        <f>1870.5</f>
        <v>1870.5</v>
      </c>
      <c r="N22" s="34" t="s">
        <v>72</v>
      </c>
      <c r="O22" s="33" t="n">
        <f>1769.5</f>
        <v>1769.5</v>
      </c>
      <c r="P22" s="34" t="s">
        <v>50</v>
      </c>
      <c r="Q22" s="33" t="n">
        <f>1831</f>
        <v>1831.0</v>
      </c>
      <c r="R22" s="34" t="s">
        <v>51</v>
      </c>
      <c r="S22" s="35" t="n">
        <f>1823.75</f>
        <v>1823.75</v>
      </c>
      <c r="T22" s="32" t="n">
        <f>15563310</f>
        <v>1.556331E7</v>
      </c>
      <c r="U22" s="32" t="n">
        <f>5679360</f>
        <v>5679360.0</v>
      </c>
      <c r="V22" s="32" t="n">
        <f>28396699578</f>
        <v>2.8396699578E10</v>
      </c>
      <c r="W22" s="32" t="n">
        <f>10400230113</f>
        <v>1.0400230113E10</v>
      </c>
      <c r="X22" s="36" t="n">
        <f>20</f>
        <v>20.0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1731.5</f>
        <v>1731.5</v>
      </c>
      <c r="L23" s="34" t="s">
        <v>48</v>
      </c>
      <c r="M23" s="33" t="n">
        <f>1751.5</f>
        <v>1751.5</v>
      </c>
      <c r="N23" s="34" t="s">
        <v>72</v>
      </c>
      <c r="O23" s="33" t="n">
        <f>1657</f>
        <v>1657.0</v>
      </c>
      <c r="P23" s="34" t="s">
        <v>50</v>
      </c>
      <c r="Q23" s="33" t="n">
        <f>1715</f>
        <v>1715.0</v>
      </c>
      <c r="R23" s="34" t="s">
        <v>51</v>
      </c>
      <c r="S23" s="35" t="n">
        <f>1708.9</f>
        <v>1708.9</v>
      </c>
      <c r="T23" s="32" t="n">
        <f>2661700</f>
        <v>2661700.0</v>
      </c>
      <c r="U23" s="32" t="n">
        <f>1867000</f>
        <v>1867000.0</v>
      </c>
      <c r="V23" s="32" t="n">
        <f>4575303882</f>
        <v>4.575303882E9</v>
      </c>
      <c r="W23" s="32" t="n">
        <f>3215099132</f>
        <v>3.215099132E9</v>
      </c>
      <c r="X23" s="36" t="n">
        <f>20</f>
        <v>20.0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38930</f>
        <v>38930.0</v>
      </c>
      <c r="L24" s="34" t="s">
        <v>48</v>
      </c>
      <c r="M24" s="33" t="n">
        <f>39430</f>
        <v>39430.0</v>
      </c>
      <c r="N24" s="34" t="s">
        <v>49</v>
      </c>
      <c r="O24" s="33" t="n">
        <f>36980</f>
        <v>36980.0</v>
      </c>
      <c r="P24" s="34" t="s">
        <v>51</v>
      </c>
      <c r="Q24" s="33" t="n">
        <f>37120</f>
        <v>37120.0</v>
      </c>
      <c r="R24" s="34" t="s">
        <v>51</v>
      </c>
      <c r="S24" s="35" t="n">
        <f>38540</f>
        <v>38540.0</v>
      </c>
      <c r="T24" s="32" t="n">
        <f>993752</f>
        <v>993752.0</v>
      </c>
      <c r="U24" s="32" t="n">
        <f>605946</f>
        <v>605946.0</v>
      </c>
      <c r="V24" s="32" t="n">
        <f>38335073387</f>
        <v>3.8335073387E10</v>
      </c>
      <c r="W24" s="32" t="n">
        <f>23498214857</f>
        <v>2.3498214857E10</v>
      </c>
      <c r="X24" s="36" t="n">
        <f>20</f>
        <v>20.0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2811</f>
        <v>2811.0</v>
      </c>
      <c r="L25" s="34" t="s">
        <v>48</v>
      </c>
      <c r="M25" s="33" t="n">
        <f>2921</f>
        <v>2921.0</v>
      </c>
      <c r="N25" s="34" t="s">
        <v>49</v>
      </c>
      <c r="O25" s="33" t="n">
        <f>2713</f>
        <v>2713.0</v>
      </c>
      <c r="P25" s="34" t="s">
        <v>50</v>
      </c>
      <c r="Q25" s="33" t="n">
        <f>2776</f>
        <v>2776.0</v>
      </c>
      <c r="R25" s="34" t="s">
        <v>51</v>
      </c>
      <c r="S25" s="35" t="n">
        <f>2844.55</f>
        <v>2844.55</v>
      </c>
      <c r="T25" s="32" t="n">
        <f>3569590</f>
        <v>3569590.0</v>
      </c>
      <c r="U25" s="32" t="n">
        <f>2636740</f>
        <v>2636740.0</v>
      </c>
      <c r="V25" s="32" t="n">
        <f>10177913108</f>
        <v>1.0177913108E10</v>
      </c>
      <c r="W25" s="32" t="n">
        <f>7539643438</f>
        <v>7.539643438E9</v>
      </c>
      <c r="X25" s="36" t="n">
        <f>20</f>
        <v>20.0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16240</f>
        <v>16240.0</v>
      </c>
      <c r="L26" s="34" t="s">
        <v>48</v>
      </c>
      <c r="M26" s="33" t="n">
        <f>16430</f>
        <v>16430.0</v>
      </c>
      <c r="N26" s="34" t="s">
        <v>85</v>
      </c>
      <c r="O26" s="33" t="n">
        <f>16010</f>
        <v>16010.0</v>
      </c>
      <c r="P26" s="34" t="s">
        <v>50</v>
      </c>
      <c r="Q26" s="33" t="n">
        <f>16185</f>
        <v>16185.0</v>
      </c>
      <c r="R26" s="34" t="s">
        <v>51</v>
      </c>
      <c r="S26" s="35" t="n">
        <f>16255.53</f>
        <v>16255.53</v>
      </c>
      <c r="T26" s="32" t="n">
        <f>818</f>
        <v>818.0</v>
      </c>
      <c r="U26" s="32" t="str">
        <f>"－"</f>
        <v>－</v>
      </c>
      <c r="V26" s="32" t="n">
        <f>13265380</f>
        <v>1.326538E7</v>
      </c>
      <c r="W26" s="32" t="str">
        <f>"－"</f>
        <v>－</v>
      </c>
      <c r="X26" s="36" t="n">
        <f>19</f>
        <v>19.0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321.3</f>
        <v>321.3</v>
      </c>
      <c r="L27" s="34" t="s">
        <v>48</v>
      </c>
      <c r="M27" s="33" t="n">
        <f>343.6</f>
        <v>343.6</v>
      </c>
      <c r="N27" s="34" t="s">
        <v>50</v>
      </c>
      <c r="O27" s="33" t="n">
        <f>295.8</f>
        <v>295.8</v>
      </c>
      <c r="P27" s="34" t="s">
        <v>49</v>
      </c>
      <c r="Q27" s="33" t="n">
        <f>325.4</f>
        <v>325.4</v>
      </c>
      <c r="R27" s="34" t="s">
        <v>51</v>
      </c>
      <c r="S27" s="35" t="n">
        <f>313.37</f>
        <v>313.37</v>
      </c>
      <c r="T27" s="32" t="n">
        <f>34103880</f>
        <v>3.410388E7</v>
      </c>
      <c r="U27" s="32" t="n">
        <f>63000</f>
        <v>63000.0</v>
      </c>
      <c r="V27" s="32" t="n">
        <f>10659335444</f>
        <v>1.0659335444E10</v>
      </c>
      <c r="W27" s="32" t="n">
        <f>20306310</f>
        <v>2.030631E7</v>
      </c>
      <c r="X27" s="36" t="n">
        <f>20</f>
        <v>20.0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12635</f>
        <v>12635.0</v>
      </c>
      <c r="L28" s="34" t="s">
        <v>48</v>
      </c>
      <c r="M28" s="33" t="n">
        <f>13835</f>
        <v>13835.0</v>
      </c>
      <c r="N28" s="34" t="s">
        <v>51</v>
      </c>
      <c r="O28" s="33" t="n">
        <f>12210</f>
        <v>12210.0</v>
      </c>
      <c r="P28" s="34" t="s">
        <v>49</v>
      </c>
      <c r="Q28" s="33" t="n">
        <f>13740</f>
        <v>13740.0</v>
      </c>
      <c r="R28" s="34" t="s">
        <v>51</v>
      </c>
      <c r="S28" s="35" t="n">
        <f>12814.5</f>
        <v>12814.5</v>
      </c>
      <c r="T28" s="32" t="n">
        <f>26137426</f>
        <v>2.6137426E7</v>
      </c>
      <c r="U28" s="32" t="n">
        <f>760283</f>
        <v>760283.0</v>
      </c>
      <c r="V28" s="32" t="n">
        <f>337032347565</f>
        <v>3.37032347565E11</v>
      </c>
      <c r="W28" s="32" t="n">
        <f>9820044735</f>
        <v>9.820044735E9</v>
      </c>
      <c r="X28" s="36" t="n">
        <f>20</f>
        <v>20.0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47000</f>
        <v>47000.0</v>
      </c>
      <c r="L29" s="34" t="s">
        <v>48</v>
      </c>
      <c r="M29" s="33" t="n">
        <f>48300</f>
        <v>48300.0</v>
      </c>
      <c r="N29" s="34" t="s">
        <v>49</v>
      </c>
      <c r="O29" s="33" t="n">
        <f>42370</f>
        <v>42370.0</v>
      </c>
      <c r="P29" s="34" t="s">
        <v>51</v>
      </c>
      <c r="Q29" s="33" t="n">
        <f>42620</f>
        <v>42620.0</v>
      </c>
      <c r="R29" s="34" t="s">
        <v>51</v>
      </c>
      <c r="S29" s="35" t="n">
        <f>46126</f>
        <v>46126.0</v>
      </c>
      <c r="T29" s="32" t="n">
        <f>402595</f>
        <v>402595.0</v>
      </c>
      <c r="U29" s="32" t="n">
        <f>5</f>
        <v>5.0</v>
      </c>
      <c r="V29" s="32" t="n">
        <f>18379148150</f>
        <v>1.837914815E10</v>
      </c>
      <c r="W29" s="32" t="n">
        <f>224200</f>
        <v>224200.0</v>
      </c>
      <c r="X29" s="36" t="n">
        <f>20</f>
        <v>20.0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310.6</f>
        <v>310.6</v>
      </c>
      <c r="L30" s="34" t="s">
        <v>48</v>
      </c>
      <c r="M30" s="33" t="n">
        <f>340.1</f>
        <v>340.1</v>
      </c>
      <c r="N30" s="34" t="s">
        <v>51</v>
      </c>
      <c r="O30" s="33" t="n">
        <f>300.2</f>
        <v>300.2</v>
      </c>
      <c r="P30" s="34" t="s">
        <v>49</v>
      </c>
      <c r="Q30" s="33" t="n">
        <f>337.9</f>
        <v>337.9</v>
      </c>
      <c r="R30" s="34" t="s">
        <v>51</v>
      </c>
      <c r="S30" s="35" t="n">
        <f>315.01</f>
        <v>315.01</v>
      </c>
      <c r="T30" s="32" t="n">
        <f>846006260</f>
        <v>8.4600626E8</v>
      </c>
      <c r="U30" s="32" t="n">
        <f>6363710</f>
        <v>6363710.0</v>
      </c>
      <c r="V30" s="32" t="n">
        <f>267295720130</f>
        <v>2.6729572013E11</v>
      </c>
      <c r="W30" s="32" t="n">
        <f>2019946760</f>
        <v>2.01994676E9</v>
      </c>
      <c r="X30" s="36" t="n">
        <f>20</f>
        <v>20.0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25260</f>
        <v>25260.0</v>
      </c>
      <c r="L31" s="34" t="s">
        <v>48</v>
      </c>
      <c r="M31" s="33" t="n">
        <f>26000</f>
        <v>26000.0</v>
      </c>
      <c r="N31" s="34" t="s">
        <v>49</v>
      </c>
      <c r="O31" s="33" t="n">
        <f>24195</f>
        <v>24195.0</v>
      </c>
      <c r="P31" s="34" t="s">
        <v>50</v>
      </c>
      <c r="Q31" s="33" t="n">
        <f>24895</f>
        <v>24895.0</v>
      </c>
      <c r="R31" s="34" t="s">
        <v>51</v>
      </c>
      <c r="S31" s="35" t="n">
        <f>25339</f>
        <v>25339.0</v>
      </c>
      <c r="T31" s="32" t="n">
        <f>88689</f>
        <v>88689.0</v>
      </c>
      <c r="U31" s="32" t="n">
        <f>2002</f>
        <v>2002.0</v>
      </c>
      <c r="V31" s="32" t="n">
        <f>2271537966</f>
        <v>2.271537966E9</v>
      </c>
      <c r="W31" s="32" t="n">
        <f>49626776</f>
        <v>4.9626776E7</v>
      </c>
      <c r="X31" s="36" t="n">
        <f>20</f>
        <v>20.0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38370</f>
        <v>38370.0</v>
      </c>
      <c r="L32" s="34" t="s">
        <v>48</v>
      </c>
      <c r="M32" s="33" t="n">
        <f>39400</f>
        <v>39400.0</v>
      </c>
      <c r="N32" s="34" t="s">
        <v>49</v>
      </c>
      <c r="O32" s="33" t="n">
        <f>34550</f>
        <v>34550.0</v>
      </c>
      <c r="P32" s="34" t="s">
        <v>51</v>
      </c>
      <c r="Q32" s="33" t="n">
        <f>34700</f>
        <v>34700.0</v>
      </c>
      <c r="R32" s="34" t="s">
        <v>51</v>
      </c>
      <c r="S32" s="35" t="n">
        <f>37645</f>
        <v>37645.0</v>
      </c>
      <c r="T32" s="32" t="n">
        <f>1108918</f>
        <v>1108918.0</v>
      </c>
      <c r="U32" s="32" t="n">
        <f>26094</f>
        <v>26094.0</v>
      </c>
      <c r="V32" s="32" t="n">
        <f>41450439336</f>
        <v>4.1450439336E10</v>
      </c>
      <c r="W32" s="32" t="n">
        <f>975542356</f>
        <v>9.75542356E8</v>
      </c>
      <c r="X32" s="36" t="n">
        <f>20</f>
        <v>20.0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318</f>
        <v>318.0</v>
      </c>
      <c r="L33" s="34" t="s">
        <v>48</v>
      </c>
      <c r="M33" s="33" t="n">
        <f>348</f>
        <v>348.0</v>
      </c>
      <c r="N33" s="34" t="s">
        <v>51</v>
      </c>
      <c r="O33" s="33" t="n">
        <f>306</f>
        <v>306.0</v>
      </c>
      <c r="P33" s="34" t="s">
        <v>49</v>
      </c>
      <c r="Q33" s="33" t="n">
        <f>345</f>
        <v>345.0</v>
      </c>
      <c r="R33" s="34" t="s">
        <v>51</v>
      </c>
      <c r="S33" s="35" t="n">
        <f>321.9</f>
        <v>321.9</v>
      </c>
      <c r="T33" s="32" t="n">
        <f>31699685</f>
        <v>3.1699685E7</v>
      </c>
      <c r="U33" s="32" t="n">
        <f>800243</f>
        <v>800243.0</v>
      </c>
      <c r="V33" s="32" t="n">
        <f>10281673950</f>
        <v>1.028167395E10</v>
      </c>
      <c r="W33" s="32" t="n">
        <f>259291084</f>
        <v>2.59291084E8</v>
      </c>
      <c r="X33" s="36" t="n">
        <f>20</f>
        <v>20.0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35400</f>
        <v>35400.0</v>
      </c>
      <c r="L34" s="34" t="s">
        <v>48</v>
      </c>
      <c r="M34" s="33" t="n">
        <f>38140</f>
        <v>38140.0</v>
      </c>
      <c r="N34" s="34" t="s">
        <v>49</v>
      </c>
      <c r="O34" s="33" t="n">
        <f>32820</f>
        <v>32820.0</v>
      </c>
      <c r="P34" s="34" t="s">
        <v>50</v>
      </c>
      <c r="Q34" s="33" t="n">
        <f>34740</f>
        <v>34740.0</v>
      </c>
      <c r="R34" s="34" t="s">
        <v>51</v>
      </c>
      <c r="S34" s="35" t="n">
        <f>36152</f>
        <v>36152.0</v>
      </c>
      <c r="T34" s="32" t="n">
        <f>136230</f>
        <v>136230.0</v>
      </c>
      <c r="U34" s="32" t="n">
        <f>6956</f>
        <v>6956.0</v>
      </c>
      <c r="V34" s="32" t="n">
        <f>4898497783</f>
        <v>4.898497783E9</v>
      </c>
      <c r="W34" s="32" t="n">
        <f>252863423</f>
        <v>2.52863423E8</v>
      </c>
      <c r="X34" s="36" t="n">
        <f>20</f>
        <v>20.0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461</f>
        <v>461.0</v>
      </c>
      <c r="L35" s="34" t="s">
        <v>48</v>
      </c>
      <c r="M35" s="33" t="n">
        <f>496</f>
        <v>496.0</v>
      </c>
      <c r="N35" s="34" t="s">
        <v>50</v>
      </c>
      <c r="O35" s="33" t="n">
        <f>426</f>
        <v>426.0</v>
      </c>
      <c r="P35" s="34" t="s">
        <v>49</v>
      </c>
      <c r="Q35" s="33" t="n">
        <f>470</f>
        <v>470.0</v>
      </c>
      <c r="R35" s="34" t="s">
        <v>51</v>
      </c>
      <c r="S35" s="35" t="n">
        <f>451.3</f>
        <v>451.3</v>
      </c>
      <c r="T35" s="32" t="n">
        <f>2279927</f>
        <v>2279927.0</v>
      </c>
      <c r="U35" s="32" t="n">
        <f>6519</f>
        <v>6519.0</v>
      </c>
      <c r="V35" s="32" t="n">
        <f>1031113422</f>
        <v>1.031113422E9</v>
      </c>
      <c r="W35" s="32" t="n">
        <f>2863095</f>
        <v>2863095.0</v>
      </c>
      <c r="X35" s="36" t="n">
        <f>20</f>
        <v>20.0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37850</f>
        <v>37850.0</v>
      </c>
      <c r="L36" s="34" t="s">
        <v>48</v>
      </c>
      <c r="M36" s="33" t="n">
        <f>38320</f>
        <v>38320.0</v>
      </c>
      <c r="N36" s="34" t="s">
        <v>49</v>
      </c>
      <c r="O36" s="33" t="n">
        <f>35950</f>
        <v>35950.0</v>
      </c>
      <c r="P36" s="34" t="s">
        <v>51</v>
      </c>
      <c r="Q36" s="33" t="n">
        <f>36300</f>
        <v>36300.0</v>
      </c>
      <c r="R36" s="34" t="s">
        <v>51</v>
      </c>
      <c r="S36" s="35" t="n">
        <f>37453</f>
        <v>37453.0</v>
      </c>
      <c r="T36" s="32" t="n">
        <f>315216</f>
        <v>315216.0</v>
      </c>
      <c r="U36" s="32" t="n">
        <f>115069</f>
        <v>115069.0</v>
      </c>
      <c r="V36" s="32" t="n">
        <f>11655894812</f>
        <v>1.1655894812E10</v>
      </c>
      <c r="W36" s="32" t="n">
        <f>4272646352</f>
        <v>4.272646352E9</v>
      </c>
      <c r="X36" s="36" t="n">
        <f>20</f>
        <v>20.0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38200</f>
        <v>38200.0</v>
      </c>
      <c r="L37" s="34" t="s">
        <v>48</v>
      </c>
      <c r="M37" s="33" t="n">
        <f>38660</f>
        <v>38660.0</v>
      </c>
      <c r="N37" s="34" t="s">
        <v>49</v>
      </c>
      <c r="O37" s="33" t="n">
        <f>36260</f>
        <v>36260.0</v>
      </c>
      <c r="P37" s="34" t="s">
        <v>51</v>
      </c>
      <c r="Q37" s="33" t="n">
        <f>36580</f>
        <v>36580.0</v>
      </c>
      <c r="R37" s="34" t="s">
        <v>51</v>
      </c>
      <c r="S37" s="35" t="n">
        <f>37836</f>
        <v>37836.0</v>
      </c>
      <c r="T37" s="32" t="n">
        <f>70752</f>
        <v>70752.0</v>
      </c>
      <c r="U37" s="32" t="n">
        <f>34455</f>
        <v>34455.0</v>
      </c>
      <c r="V37" s="32" t="n">
        <f>2645536648</f>
        <v>2.645536648E9</v>
      </c>
      <c r="W37" s="32" t="n">
        <f>1286631168</f>
        <v>1.286631168E9</v>
      </c>
      <c r="X37" s="36" t="n">
        <f>20</f>
        <v>20.0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1764</f>
        <v>1764.0</v>
      </c>
      <c r="L38" s="34" t="s">
        <v>48</v>
      </c>
      <c r="M38" s="33" t="n">
        <f>1772.5</f>
        <v>1772.5</v>
      </c>
      <c r="N38" s="34" t="s">
        <v>48</v>
      </c>
      <c r="O38" s="33" t="n">
        <f>1677</f>
        <v>1677.0</v>
      </c>
      <c r="P38" s="34" t="s">
        <v>50</v>
      </c>
      <c r="Q38" s="33" t="n">
        <f>1736.5</f>
        <v>1736.5</v>
      </c>
      <c r="R38" s="34" t="s">
        <v>51</v>
      </c>
      <c r="S38" s="35" t="n">
        <f>1729.65</f>
        <v>1729.65</v>
      </c>
      <c r="T38" s="32" t="n">
        <f>3850110</f>
        <v>3850110.0</v>
      </c>
      <c r="U38" s="32" t="n">
        <f>1677750</f>
        <v>1677750.0</v>
      </c>
      <c r="V38" s="32" t="n">
        <f>6634718023</f>
        <v>6.634718023E9</v>
      </c>
      <c r="W38" s="32" t="n">
        <f>2866962828</f>
        <v>2.866962828E9</v>
      </c>
      <c r="X38" s="36" t="n">
        <f>20</f>
        <v>20.0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2195</f>
        <v>2195.0</v>
      </c>
      <c r="L39" s="34" t="s">
        <v>48</v>
      </c>
      <c r="M39" s="33" t="n">
        <f>2302.5</f>
        <v>2302.5</v>
      </c>
      <c r="N39" s="34" t="s">
        <v>155</v>
      </c>
      <c r="O39" s="33" t="n">
        <f>2161.5</f>
        <v>2161.5</v>
      </c>
      <c r="P39" s="34" t="s">
        <v>62</v>
      </c>
      <c r="Q39" s="33" t="n">
        <f>2232.5</f>
        <v>2232.5</v>
      </c>
      <c r="R39" s="34" t="s">
        <v>51</v>
      </c>
      <c r="S39" s="35" t="n">
        <f>2252.82</f>
        <v>2252.82</v>
      </c>
      <c r="T39" s="32" t="n">
        <f>57440</f>
        <v>57440.0</v>
      </c>
      <c r="U39" s="32" t="n">
        <f>20370</f>
        <v>20370.0</v>
      </c>
      <c r="V39" s="32" t="n">
        <f>128771930</f>
        <v>1.2877193E8</v>
      </c>
      <c r="W39" s="32" t="n">
        <f>46734325</f>
        <v>4.6734325E7</v>
      </c>
      <c r="X39" s="36" t="n">
        <f>19</f>
        <v>19.0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1983</f>
        <v>1983.0</v>
      </c>
      <c r="L40" s="34" t="s">
        <v>48</v>
      </c>
      <c r="M40" s="33" t="n">
        <f>2015</f>
        <v>2015.0</v>
      </c>
      <c r="N40" s="34" t="s">
        <v>159</v>
      </c>
      <c r="O40" s="33" t="n">
        <f>1972</f>
        <v>1972.0</v>
      </c>
      <c r="P40" s="34" t="s">
        <v>62</v>
      </c>
      <c r="Q40" s="33" t="n">
        <f>1976</f>
        <v>1976.0</v>
      </c>
      <c r="R40" s="34" t="s">
        <v>51</v>
      </c>
      <c r="S40" s="35" t="n">
        <f>1989.3</f>
        <v>1989.3</v>
      </c>
      <c r="T40" s="32" t="n">
        <f>78577</f>
        <v>78577.0</v>
      </c>
      <c r="U40" s="32" t="str">
        <f>"－"</f>
        <v>－</v>
      </c>
      <c r="V40" s="32" t="n">
        <f>155173231</f>
        <v>1.55173231E8</v>
      </c>
      <c r="W40" s="32" t="str">
        <f>"－"</f>
        <v>－</v>
      </c>
      <c r="X40" s="36" t="n">
        <f>20</f>
        <v>20.0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2537</f>
        <v>2537.0</v>
      </c>
      <c r="L41" s="34" t="s">
        <v>48</v>
      </c>
      <c r="M41" s="33" t="n">
        <f>2661</f>
        <v>2661.0</v>
      </c>
      <c r="N41" s="34" t="s">
        <v>51</v>
      </c>
      <c r="O41" s="33" t="n">
        <f>2500</f>
        <v>2500.0</v>
      </c>
      <c r="P41" s="34" t="s">
        <v>49</v>
      </c>
      <c r="Q41" s="33" t="n">
        <f>2653</f>
        <v>2653.0</v>
      </c>
      <c r="R41" s="34" t="s">
        <v>51</v>
      </c>
      <c r="S41" s="35" t="n">
        <f>2560.55</f>
        <v>2560.55</v>
      </c>
      <c r="T41" s="32" t="n">
        <f>1908083</f>
        <v>1908083.0</v>
      </c>
      <c r="U41" s="32" t="n">
        <f>833800</f>
        <v>833800.0</v>
      </c>
      <c r="V41" s="32" t="n">
        <f>4882425450</f>
        <v>4.88242545E9</v>
      </c>
      <c r="W41" s="32" t="n">
        <f>2126959968</f>
        <v>2.126959968E9</v>
      </c>
      <c r="X41" s="36" t="n">
        <f>20</f>
        <v>20.0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2953</f>
        <v>2953.0</v>
      </c>
      <c r="L42" s="34" t="s">
        <v>48</v>
      </c>
      <c r="M42" s="33" t="n">
        <f>3055</f>
        <v>3055.0</v>
      </c>
      <c r="N42" s="34" t="s">
        <v>50</v>
      </c>
      <c r="O42" s="33" t="n">
        <f>2838</f>
        <v>2838.0</v>
      </c>
      <c r="P42" s="34" t="s">
        <v>49</v>
      </c>
      <c r="Q42" s="33" t="n">
        <f>2980</f>
        <v>2980.0</v>
      </c>
      <c r="R42" s="34" t="s">
        <v>51</v>
      </c>
      <c r="S42" s="35" t="n">
        <f>2917.35</f>
        <v>2917.35</v>
      </c>
      <c r="T42" s="32" t="n">
        <f>1042582</f>
        <v>1042582.0</v>
      </c>
      <c r="U42" s="32" t="n">
        <f>942843</f>
        <v>942843.0</v>
      </c>
      <c r="V42" s="32" t="n">
        <f>3078099521</f>
        <v>3.078099521E9</v>
      </c>
      <c r="W42" s="32" t="n">
        <f>2789475964</f>
        <v>2.789475964E9</v>
      </c>
      <c r="X42" s="36" t="n">
        <f>20</f>
        <v>20.0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29480</f>
        <v>29480.0</v>
      </c>
      <c r="L43" s="34" t="s">
        <v>48</v>
      </c>
      <c r="M43" s="33" t="n">
        <f>30320</f>
        <v>30320.0</v>
      </c>
      <c r="N43" s="34" t="s">
        <v>49</v>
      </c>
      <c r="O43" s="33" t="n">
        <f>26580</f>
        <v>26580.0</v>
      </c>
      <c r="P43" s="34" t="s">
        <v>51</v>
      </c>
      <c r="Q43" s="33" t="n">
        <f>26790</f>
        <v>26790.0</v>
      </c>
      <c r="R43" s="34" t="s">
        <v>51</v>
      </c>
      <c r="S43" s="35" t="n">
        <f>28957.5</f>
        <v>28957.5</v>
      </c>
      <c r="T43" s="32" t="n">
        <f>7673128</f>
        <v>7673128.0</v>
      </c>
      <c r="U43" s="32" t="n">
        <f>44990</f>
        <v>44990.0</v>
      </c>
      <c r="V43" s="32" t="n">
        <f>220988691697</f>
        <v>2.20988691697E11</v>
      </c>
      <c r="W43" s="32" t="n">
        <f>1309638232</f>
        <v>1.309638232E9</v>
      </c>
      <c r="X43" s="36" t="n">
        <f>20</f>
        <v>20.0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511</f>
        <v>511.0</v>
      </c>
      <c r="L44" s="34" t="s">
        <v>48</v>
      </c>
      <c r="M44" s="33" t="n">
        <f>559</f>
        <v>559.0</v>
      </c>
      <c r="N44" s="34" t="s">
        <v>51</v>
      </c>
      <c r="O44" s="33" t="n">
        <f>493</f>
        <v>493.0</v>
      </c>
      <c r="P44" s="34" t="s">
        <v>49</v>
      </c>
      <c r="Q44" s="33" t="n">
        <f>556</f>
        <v>556.0</v>
      </c>
      <c r="R44" s="34" t="s">
        <v>51</v>
      </c>
      <c r="S44" s="35" t="n">
        <f>517.25</f>
        <v>517.25</v>
      </c>
      <c r="T44" s="32" t="n">
        <f>239345829</f>
        <v>2.39345829E8</v>
      </c>
      <c r="U44" s="32" t="n">
        <f>3766547</f>
        <v>3766547.0</v>
      </c>
      <c r="V44" s="32" t="n">
        <f>124321772377</f>
        <v>1.24321772377E11</v>
      </c>
      <c r="W44" s="32" t="n">
        <f>1948028807</f>
        <v>1.948028807E9</v>
      </c>
      <c r="X44" s="36" t="n">
        <f>20</f>
        <v>20.0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600</f>
        <v>600.0</v>
      </c>
      <c r="L45" s="34" t="s">
        <v>48</v>
      </c>
      <c r="M45" s="33" t="n">
        <f>618</f>
        <v>618.0</v>
      </c>
      <c r="N45" s="34" t="s">
        <v>50</v>
      </c>
      <c r="O45" s="33" t="n">
        <f>549</f>
        <v>549.0</v>
      </c>
      <c r="P45" s="34" t="s">
        <v>85</v>
      </c>
      <c r="Q45" s="33" t="n">
        <f>593</f>
        <v>593.0</v>
      </c>
      <c r="R45" s="34" t="s">
        <v>51</v>
      </c>
      <c r="S45" s="35" t="n">
        <f>579.6</f>
        <v>579.6</v>
      </c>
      <c r="T45" s="32" t="n">
        <f>69337</f>
        <v>69337.0</v>
      </c>
      <c r="U45" s="32" t="str">
        <f>"－"</f>
        <v>－</v>
      </c>
      <c r="V45" s="32" t="n">
        <f>40707829</f>
        <v>4.0707829E7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591</f>
        <v>591.0</v>
      </c>
      <c r="L46" s="34" t="s">
        <v>48</v>
      </c>
      <c r="M46" s="33" t="n">
        <f>610.3</f>
        <v>610.3</v>
      </c>
      <c r="N46" s="34" t="s">
        <v>50</v>
      </c>
      <c r="O46" s="33" t="n">
        <f>536</f>
        <v>536.0</v>
      </c>
      <c r="P46" s="34" t="s">
        <v>72</v>
      </c>
      <c r="Q46" s="33" t="n">
        <f>599.8</f>
        <v>599.8</v>
      </c>
      <c r="R46" s="34" t="s">
        <v>51</v>
      </c>
      <c r="S46" s="35" t="n">
        <f>570.04</f>
        <v>570.04</v>
      </c>
      <c r="T46" s="32" t="n">
        <f>163370</f>
        <v>163370.0</v>
      </c>
      <c r="U46" s="32" t="str">
        <f>"－"</f>
        <v>－</v>
      </c>
      <c r="V46" s="32" t="n">
        <f>93506461</f>
        <v>9.3506461E7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245</f>
        <v>245.0</v>
      </c>
      <c r="L47" s="34" t="s">
        <v>48</v>
      </c>
      <c r="M47" s="33" t="n">
        <f>252</f>
        <v>252.0</v>
      </c>
      <c r="N47" s="34" t="s">
        <v>50</v>
      </c>
      <c r="O47" s="33" t="n">
        <f>214</f>
        <v>214.0</v>
      </c>
      <c r="P47" s="34" t="s">
        <v>51</v>
      </c>
      <c r="Q47" s="33" t="n">
        <f>234</f>
        <v>234.0</v>
      </c>
      <c r="R47" s="34" t="s">
        <v>51</v>
      </c>
      <c r="S47" s="35" t="n">
        <f>231.1</f>
        <v>231.1</v>
      </c>
      <c r="T47" s="32" t="n">
        <f>188784</f>
        <v>188784.0</v>
      </c>
      <c r="U47" s="32" t="str">
        <f>"－"</f>
        <v>－</v>
      </c>
      <c r="V47" s="32" t="n">
        <f>43613194</f>
        <v>4.3613194E7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2757.5</f>
        <v>2757.5</v>
      </c>
      <c r="L48" s="34" t="s">
        <v>48</v>
      </c>
      <c r="M48" s="33" t="n">
        <f>2862.5</f>
        <v>2862.5</v>
      </c>
      <c r="N48" s="34" t="s">
        <v>49</v>
      </c>
      <c r="O48" s="33" t="n">
        <f>2653.5</f>
        <v>2653.5</v>
      </c>
      <c r="P48" s="34" t="s">
        <v>50</v>
      </c>
      <c r="Q48" s="33" t="n">
        <f>2732.5</f>
        <v>2732.5</v>
      </c>
      <c r="R48" s="34" t="s">
        <v>51</v>
      </c>
      <c r="S48" s="35" t="n">
        <f>2789.53</f>
        <v>2789.53</v>
      </c>
      <c r="T48" s="32" t="n">
        <f>1355440</f>
        <v>1355440.0</v>
      </c>
      <c r="U48" s="32" t="n">
        <f>128520</f>
        <v>128520.0</v>
      </c>
      <c r="V48" s="32" t="n">
        <f>3768551100</f>
        <v>3.7685511E9</v>
      </c>
      <c r="W48" s="32" t="n">
        <f>364340210</f>
        <v>3.6434021E8</v>
      </c>
      <c r="X48" s="36" t="n">
        <f>20</f>
        <v>20.0</v>
      </c>
    </row>
    <row r="49">
      <c r="A49" s="27" t="s">
        <v>42</v>
      </c>
      <c r="B49" s="27" t="s">
        <v>184</v>
      </c>
      <c r="C49" s="27" t="s">
        <v>185</v>
      </c>
      <c r="D49" s="27" t="s">
        <v>186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24795</f>
        <v>24795.0</v>
      </c>
      <c r="L49" s="34" t="s">
        <v>48</v>
      </c>
      <c r="M49" s="33" t="n">
        <f>25970</f>
        <v>25970.0</v>
      </c>
      <c r="N49" s="34" t="s">
        <v>155</v>
      </c>
      <c r="O49" s="33" t="n">
        <f>24060</f>
        <v>24060.0</v>
      </c>
      <c r="P49" s="34" t="s">
        <v>50</v>
      </c>
      <c r="Q49" s="33" t="n">
        <f>24595</f>
        <v>24595.0</v>
      </c>
      <c r="R49" s="34" t="s">
        <v>51</v>
      </c>
      <c r="S49" s="35" t="n">
        <f>25089.5</f>
        <v>25089.5</v>
      </c>
      <c r="T49" s="32" t="n">
        <f>16113</f>
        <v>16113.0</v>
      </c>
      <c r="U49" s="32" t="str">
        <f>"－"</f>
        <v>－</v>
      </c>
      <c r="V49" s="32" t="n">
        <f>399963165</f>
        <v>3.99963165E8</v>
      </c>
      <c r="W49" s="32" t="str">
        <f>"－"</f>
        <v>－</v>
      </c>
      <c r="X49" s="36" t="n">
        <f>20</f>
        <v>20.0</v>
      </c>
    </row>
    <row r="50">
      <c r="A50" s="27" t="s">
        <v>42</v>
      </c>
      <c r="B50" s="27" t="s">
        <v>187</v>
      </c>
      <c r="C50" s="27" t="s">
        <v>188</v>
      </c>
      <c r="D50" s="27" t="s">
        <v>189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278</f>
        <v>278.0</v>
      </c>
      <c r="L50" s="34" t="s">
        <v>48</v>
      </c>
      <c r="M50" s="33" t="n">
        <f>288.6</f>
        <v>288.6</v>
      </c>
      <c r="N50" s="34" t="s">
        <v>49</v>
      </c>
      <c r="O50" s="33" t="n">
        <f>267.9</f>
        <v>267.9</v>
      </c>
      <c r="P50" s="34" t="s">
        <v>50</v>
      </c>
      <c r="Q50" s="33" t="n">
        <f>274.7</f>
        <v>274.7</v>
      </c>
      <c r="R50" s="34" t="s">
        <v>51</v>
      </c>
      <c r="S50" s="35" t="n">
        <f>280.86</f>
        <v>280.86</v>
      </c>
      <c r="T50" s="32" t="n">
        <f>79408350</f>
        <v>7.940835E7</v>
      </c>
      <c r="U50" s="32" t="n">
        <f>44927590</f>
        <v>4.492759E7</v>
      </c>
      <c r="V50" s="32" t="n">
        <f>22489050884</f>
        <v>2.2489050884E10</v>
      </c>
      <c r="W50" s="32" t="n">
        <f>12836688891</f>
        <v>1.2836688891E10</v>
      </c>
      <c r="X50" s="36" t="n">
        <f>20</f>
        <v>20.0</v>
      </c>
    </row>
    <row r="51">
      <c r="A51" s="27" t="s">
        <v>42</v>
      </c>
      <c r="B51" s="27" t="s">
        <v>190</v>
      </c>
      <c r="C51" s="27" t="s">
        <v>191</v>
      </c>
      <c r="D51" s="27" t="s">
        <v>192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1759</f>
        <v>1759.0</v>
      </c>
      <c r="L51" s="34" t="s">
        <v>48</v>
      </c>
      <c r="M51" s="33" t="n">
        <f>1793</f>
        <v>1793.0</v>
      </c>
      <c r="N51" s="34" t="s">
        <v>72</v>
      </c>
      <c r="O51" s="33" t="n">
        <f>1697</f>
        <v>1697.0</v>
      </c>
      <c r="P51" s="34" t="s">
        <v>50</v>
      </c>
      <c r="Q51" s="33" t="n">
        <f>1760</f>
        <v>1760.0</v>
      </c>
      <c r="R51" s="34" t="s">
        <v>51</v>
      </c>
      <c r="S51" s="35" t="n">
        <f>1747.55</f>
        <v>1747.55</v>
      </c>
      <c r="T51" s="32" t="n">
        <f>13468616</f>
        <v>1.3468616E7</v>
      </c>
      <c r="U51" s="32" t="n">
        <f>11406108</f>
        <v>1.1406108E7</v>
      </c>
      <c r="V51" s="32" t="n">
        <f>23677735979</f>
        <v>2.3677735979E10</v>
      </c>
      <c r="W51" s="32" t="n">
        <f>20060990819</f>
        <v>2.0060990819E10</v>
      </c>
      <c r="X51" s="36" t="n">
        <f>20</f>
        <v>20.0</v>
      </c>
    </row>
    <row r="52">
      <c r="A52" s="27" t="s">
        <v>42</v>
      </c>
      <c r="B52" s="27" t="s">
        <v>193</v>
      </c>
      <c r="C52" s="27" t="s">
        <v>194</v>
      </c>
      <c r="D52" s="27" t="s">
        <v>195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2529</f>
        <v>2529.0</v>
      </c>
      <c r="L52" s="34" t="s">
        <v>48</v>
      </c>
      <c r="M52" s="33" t="n">
        <f>2628</f>
        <v>2628.0</v>
      </c>
      <c r="N52" s="34" t="s">
        <v>85</v>
      </c>
      <c r="O52" s="33" t="n">
        <f>2490</f>
        <v>2490.0</v>
      </c>
      <c r="P52" s="34" t="s">
        <v>50</v>
      </c>
      <c r="Q52" s="33" t="n">
        <f>2537</f>
        <v>2537.0</v>
      </c>
      <c r="R52" s="34" t="s">
        <v>51</v>
      </c>
      <c r="S52" s="35" t="n">
        <f>2574.05</f>
        <v>2574.05</v>
      </c>
      <c r="T52" s="32" t="n">
        <f>28785</f>
        <v>28785.0</v>
      </c>
      <c r="U52" s="32" t="n">
        <f>3795</f>
        <v>3795.0</v>
      </c>
      <c r="V52" s="32" t="n">
        <f>73723459</f>
        <v>7.3723459E7</v>
      </c>
      <c r="W52" s="32" t="n">
        <f>9617828</f>
        <v>9617828.0</v>
      </c>
      <c r="X52" s="36" t="n">
        <f>20</f>
        <v>20.0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3770</f>
        <v>3770.0</v>
      </c>
      <c r="L53" s="34" t="s">
        <v>48</v>
      </c>
      <c r="M53" s="33" t="n">
        <f>3885</f>
        <v>3885.0</v>
      </c>
      <c r="N53" s="34" t="s">
        <v>49</v>
      </c>
      <c r="O53" s="33" t="n">
        <f>3610</f>
        <v>3610.0</v>
      </c>
      <c r="P53" s="34" t="s">
        <v>50</v>
      </c>
      <c r="Q53" s="33" t="n">
        <f>3720</f>
        <v>3720.0</v>
      </c>
      <c r="R53" s="34" t="s">
        <v>51</v>
      </c>
      <c r="S53" s="35" t="n">
        <f>3776.25</f>
        <v>3776.25</v>
      </c>
      <c r="T53" s="32" t="n">
        <f>776081</f>
        <v>776081.0</v>
      </c>
      <c r="U53" s="32" t="n">
        <f>110720</f>
        <v>110720.0</v>
      </c>
      <c r="V53" s="32" t="n">
        <f>2941620539</f>
        <v>2.941620539E9</v>
      </c>
      <c r="W53" s="32" t="n">
        <f>423274164</f>
        <v>4.23274164E8</v>
      </c>
      <c r="X53" s="36" t="n">
        <f>20</f>
        <v>20.0</v>
      </c>
    </row>
    <row r="5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34800</f>
        <v>34800.0</v>
      </c>
      <c r="L54" s="34" t="s">
        <v>48</v>
      </c>
      <c r="M54" s="33" t="n">
        <f>35440</f>
        <v>35440.0</v>
      </c>
      <c r="N54" s="34" t="s">
        <v>61</v>
      </c>
      <c r="O54" s="33" t="n">
        <f>33670</f>
        <v>33670.0</v>
      </c>
      <c r="P54" s="34" t="s">
        <v>50</v>
      </c>
      <c r="Q54" s="33" t="n">
        <f>35380</f>
        <v>35380.0</v>
      </c>
      <c r="R54" s="34" t="s">
        <v>61</v>
      </c>
      <c r="S54" s="35" t="n">
        <f>34672.5</f>
        <v>34672.5</v>
      </c>
      <c r="T54" s="32" t="n">
        <f>121</f>
        <v>121.0</v>
      </c>
      <c r="U54" s="32" t="n">
        <f>7</f>
        <v>7.0</v>
      </c>
      <c r="V54" s="32" t="n">
        <f>4201330</f>
        <v>4201330.0</v>
      </c>
      <c r="W54" s="32" t="n">
        <f>234500</f>
        <v>234500.0</v>
      </c>
      <c r="X54" s="36" t="n">
        <f>4</f>
        <v>4.0</v>
      </c>
    </row>
    <row r="55">
      <c r="A55" s="27" t="s">
        <v>42</v>
      </c>
      <c r="B55" s="27" t="s">
        <v>202</v>
      </c>
      <c r="C55" s="27" t="s">
        <v>203</v>
      </c>
      <c r="D55" s="27" t="s">
        <v>204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26755</f>
        <v>26755.0</v>
      </c>
      <c r="L55" s="34" t="s">
        <v>62</v>
      </c>
      <c r="M55" s="33" t="n">
        <f>27455</f>
        <v>27455.0</v>
      </c>
      <c r="N55" s="34" t="s">
        <v>70</v>
      </c>
      <c r="O55" s="33" t="n">
        <f>26260</f>
        <v>26260.0</v>
      </c>
      <c r="P55" s="34" t="s">
        <v>159</v>
      </c>
      <c r="Q55" s="33" t="n">
        <f>27115</f>
        <v>27115.0</v>
      </c>
      <c r="R55" s="34" t="s">
        <v>205</v>
      </c>
      <c r="S55" s="35" t="n">
        <f>26984.29</f>
        <v>26984.29</v>
      </c>
      <c r="T55" s="32" t="n">
        <f>770</f>
        <v>770.0</v>
      </c>
      <c r="U55" s="32" t="str">
        <f>"－"</f>
        <v>－</v>
      </c>
      <c r="V55" s="32" t="n">
        <f>20916360</f>
        <v>2.091636E7</v>
      </c>
      <c r="W55" s="32" t="str">
        <f>"－"</f>
        <v>－</v>
      </c>
      <c r="X55" s="36" t="n">
        <f>7</f>
        <v>7.0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2821</f>
        <v>2821.0</v>
      </c>
      <c r="L56" s="34" t="s">
        <v>48</v>
      </c>
      <c r="M56" s="33" t="n">
        <f>2875</f>
        <v>2875.0</v>
      </c>
      <c r="N56" s="34" t="s">
        <v>49</v>
      </c>
      <c r="O56" s="33" t="n">
        <f>2715</f>
        <v>2715.0</v>
      </c>
      <c r="P56" s="34" t="s">
        <v>50</v>
      </c>
      <c r="Q56" s="33" t="n">
        <f>2769</f>
        <v>2769.0</v>
      </c>
      <c r="R56" s="34" t="s">
        <v>51</v>
      </c>
      <c r="S56" s="35" t="n">
        <f>2809.24</f>
        <v>2809.24</v>
      </c>
      <c r="T56" s="32" t="n">
        <f>1491</f>
        <v>1491.0</v>
      </c>
      <c r="U56" s="32" t="str">
        <f>"－"</f>
        <v>－</v>
      </c>
      <c r="V56" s="32" t="n">
        <f>4194774</f>
        <v>4194774.0</v>
      </c>
      <c r="W56" s="32" t="str">
        <f>"－"</f>
        <v>－</v>
      </c>
      <c r="X56" s="36" t="n">
        <f>17</f>
        <v>17.0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1664</f>
        <v>1664.0</v>
      </c>
      <c r="L57" s="34" t="s">
        <v>48</v>
      </c>
      <c r="M57" s="33" t="n">
        <f>1682</f>
        <v>1682.0</v>
      </c>
      <c r="N57" s="34" t="s">
        <v>62</v>
      </c>
      <c r="O57" s="33" t="n">
        <f>1651</f>
        <v>1651.0</v>
      </c>
      <c r="P57" s="34" t="s">
        <v>212</v>
      </c>
      <c r="Q57" s="33" t="n">
        <f>1675</f>
        <v>1675.0</v>
      </c>
      <c r="R57" s="34" t="s">
        <v>51</v>
      </c>
      <c r="S57" s="35" t="n">
        <f>1662.6</f>
        <v>1662.6</v>
      </c>
      <c r="T57" s="32" t="n">
        <f>5915367</f>
        <v>5915367.0</v>
      </c>
      <c r="U57" s="32" t="n">
        <f>4838563</f>
        <v>4838563.0</v>
      </c>
      <c r="V57" s="32" t="n">
        <f>9847933976</f>
        <v>9.847933976E9</v>
      </c>
      <c r="W57" s="32" t="n">
        <f>8055126354</f>
        <v>8.055126354E9</v>
      </c>
      <c r="X57" s="36" t="n">
        <f>20</f>
        <v>20.0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2768</f>
        <v>2768.0</v>
      </c>
      <c r="L58" s="34" t="s">
        <v>62</v>
      </c>
      <c r="M58" s="33" t="n">
        <f>2853</f>
        <v>2853.0</v>
      </c>
      <c r="N58" s="34" t="s">
        <v>49</v>
      </c>
      <c r="O58" s="33" t="n">
        <f>2700</f>
        <v>2700.0</v>
      </c>
      <c r="P58" s="34" t="s">
        <v>50</v>
      </c>
      <c r="Q58" s="33" t="n">
        <f>2753</f>
        <v>2753.0</v>
      </c>
      <c r="R58" s="34" t="s">
        <v>51</v>
      </c>
      <c r="S58" s="35" t="n">
        <f>2793.18</f>
        <v>2793.18</v>
      </c>
      <c r="T58" s="32" t="n">
        <f>437</f>
        <v>437.0</v>
      </c>
      <c r="U58" s="32" t="n">
        <f>1</f>
        <v>1.0</v>
      </c>
      <c r="V58" s="32" t="n">
        <f>1231826</f>
        <v>1231826.0</v>
      </c>
      <c r="W58" s="32" t="n">
        <f>2765</f>
        <v>2765.0</v>
      </c>
      <c r="X58" s="36" t="n">
        <f>17</f>
        <v>17.0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2781.5</f>
        <v>2781.5</v>
      </c>
      <c r="L59" s="34" t="s">
        <v>48</v>
      </c>
      <c r="M59" s="33" t="n">
        <f>2844</f>
        <v>2844.0</v>
      </c>
      <c r="N59" s="34" t="s">
        <v>49</v>
      </c>
      <c r="O59" s="33" t="n">
        <f>2708.5</f>
        <v>2708.5</v>
      </c>
      <c r="P59" s="34" t="s">
        <v>50</v>
      </c>
      <c r="Q59" s="33" t="n">
        <f>2738.5</f>
        <v>2738.5</v>
      </c>
      <c r="R59" s="34" t="s">
        <v>51</v>
      </c>
      <c r="S59" s="35" t="n">
        <f>2781.65</f>
        <v>2781.65</v>
      </c>
      <c r="T59" s="32" t="n">
        <f>2620</f>
        <v>2620.0</v>
      </c>
      <c r="U59" s="32" t="str">
        <f>"－"</f>
        <v>－</v>
      </c>
      <c r="V59" s="32" t="n">
        <f>7287960</f>
        <v>7287960.0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str">
        <f>"－"</f>
        <v>－</v>
      </c>
      <c r="L60" s="34"/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5" t="str">
        <f>"－"</f>
        <v>－</v>
      </c>
      <c r="T60" s="32" t="str">
        <f>"－"</f>
        <v>－</v>
      </c>
      <c r="U60" s="32" t="str">
        <f>"－"</f>
        <v>－</v>
      </c>
      <c r="V60" s="32" t="str">
        <f>"－"</f>
        <v>－</v>
      </c>
      <c r="W60" s="32" t="str">
        <f>"－"</f>
        <v>－</v>
      </c>
      <c r="X60" s="36" t="str">
        <f>"－"</f>
        <v>－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23485</f>
        <v>23485.0</v>
      </c>
      <c r="L61" s="34" t="s">
        <v>48</v>
      </c>
      <c r="M61" s="33" t="n">
        <f>23485</f>
        <v>23485.0</v>
      </c>
      <c r="N61" s="34" t="s">
        <v>48</v>
      </c>
      <c r="O61" s="33" t="n">
        <f>22775</f>
        <v>22775.0</v>
      </c>
      <c r="P61" s="34" t="s">
        <v>225</v>
      </c>
      <c r="Q61" s="33" t="n">
        <f>23280</f>
        <v>23280.0</v>
      </c>
      <c r="R61" s="34" t="s">
        <v>51</v>
      </c>
      <c r="S61" s="35" t="n">
        <f>23147.25</f>
        <v>23147.25</v>
      </c>
      <c r="T61" s="32" t="n">
        <f>8321</f>
        <v>8321.0</v>
      </c>
      <c r="U61" s="32" t="n">
        <f>1</f>
        <v>1.0</v>
      </c>
      <c r="V61" s="32" t="n">
        <f>192477685</f>
        <v>1.92477685E8</v>
      </c>
      <c r="W61" s="32" t="n">
        <f>23270</f>
        <v>23270.0</v>
      </c>
      <c r="X61" s="36" t="n">
        <f>20</f>
        <v>20.0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12830</f>
        <v>12830.0</v>
      </c>
      <c r="L62" s="34" t="s">
        <v>48</v>
      </c>
      <c r="M62" s="33" t="n">
        <f>12930</f>
        <v>12930.0</v>
      </c>
      <c r="N62" s="34" t="s">
        <v>159</v>
      </c>
      <c r="O62" s="33" t="n">
        <f>12705</f>
        <v>12705.0</v>
      </c>
      <c r="P62" s="34" t="s">
        <v>85</v>
      </c>
      <c r="Q62" s="33" t="n">
        <f>12865</f>
        <v>12865.0</v>
      </c>
      <c r="R62" s="34" t="s">
        <v>51</v>
      </c>
      <c r="S62" s="35" t="n">
        <f>12792.75</f>
        <v>12792.75</v>
      </c>
      <c r="T62" s="32" t="n">
        <f>334876</f>
        <v>334876.0</v>
      </c>
      <c r="U62" s="32" t="n">
        <f>311455</f>
        <v>311455.0</v>
      </c>
      <c r="V62" s="32" t="n">
        <f>4282811991</f>
        <v>4.282811991E9</v>
      </c>
      <c r="W62" s="32" t="n">
        <f>3982826866</f>
        <v>3.982826866E9</v>
      </c>
      <c r="X62" s="36" t="n">
        <f>20</f>
        <v>20.0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1749</f>
        <v>1749.0</v>
      </c>
      <c r="L63" s="34" t="s">
        <v>48</v>
      </c>
      <c r="M63" s="33" t="n">
        <f>1781</f>
        <v>1781.0</v>
      </c>
      <c r="N63" s="34" t="s">
        <v>72</v>
      </c>
      <c r="O63" s="33" t="n">
        <f>1686</f>
        <v>1686.0</v>
      </c>
      <c r="P63" s="34" t="s">
        <v>50</v>
      </c>
      <c r="Q63" s="33" t="n">
        <f>1746</f>
        <v>1746.0</v>
      </c>
      <c r="R63" s="34" t="s">
        <v>51</v>
      </c>
      <c r="S63" s="35" t="n">
        <f>1736.3</f>
        <v>1736.3</v>
      </c>
      <c r="T63" s="32" t="n">
        <f>9890988</f>
        <v>9890988.0</v>
      </c>
      <c r="U63" s="32" t="n">
        <f>2874018</f>
        <v>2874018.0</v>
      </c>
      <c r="V63" s="32" t="n">
        <f>16975219747</f>
        <v>1.6975219747E10</v>
      </c>
      <c r="W63" s="32" t="n">
        <f>4976605751</f>
        <v>4.976605751E9</v>
      </c>
      <c r="X63" s="36" t="n">
        <f>20</f>
        <v>20.0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2320</f>
        <v>2320.0</v>
      </c>
      <c r="L64" s="34" t="s">
        <v>48</v>
      </c>
      <c r="M64" s="33" t="n">
        <f>2428</f>
        <v>2428.0</v>
      </c>
      <c r="N64" s="34" t="s">
        <v>155</v>
      </c>
      <c r="O64" s="33" t="n">
        <f>2273</f>
        <v>2273.0</v>
      </c>
      <c r="P64" s="34" t="s">
        <v>50</v>
      </c>
      <c r="Q64" s="33" t="n">
        <f>2327</f>
        <v>2327.0</v>
      </c>
      <c r="R64" s="34" t="s">
        <v>51</v>
      </c>
      <c r="S64" s="35" t="n">
        <f>2365.1</f>
        <v>2365.1</v>
      </c>
      <c r="T64" s="32" t="n">
        <f>16059630</f>
        <v>1.605963E7</v>
      </c>
      <c r="U64" s="32" t="n">
        <f>1295269</f>
        <v>1295269.0</v>
      </c>
      <c r="V64" s="32" t="n">
        <f>38019135272</f>
        <v>3.8019135272E10</v>
      </c>
      <c r="W64" s="32" t="n">
        <f>3053395271</f>
        <v>3.053395271E9</v>
      </c>
      <c r="X64" s="36" t="n">
        <f>20</f>
        <v>20.0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str">
        <f>"－"</f>
        <v>－</v>
      </c>
      <c r="L65" s="34"/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5" t="str">
        <f>"－"</f>
        <v>－</v>
      </c>
      <c r="T65" s="32" t="str">
        <f>"－"</f>
        <v>－</v>
      </c>
      <c r="U65" s="32" t="str">
        <f>"－"</f>
        <v>－</v>
      </c>
      <c r="V65" s="32" t="str">
        <f>"－"</f>
        <v>－</v>
      </c>
      <c r="W65" s="32" t="str">
        <f>"－"</f>
        <v>－</v>
      </c>
      <c r="X65" s="36" t="str">
        <f>"－"</f>
        <v>－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19270</f>
        <v>19270.0</v>
      </c>
      <c r="L66" s="34" t="s">
        <v>48</v>
      </c>
      <c r="M66" s="33" t="n">
        <f>19655</f>
        <v>19655.0</v>
      </c>
      <c r="N66" s="34" t="s">
        <v>85</v>
      </c>
      <c r="O66" s="33" t="n">
        <f>18670</f>
        <v>18670.0</v>
      </c>
      <c r="P66" s="34" t="s">
        <v>50</v>
      </c>
      <c r="Q66" s="33" t="n">
        <f>19030</f>
        <v>19030.0</v>
      </c>
      <c r="R66" s="34" t="s">
        <v>51</v>
      </c>
      <c r="S66" s="35" t="n">
        <f>19259.5</f>
        <v>19259.5</v>
      </c>
      <c r="T66" s="32" t="n">
        <f>3433</f>
        <v>3433.0</v>
      </c>
      <c r="U66" s="32" t="n">
        <f>1080</f>
        <v>1080.0</v>
      </c>
      <c r="V66" s="32" t="n">
        <f>66533455</f>
        <v>6.6533455E7</v>
      </c>
      <c r="W66" s="32" t="n">
        <f>21073500</f>
        <v>2.10735E7</v>
      </c>
      <c r="X66" s="36" t="n">
        <f>20</f>
        <v>20.0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31490</f>
        <v>31490.0</v>
      </c>
      <c r="L67" s="34" t="s">
        <v>48</v>
      </c>
      <c r="M67" s="33" t="n">
        <f>32530</f>
        <v>32530.0</v>
      </c>
      <c r="N67" s="34" t="s">
        <v>85</v>
      </c>
      <c r="O67" s="33" t="n">
        <f>30930</f>
        <v>30930.0</v>
      </c>
      <c r="P67" s="34" t="s">
        <v>50</v>
      </c>
      <c r="Q67" s="33" t="n">
        <f>31740</f>
        <v>31740.0</v>
      </c>
      <c r="R67" s="34" t="s">
        <v>51</v>
      </c>
      <c r="S67" s="35" t="n">
        <f>31935.5</f>
        <v>31935.5</v>
      </c>
      <c r="T67" s="32" t="n">
        <f>72467</f>
        <v>72467.0</v>
      </c>
      <c r="U67" s="32" t="n">
        <f>41496</f>
        <v>41496.0</v>
      </c>
      <c r="V67" s="32" t="n">
        <f>2298184760</f>
        <v>2.29818476E9</v>
      </c>
      <c r="W67" s="32" t="n">
        <f>1313264320</f>
        <v>1.31326432E9</v>
      </c>
      <c r="X67" s="36" t="n">
        <f>20</f>
        <v>20.0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9849</f>
        <v>9849.0</v>
      </c>
      <c r="L68" s="34" t="s">
        <v>48</v>
      </c>
      <c r="M68" s="33" t="n">
        <f>10285</f>
        <v>10285.0</v>
      </c>
      <c r="N68" s="34" t="s">
        <v>85</v>
      </c>
      <c r="O68" s="33" t="n">
        <f>9590</f>
        <v>9590.0</v>
      </c>
      <c r="P68" s="34" t="s">
        <v>50</v>
      </c>
      <c r="Q68" s="33" t="n">
        <f>9960</f>
        <v>9960.0</v>
      </c>
      <c r="R68" s="34" t="s">
        <v>51</v>
      </c>
      <c r="S68" s="35" t="n">
        <f>9976.4</f>
        <v>9976.4</v>
      </c>
      <c r="T68" s="32" t="n">
        <f>15020</f>
        <v>15020.0</v>
      </c>
      <c r="U68" s="32" t="n">
        <f>50</f>
        <v>50.0</v>
      </c>
      <c r="V68" s="32" t="n">
        <f>148521230</f>
        <v>1.4852123E8</v>
      </c>
      <c r="W68" s="32" t="n">
        <f>499050</f>
        <v>499050.0</v>
      </c>
      <c r="X68" s="36" t="n">
        <f>20</f>
        <v>20.0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1784</f>
        <v>1784.0</v>
      </c>
      <c r="L69" s="34" t="s">
        <v>48</v>
      </c>
      <c r="M69" s="33" t="n">
        <f>1790</f>
        <v>1790.0</v>
      </c>
      <c r="N69" s="34" t="s">
        <v>62</v>
      </c>
      <c r="O69" s="33" t="n">
        <f>1752</f>
        <v>1752.0</v>
      </c>
      <c r="P69" s="34" t="s">
        <v>85</v>
      </c>
      <c r="Q69" s="33" t="n">
        <f>1768</f>
        <v>1768.0</v>
      </c>
      <c r="R69" s="34" t="s">
        <v>51</v>
      </c>
      <c r="S69" s="35" t="n">
        <f>1767.95</f>
        <v>1767.95</v>
      </c>
      <c r="T69" s="32" t="n">
        <f>1603226</f>
        <v>1603226.0</v>
      </c>
      <c r="U69" s="32" t="n">
        <f>1324021</f>
        <v>1324021.0</v>
      </c>
      <c r="V69" s="32" t="n">
        <f>2831612152</f>
        <v>2.831612152E9</v>
      </c>
      <c r="W69" s="32" t="n">
        <f>2338125709</f>
        <v>2.338125709E9</v>
      </c>
      <c r="X69" s="36" t="n">
        <f>20</f>
        <v>20.0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1845</f>
        <v>1845.0</v>
      </c>
      <c r="L70" s="34" t="s">
        <v>48</v>
      </c>
      <c r="M70" s="33" t="n">
        <f>1849</f>
        <v>1849.0</v>
      </c>
      <c r="N70" s="34" t="s">
        <v>155</v>
      </c>
      <c r="O70" s="33" t="n">
        <f>1819</f>
        <v>1819.0</v>
      </c>
      <c r="P70" s="34" t="s">
        <v>253</v>
      </c>
      <c r="Q70" s="33" t="n">
        <f>1826</f>
        <v>1826.0</v>
      </c>
      <c r="R70" s="34" t="s">
        <v>51</v>
      </c>
      <c r="S70" s="35" t="n">
        <f>1833.55</f>
        <v>1833.55</v>
      </c>
      <c r="T70" s="32" t="n">
        <f>565702</f>
        <v>565702.0</v>
      </c>
      <c r="U70" s="32" t="n">
        <f>260000</f>
        <v>260000.0</v>
      </c>
      <c r="V70" s="32" t="n">
        <f>1033288116</f>
        <v>1.033288116E9</v>
      </c>
      <c r="W70" s="32" t="n">
        <f>473252000</f>
        <v>4.73252E8</v>
      </c>
      <c r="X70" s="36" t="n">
        <f>20</f>
        <v>20.0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21750</f>
        <v>21750.0</v>
      </c>
      <c r="L71" s="34" t="s">
        <v>48</v>
      </c>
      <c r="M71" s="33" t="n">
        <f>22265</f>
        <v>22265.0</v>
      </c>
      <c r="N71" s="34" t="s">
        <v>49</v>
      </c>
      <c r="O71" s="33" t="n">
        <f>20990</f>
        <v>20990.0</v>
      </c>
      <c r="P71" s="34" t="s">
        <v>50</v>
      </c>
      <c r="Q71" s="33" t="n">
        <f>21270</f>
        <v>21270.0</v>
      </c>
      <c r="R71" s="34" t="s">
        <v>51</v>
      </c>
      <c r="S71" s="35" t="n">
        <f>21704.25</f>
        <v>21704.25</v>
      </c>
      <c r="T71" s="32" t="n">
        <f>7789</f>
        <v>7789.0</v>
      </c>
      <c r="U71" s="32" t="n">
        <f>5300</f>
        <v>5300.0</v>
      </c>
      <c r="V71" s="32" t="n">
        <f>167569030</f>
        <v>1.6756903E8</v>
      </c>
      <c r="W71" s="32" t="n">
        <f>113530240</f>
        <v>1.1353024E8</v>
      </c>
      <c r="X71" s="36" t="n">
        <f>20</f>
        <v>20.0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9280</f>
        <v>9280.0</v>
      </c>
      <c r="L72" s="34" t="s">
        <v>48</v>
      </c>
      <c r="M72" s="33" t="n">
        <f>9421</f>
        <v>9421.0</v>
      </c>
      <c r="N72" s="34" t="s">
        <v>51</v>
      </c>
      <c r="O72" s="33" t="n">
        <f>9221</f>
        <v>9221.0</v>
      </c>
      <c r="P72" s="34" t="s">
        <v>62</v>
      </c>
      <c r="Q72" s="33" t="n">
        <f>9421</f>
        <v>9421.0</v>
      </c>
      <c r="R72" s="34" t="s">
        <v>51</v>
      </c>
      <c r="S72" s="35" t="n">
        <f>9326.45</f>
        <v>9326.45</v>
      </c>
      <c r="T72" s="32" t="n">
        <f>1166</f>
        <v>1166.0</v>
      </c>
      <c r="U72" s="32" t="n">
        <f>3</f>
        <v>3.0</v>
      </c>
      <c r="V72" s="32" t="n">
        <f>10871560</f>
        <v>1.087156E7</v>
      </c>
      <c r="W72" s="32" t="n">
        <f>27832</f>
        <v>27832.0</v>
      </c>
      <c r="X72" s="36" t="n">
        <f>20</f>
        <v>20.0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13125</f>
        <v>13125.0</v>
      </c>
      <c r="L73" s="34" t="s">
        <v>48</v>
      </c>
      <c r="M73" s="33" t="n">
        <f>14280</f>
        <v>14280.0</v>
      </c>
      <c r="N73" s="34" t="s">
        <v>51</v>
      </c>
      <c r="O73" s="33" t="n">
        <f>12805</f>
        <v>12805.0</v>
      </c>
      <c r="P73" s="34" t="s">
        <v>50</v>
      </c>
      <c r="Q73" s="33" t="n">
        <f>14260</f>
        <v>14260.0</v>
      </c>
      <c r="R73" s="34" t="s">
        <v>51</v>
      </c>
      <c r="S73" s="35" t="n">
        <f>13479.25</f>
        <v>13479.25</v>
      </c>
      <c r="T73" s="32" t="n">
        <f>7798303</f>
        <v>7798303.0</v>
      </c>
      <c r="U73" s="32" t="n">
        <f>1471042</f>
        <v>1471042.0</v>
      </c>
      <c r="V73" s="32" t="n">
        <f>105497532186</f>
        <v>1.05497532186E11</v>
      </c>
      <c r="W73" s="32" t="n">
        <f>19803251791</f>
        <v>1.9803251791E10</v>
      </c>
      <c r="X73" s="36" t="n">
        <f>20</f>
        <v>20.0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4255</f>
        <v>4255.0</v>
      </c>
      <c r="L74" s="34" t="s">
        <v>48</v>
      </c>
      <c r="M74" s="33" t="n">
        <f>4450</f>
        <v>4450.0</v>
      </c>
      <c r="N74" s="34" t="s">
        <v>85</v>
      </c>
      <c r="O74" s="33" t="n">
        <f>4150</f>
        <v>4150.0</v>
      </c>
      <c r="P74" s="34" t="s">
        <v>50</v>
      </c>
      <c r="Q74" s="33" t="n">
        <f>4385</f>
        <v>4385.0</v>
      </c>
      <c r="R74" s="34" t="s">
        <v>51</v>
      </c>
      <c r="S74" s="35" t="n">
        <f>4297.25</f>
        <v>4297.25</v>
      </c>
      <c r="T74" s="32" t="n">
        <f>392848</f>
        <v>392848.0</v>
      </c>
      <c r="U74" s="32" t="n">
        <f>435</f>
        <v>435.0</v>
      </c>
      <c r="V74" s="32" t="n">
        <f>1690756185</f>
        <v>1.690756185E9</v>
      </c>
      <c r="W74" s="32" t="n">
        <f>1879570</f>
        <v>1879570.0</v>
      </c>
      <c r="X74" s="36" t="n">
        <f>20</f>
        <v>20.0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13945</f>
        <v>13945.0</v>
      </c>
      <c r="L75" s="34" t="s">
        <v>48</v>
      </c>
      <c r="M75" s="33" t="n">
        <f>15600</f>
        <v>15600.0</v>
      </c>
      <c r="N75" s="34" t="s">
        <v>70</v>
      </c>
      <c r="O75" s="33" t="n">
        <f>13875</f>
        <v>13875.0</v>
      </c>
      <c r="P75" s="34" t="s">
        <v>50</v>
      </c>
      <c r="Q75" s="33" t="n">
        <f>15445</f>
        <v>15445.0</v>
      </c>
      <c r="R75" s="34" t="s">
        <v>51</v>
      </c>
      <c r="S75" s="35" t="n">
        <f>14653.5</f>
        <v>14653.5</v>
      </c>
      <c r="T75" s="32" t="n">
        <f>372146</f>
        <v>372146.0</v>
      </c>
      <c r="U75" s="32" t="n">
        <f>3903</f>
        <v>3903.0</v>
      </c>
      <c r="V75" s="32" t="n">
        <f>5501658432</f>
        <v>5.501658432E9</v>
      </c>
      <c r="W75" s="32" t="n">
        <f>57580292</f>
        <v>5.7580292E7</v>
      </c>
      <c r="X75" s="36" t="n">
        <f>20</f>
        <v>20.0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41320</f>
        <v>41320.0</v>
      </c>
      <c r="L76" s="34" t="s">
        <v>48</v>
      </c>
      <c r="M76" s="33" t="n">
        <f>43470</f>
        <v>43470.0</v>
      </c>
      <c r="N76" s="34" t="s">
        <v>51</v>
      </c>
      <c r="O76" s="33" t="n">
        <f>40200</f>
        <v>40200.0</v>
      </c>
      <c r="P76" s="34" t="s">
        <v>50</v>
      </c>
      <c r="Q76" s="33" t="n">
        <f>43470</f>
        <v>43470.0</v>
      </c>
      <c r="R76" s="34" t="s">
        <v>51</v>
      </c>
      <c r="S76" s="35" t="n">
        <f>42010</f>
        <v>42010.0</v>
      </c>
      <c r="T76" s="32" t="n">
        <f>15101</f>
        <v>15101.0</v>
      </c>
      <c r="U76" s="32" t="n">
        <f>30</f>
        <v>30.0</v>
      </c>
      <c r="V76" s="32" t="n">
        <f>632750440</f>
        <v>6.3275044E8</v>
      </c>
      <c r="W76" s="32" t="n">
        <f>1242020</f>
        <v>1242020.0</v>
      </c>
      <c r="X76" s="36" t="n">
        <f>20</f>
        <v>20.0</v>
      </c>
    </row>
    <row r="77">
      <c r="A77" s="27" t="s">
        <v>42</v>
      </c>
      <c r="B77" s="27" t="s">
        <v>272</v>
      </c>
      <c r="C77" s="27" t="s">
        <v>273</v>
      </c>
      <c r="D77" s="27" t="s">
        <v>274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31930</f>
        <v>31930.0</v>
      </c>
      <c r="L77" s="34" t="s">
        <v>48</v>
      </c>
      <c r="M77" s="33" t="n">
        <f>31980</f>
        <v>31980.0</v>
      </c>
      <c r="N77" s="34" t="s">
        <v>48</v>
      </c>
      <c r="O77" s="33" t="n">
        <f>28375</f>
        <v>28375.0</v>
      </c>
      <c r="P77" s="34" t="s">
        <v>50</v>
      </c>
      <c r="Q77" s="33" t="n">
        <f>28700</f>
        <v>28700.0</v>
      </c>
      <c r="R77" s="34" t="s">
        <v>51</v>
      </c>
      <c r="S77" s="35" t="n">
        <f>30057.25</f>
        <v>30057.25</v>
      </c>
      <c r="T77" s="32" t="n">
        <f>780890</f>
        <v>780890.0</v>
      </c>
      <c r="U77" s="32" t="n">
        <f>45154</f>
        <v>45154.0</v>
      </c>
      <c r="V77" s="32" t="n">
        <f>23431916513</f>
        <v>2.3431916513E10</v>
      </c>
      <c r="W77" s="32" t="n">
        <f>1335791158</f>
        <v>1.335791158E9</v>
      </c>
      <c r="X77" s="36" t="n">
        <f>20</f>
        <v>20.0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64320</f>
        <v>64320.0</v>
      </c>
      <c r="L78" s="34" t="s">
        <v>48</v>
      </c>
      <c r="M78" s="33" t="n">
        <f>64580</f>
        <v>64580.0</v>
      </c>
      <c r="N78" s="34" t="s">
        <v>48</v>
      </c>
      <c r="O78" s="33" t="n">
        <f>59210</f>
        <v>59210.0</v>
      </c>
      <c r="P78" s="34" t="s">
        <v>71</v>
      </c>
      <c r="Q78" s="33" t="n">
        <f>60240</f>
        <v>60240.0</v>
      </c>
      <c r="R78" s="34" t="s">
        <v>51</v>
      </c>
      <c r="S78" s="35" t="n">
        <f>61583</f>
        <v>61583.0</v>
      </c>
      <c r="T78" s="32" t="n">
        <f>58842</f>
        <v>58842.0</v>
      </c>
      <c r="U78" s="32" t="n">
        <f>10268</f>
        <v>10268.0</v>
      </c>
      <c r="V78" s="32" t="n">
        <f>3612636128</f>
        <v>3.612636128E9</v>
      </c>
      <c r="W78" s="32" t="n">
        <f>635172728</f>
        <v>6.35172728E8</v>
      </c>
      <c r="X78" s="36" t="n">
        <f>20</f>
        <v>20.0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9743</f>
        <v>9743.0</v>
      </c>
      <c r="L79" s="34" t="s">
        <v>48</v>
      </c>
      <c r="M79" s="33" t="n">
        <f>9748</f>
        <v>9748.0</v>
      </c>
      <c r="N79" s="34" t="s">
        <v>48</v>
      </c>
      <c r="O79" s="33" t="n">
        <f>8828</f>
        <v>8828.0</v>
      </c>
      <c r="P79" s="34" t="s">
        <v>50</v>
      </c>
      <c r="Q79" s="33" t="n">
        <f>8942</f>
        <v>8942.0</v>
      </c>
      <c r="R79" s="34" t="s">
        <v>51</v>
      </c>
      <c r="S79" s="35" t="n">
        <f>9233.6</f>
        <v>9233.6</v>
      </c>
      <c r="T79" s="32" t="n">
        <f>975690</f>
        <v>975690.0</v>
      </c>
      <c r="U79" s="32" t="n">
        <f>94510</f>
        <v>94510.0</v>
      </c>
      <c r="V79" s="32" t="n">
        <f>8964941880</f>
        <v>8.96494188E9</v>
      </c>
      <c r="W79" s="32" t="n">
        <f>876297980</f>
        <v>8.7629798E8</v>
      </c>
      <c r="X79" s="36" t="n">
        <f>20</f>
        <v>20.0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5993</f>
        <v>5993.0</v>
      </c>
      <c r="L80" s="34" t="s">
        <v>48</v>
      </c>
      <c r="M80" s="33" t="n">
        <f>5993</f>
        <v>5993.0</v>
      </c>
      <c r="N80" s="34" t="s">
        <v>48</v>
      </c>
      <c r="O80" s="33" t="n">
        <f>5508</f>
        <v>5508.0</v>
      </c>
      <c r="P80" s="34" t="s">
        <v>50</v>
      </c>
      <c r="Q80" s="33" t="n">
        <f>5601</f>
        <v>5601.0</v>
      </c>
      <c r="R80" s="34" t="s">
        <v>51</v>
      </c>
      <c r="S80" s="35" t="n">
        <f>5748.55</f>
        <v>5748.55</v>
      </c>
      <c r="T80" s="32" t="n">
        <f>211890</f>
        <v>211890.0</v>
      </c>
      <c r="U80" s="32" t="n">
        <f>31740</f>
        <v>31740.0</v>
      </c>
      <c r="V80" s="32" t="n">
        <f>1213012542</f>
        <v>1.213012542E9</v>
      </c>
      <c r="W80" s="32" t="n">
        <f>184290792</f>
        <v>1.84290792E8</v>
      </c>
      <c r="X80" s="36" t="n">
        <f>20</f>
        <v>20.0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5319</f>
        <v>5319.0</v>
      </c>
      <c r="L81" s="34" t="s">
        <v>48</v>
      </c>
      <c r="M81" s="33" t="n">
        <f>5498</f>
        <v>5498.0</v>
      </c>
      <c r="N81" s="34" t="s">
        <v>72</v>
      </c>
      <c r="O81" s="33" t="n">
        <f>5127</f>
        <v>5127.0</v>
      </c>
      <c r="P81" s="34" t="s">
        <v>50</v>
      </c>
      <c r="Q81" s="33" t="n">
        <f>5395</f>
        <v>5395.0</v>
      </c>
      <c r="R81" s="34" t="s">
        <v>51</v>
      </c>
      <c r="S81" s="35" t="n">
        <f>5343.65</f>
        <v>5343.65</v>
      </c>
      <c r="T81" s="32" t="n">
        <f>9150</f>
        <v>9150.0</v>
      </c>
      <c r="U81" s="32" t="str">
        <f>"－"</f>
        <v>－</v>
      </c>
      <c r="V81" s="32" t="n">
        <f>49046040</f>
        <v>4.904604E7</v>
      </c>
      <c r="W81" s="32" t="str">
        <f>"－"</f>
        <v>－</v>
      </c>
      <c r="X81" s="36" t="n">
        <f>20</f>
        <v>20.0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4893</f>
        <v>4893.0</v>
      </c>
      <c r="L82" s="34" t="s">
        <v>48</v>
      </c>
      <c r="M82" s="33" t="n">
        <f>4893</f>
        <v>4893.0</v>
      </c>
      <c r="N82" s="34" t="s">
        <v>48</v>
      </c>
      <c r="O82" s="33" t="n">
        <f>4523</f>
        <v>4523.0</v>
      </c>
      <c r="P82" s="34" t="s">
        <v>50</v>
      </c>
      <c r="Q82" s="33" t="n">
        <f>4589</f>
        <v>4589.0</v>
      </c>
      <c r="R82" s="34" t="s">
        <v>51</v>
      </c>
      <c r="S82" s="35" t="n">
        <f>4719.75</f>
        <v>4719.75</v>
      </c>
      <c r="T82" s="32" t="n">
        <f>89020</f>
        <v>89020.0</v>
      </c>
      <c r="U82" s="32" t="str">
        <f>"－"</f>
        <v>－</v>
      </c>
      <c r="V82" s="32" t="n">
        <f>419540370</f>
        <v>4.1954037E8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2115.5</f>
        <v>2115.5</v>
      </c>
      <c r="L83" s="34" t="s">
        <v>48</v>
      </c>
      <c r="M83" s="33" t="n">
        <f>2148.5</f>
        <v>2148.5</v>
      </c>
      <c r="N83" s="34" t="s">
        <v>49</v>
      </c>
      <c r="O83" s="33" t="n">
        <f>1993</f>
        <v>1993.0</v>
      </c>
      <c r="P83" s="34" t="s">
        <v>51</v>
      </c>
      <c r="Q83" s="33" t="n">
        <f>2001.5</f>
        <v>2001.5</v>
      </c>
      <c r="R83" s="34" t="s">
        <v>51</v>
      </c>
      <c r="S83" s="35" t="n">
        <f>2074.38</f>
        <v>2074.38</v>
      </c>
      <c r="T83" s="32" t="n">
        <f>119310</f>
        <v>119310.0</v>
      </c>
      <c r="U83" s="32" t="n">
        <f>51000</f>
        <v>51000.0</v>
      </c>
      <c r="V83" s="32" t="n">
        <f>247969835</f>
        <v>2.47969835E8</v>
      </c>
      <c r="W83" s="32" t="n">
        <f>106136100</f>
        <v>1.061361E8</v>
      </c>
      <c r="X83" s="36" t="n">
        <f>20</f>
        <v>20.0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89660</f>
        <v>89660.0</v>
      </c>
      <c r="L84" s="34" t="s">
        <v>48</v>
      </c>
      <c r="M84" s="33" t="n">
        <f>89700</f>
        <v>89700.0</v>
      </c>
      <c r="N84" s="34" t="s">
        <v>48</v>
      </c>
      <c r="O84" s="33" t="n">
        <f>81260</f>
        <v>81260.0</v>
      </c>
      <c r="P84" s="34" t="s">
        <v>50</v>
      </c>
      <c r="Q84" s="33" t="n">
        <f>82120</f>
        <v>82120.0</v>
      </c>
      <c r="R84" s="34" t="s">
        <v>51</v>
      </c>
      <c r="S84" s="35" t="n">
        <f>84894.5</f>
        <v>84894.5</v>
      </c>
      <c r="T84" s="32" t="n">
        <f>67609</f>
        <v>67609.0</v>
      </c>
      <c r="U84" s="32" t="n">
        <f>355</f>
        <v>355.0</v>
      </c>
      <c r="V84" s="32" t="n">
        <f>5746674222</f>
        <v>5.746674222E9</v>
      </c>
      <c r="W84" s="32" t="n">
        <f>29360292</f>
        <v>2.9360292E7</v>
      </c>
      <c r="X84" s="36" t="n">
        <f>20</f>
        <v>20.0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3370</f>
        <v>3370.0</v>
      </c>
      <c r="L85" s="34" t="s">
        <v>48</v>
      </c>
      <c r="M85" s="33" t="n">
        <f>3395</f>
        <v>3395.0</v>
      </c>
      <c r="N85" s="34" t="s">
        <v>212</v>
      </c>
      <c r="O85" s="33" t="n">
        <f>3070</f>
        <v>3070.0</v>
      </c>
      <c r="P85" s="34" t="s">
        <v>299</v>
      </c>
      <c r="Q85" s="33" t="n">
        <f>3155</f>
        <v>3155.0</v>
      </c>
      <c r="R85" s="34" t="s">
        <v>51</v>
      </c>
      <c r="S85" s="35" t="n">
        <f>3206.5</f>
        <v>3206.5</v>
      </c>
      <c r="T85" s="32" t="n">
        <f>15918</f>
        <v>15918.0</v>
      </c>
      <c r="U85" s="32" t="str">
        <f>"－"</f>
        <v>－</v>
      </c>
      <c r="V85" s="32" t="n">
        <f>50847790</f>
        <v>5.084779E7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300</v>
      </c>
      <c r="C86" s="27" t="s">
        <v>301</v>
      </c>
      <c r="D86" s="27" t="s">
        <v>302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5260</f>
        <v>5260.0</v>
      </c>
      <c r="L86" s="34" t="s">
        <v>48</v>
      </c>
      <c r="M86" s="33" t="n">
        <f>5290</f>
        <v>5290.0</v>
      </c>
      <c r="N86" s="34" t="s">
        <v>303</v>
      </c>
      <c r="O86" s="33" t="n">
        <f>5050</f>
        <v>5050.0</v>
      </c>
      <c r="P86" s="34" t="s">
        <v>304</v>
      </c>
      <c r="Q86" s="33" t="n">
        <f>5150</f>
        <v>5150.0</v>
      </c>
      <c r="R86" s="34" t="s">
        <v>51</v>
      </c>
      <c r="S86" s="35" t="n">
        <f>5198.5</f>
        <v>5198.5</v>
      </c>
      <c r="T86" s="32" t="n">
        <f>5785</f>
        <v>5785.0</v>
      </c>
      <c r="U86" s="32" t="str">
        <f>"－"</f>
        <v>－</v>
      </c>
      <c r="V86" s="32" t="n">
        <f>30000690</f>
        <v>3.000069E7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2404</f>
        <v>2404.0</v>
      </c>
      <c r="L87" s="34" t="s">
        <v>48</v>
      </c>
      <c r="M87" s="33" t="n">
        <f>2417</f>
        <v>2417.0</v>
      </c>
      <c r="N87" s="34" t="s">
        <v>48</v>
      </c>
      <c r="O87" s="33" t="n">
        <f>2155</f>
        <v>2155.0</v>
      </c>
      <c r="P87" s="34" t="s">
        <v>50</v>
      </c>
      <c r="Q87" s="33" t="n">
        <f>2198</f>
        <v>2198.0</v>
      </c>
      <c r="R87" s="34" t="s">
        <v>51</v>
      </c>
      <c r="S87" s="35" t="n">
        <f>2278.65</f>
        <v>2278.65</v>
      </c>
      <c r="T87" s="32" t="n">
        <f>581454</f>
        <v>581454.0</v>
      </c>
      <c r="U87" s="32" t="n">
        <f>30330</f>
        <v>30330.0</v>
      </c>
      <c r="V87" s="32" t="n">
        <f>1316528579</f>
        <v>1.316528579E9</v>
      </c>
      <c r="W87" s="32" t="n">
        <f>68954762</f>
        <v>6.8954762E7</v>
      </c>
      <c r="X87" s="36" t="n">
        <f>20</f>
        <v>20.0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48920</f>
        <v>48920.0</v>
      </c>
      <c r="L88" s="34" t="s">
        <v>48</v>
      </c>
      <c r="M88" s="33" t="n">
        <f>49060</f>
        <v>49060.0</v>
      </c>
      <c r="N88" s="34" t="s">
        <v>48</v>
      </c>
      <c r="O88" s="33" t="n">
        <f>47410</f>
        <v>47410.0</v>
      </c>
      <c r="P88" s="34" t="s">
        <v>50</v>
      </c>
      <c r="Q88" s="33" t="n">
        <f>47860</f>
        <v>47860.0</v>
      </c>
      <c r="R88" s="34" t="s">
        <v>51</v>
      </c>
      <c r="S88" s="35" t="n">
        <f>48270</f>
        <v>48270.0</v>
      </c>
      <c r="T88" s="32" t="n">
        <f>11586</f>
        <v>11586.0</v>
      </c>
      <c r="U88" s="32" t="n">
        <f>484</f>
        <v>484.0</v>
      </c>
      <c r="V88" s="32" t="n">
        <f>559451226</f>
        <v>5.59451226E8</v>
      </c>
      <c r="W88" s="32" t="n">
        <f>23358666</f>
        <v>2.3358666E7</v>
      </c>
      <c r="X88" s="36" t="n">
        <f>20</f>
        <v>20.0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457.9</f>
        <v>457.9</v>
      </c>
      <c r="L89" s="34" t="s">
        <v>48</v>
      </c>
      <c r="M89" s="33" t="n">
        <f>493.3</f>
        <v>493.3</v>
      </c>
      <c r="N89" s="34" t="s">
        <v>49</v>
      </c>
      <c r="O89" s="33" t="n">
        <f>424.6</f>
        <v>424.6</v>
      </c>
      <c r="P89" s="34" t="s">
        <v>50</v>
      </c>
      <c r="Q89" s="33" t="n">
        <f>447</f>
        <v>447.0</v>
      </c>
      <c r="R89" s="34" t="s">
        <v>51</v>
      </c>
      <c r="S89" s="35" t="n">
        <f>467.13</f>
        <v>467.13</v>
      </c>
      <c r="T89" s="32" t="n">
        <f>159043900</f>
        <v>1.590439E8</v>
      </c>
      <c r="U89" s="32" t="n">
        <f>2130</f>
        <v>2130.0</v>
      </c>
      <c r="V89" s="32" t="n">
        <f>74033526436</f>
        <v>7.4033526436E10</v>
      </c>
      <c r="W89" s="32" t="n">
        <f>988110</f>
        <v>988110.0</v>
      </c>
      <c r="X89" s="36" t="n">
        <f>20</f>
        <v>20.0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1238.5</f>
        <v>1238.5</v>
      </c>
      <c r="L90" s="34" t="s">
        <v>48</v>
      </c>
      <c r="M90" s="33" t="n">
        <f>1280.5</f>
        <v>1280.5</v>
      </c>
      <c r="N90" s="34" t="s">
        <v>50</v>
      </c>
      <c r="O90" s="33" t="n">
        <f>1190</f>
        <v>1190.0</v>
      </c>
      <c r="P90" s="34" t="s">
        <v>49</v>
      </c>
      <c r="Q90" s="33" t="n">
        <f>1250.5</f>
        <v>1250.5</v>
      </c>
      <c r="R90" s="34" t="s">
        <v>51</v>
      </c>
      <c r="S90" s="35" t="n">
        <f>1224.05</f>
        <v>1224.05</v>
      </c>
      <c r="T90" s="32" t="n">
        <f>3802650</f>
        <v>3802650.0</v>
      </c>
      <c r="U90" s="32" t="n">
        <f>3253510</f>
        <v>3253510.0</v>
      </c>
      <c r="V90" s="32" t="n">
        <f>4616915884</f>
        <v>4.616915884E9</v>
      </c>
      <c r="W90" s="32" t="n">
        <f>3938912624</f>
        <v>3.938912624E9</v>
      </c>
      <c r="X90" s="36" t="n">
        <f>20</f>
        <v>20.0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24895</f>
        <v>24895.0</v>
      </c>
      <c r="L91" s="34" t="s">
        <v>48</v>
      </c>
      <c r="M91" s="33" t="n">
        <f>25590</f>
        <v>25590.0</v>
      </c>
      <c r="N91" s="34" t="s">
        <v>49</v>
      </c>
      <c r="O91" s="33" t="n">
        <f>22440</f>
        <v>22440.0</v>
      </c>
      <c r="P91" s="34" t="s">
        <v>51</v>
      </c>
      <c r="Q91" s="33" t="n">
        <f>22580</f>
        <v>22580.0</v>
      </c>
      <c r="R91" s="34" t="s">
        <v>51</v>
      </c>
      <c r="S91" s="35" t="n">
        <f>24445.25</f>
        <v>24445.25</v>
      </c>
      <c r="T91" s="32" t="n">
        <f>95611783</f>
        <v>9.5611783E7</v>
      </c>
      <c r="U91" s="32" t="n">
        <f>440380</f>
        <v>440380.0</v>
      </c>
      <c r="V91" s="32" t="n">
        <f>2323071838109</f>
        <v>2.323071838109E12</v>
      </c>
      <c r="W91" s="32" t="n">
        <f>10659364994</f>
        <v>1.0659364994E10</v>
      </c>
      <c r="X91" s="36" t="n">
        <f>20</f>
        <v>20.0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596</f>
        <v>596.0</v>
      </c>
      <c r="L92" s="34" t="s">
        <v>48</v>
      </c>
      <c r="M92" s="33" t="n">
        <f>626</f>
        <v>626.0</v>
      </c>
      <c r="N92" s="34" t="s">
        <v>51</v>
      </c>
      <c r="O92" s="33" t="n">
        <f>587</f>
        <v>587.0</v>
      </c>
      <c r="P92" s="34" t="s">
        <v>49</v>
      </c>
      <c r="Q92" s="33" t="n">
        <f>623</f>
        <v>623.0</v>
      </c>
      <c r="R92" s="34" t="s">
        <v>51</v>
      </c>
      <c r="S92" s="35" t="n">
        <f>602</f>
        <v>602.0</v>
      </c>
      <c r="T92" s="32" t="n">
        <f>29462924</f>
        <v>2.9462924E7</v>
      </c>
      <c r="U92" s="32" t="n">
        <f>1266538</f>
        <v>1266538.0</v>
      </c>
      <c r="V92" s="32" t="n">
        <f>17721180549</f>
        <v>1.7721180549E10</v>
      </c>
      <c r="W92" s="32" t="n">
        <f>775634376</f>
        <v>7.75634376E8</v>
      </c>
      <c r="X92" s="36" t="n">
        <f>20</f>
        <v>20.0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7180</f>
        <v>7180.0</v>
      </c>
      <c r="L93" s="34" t="s">
        <v>48</v>
      </c>
      <c r="M93" s="33" t="n">
        <f>8375</f>
        <v>8375.0</v>
      </c>
      <c r="N93" s="34" t="s">
        <v>70</v>
      </c>
      <c r="O93" s="33" t="n">
        <f>6631</f>
        <v>6631.0</v>
      </c>
      <c r="P93" s="34" t="s">
        <v>62</v>
      </c>
      <c r="Q93" s="33" t="n">
        <f>7089</f>
        <v>7089.0</v>
      </c>
      <c r="R93" s="34" t="s">
        <v>51</v>
      </c>
      <c r="S93" s="35" t="n">
        <f>7512.85</f>
        <v>7512.85</v>
      </c>
      <c r="T93" s="32" t="n">
        <f>551420</f>
        <v>551420.0</v>
      </c>
      <c r="U93" s="32" t="n">
        <f>20</f>
        <v>20.0</v>
      </c>
      <c r="V93" s="32" t="n">
        <f>4134477120</f>
        <v>4.13447712E9</v>
      </c>
      <c r="W93" s="32" t="n">
        <f>154760</f>
        <v>154760.0</v>
      </c>
      <c r="X93" s="36" t="n">
        <f>20</f>
        <v>20.0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8375</f>
        <v>8375.0</v>
      </c>
      <c r="L94" s="34" t="s">
        <v>48</v>
      </c>
      <c r="M94" s="33" t="n">
        <f>8649</f>
        <v>8649.0</v>
      </c>
      <c r="N94" s="34" t="s">
        <v>62</v>
      </c>
      <c r="O94" s="33" t="n">
        <f>7701</f>
        <v>7701.0</v>
      </c>
      <c r="P94" s="34" t="s">
        <v>303</v>
      </c>
      <c r="Q94" s="33" t="n">
        <f>8300</f>
        <v>8300.0</v>
      </c>
      <c r="R94" s="34" t="s">
        <v>51</v>
      </c>
      <c r="S94" s="35" t="n">
        <f>8137.7</f>
        <v>8137.7</v>
      </c>
      <c r="T94" s="32" t="n">
        <f>100580</f>
        <v>100580.0</v>
      </c>
      <c r="U94" s="32" t="n">
        <f>130</f>
        <v>130.0</v>
      </c>
      <c r="V94" s="32" t="n">
        <f>817359260</f>
        <v>8.1735926E8</v>
      </c>
      <c r="W94" s="32" t="n">
        <f>1048280</f>
        <v>1048280.0</v>
      </c>
      <c r="X94" s="36" t="n">
        <f>20</f>
        <v>20.0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38580</f>
        <v>38580.0</v>
      </c>
      <c r="L95" s="34" t="s">
        <v>48</v>
      </c>
      <c r="M95" s="33" t="n">
        <f>40400</f>
        <v>40400.0</v>
      </c>
      <c r="N95" s="34" t="s">
        <v>49</v>
      </c>
      <c r="O95" s="33" t="n">
        <f>37600</f>
        <v>37600.0</v>
      </c>
      <c r="P95" s="34" t="s">
        <v>50</v>
      </c>
      <c r="Q95" s="33" t="n">
        <f>38740</f>
        <v>38740.0</v>
      </c>
      <c r="R95" s="34" t="s">
        <v>51</v>
      </c>
      <c r="S95" s="35" t="n">
        <f>39213.5</f>
        <v>39213.5</v>
      </c>
      <c r="T95" s="32" t="n">
        <f>83394</f>
        <v>83394.0</v>
      </c>
      <c r="U95" s="32" t="n">
        <f>29310</f>
        <v>29310.0</v>
      </c>
      <c r="V95" s="32" t="n">
        <f>3265331318</f>
        <v>3.265331318E9</v>
      </c>
      <c r="W95" s="32" t="n">
        <f>1146420468</f>
        <v>1.146420468E9</v>
      </c>
      <c r="X95" s="36" t="n">
        <f>20</f>
        <v>20.0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3005</f>
        <v>3005.0</v>
      </c>
      <c r="L96" s="34" t="s">
        <v>48</v>
      </c>
      <c r="M96" s="33" t="n">
        <f>3050</f>
        <v>3050.0</v>
      </c>
      <c r="N96" s="34" t="s">
        <v>49</v>
      </c>
      <c r="O96" s="33" t="n">
        <f>2856</f>
        <v>2856.0</v>
      </c>
      <c r="P96" s="34" t="s">
        <v>51</v>
      </c>
      <c r="Q96" s="33" t="n">
        <f>2875</f>
        <v>2875.0</v>
      </c>
      <c r="R96" s="34" t="s">
        <v>51</v>
      </c>
      <c r="S96" s="35" t="n">
        <f>2979.6</f>
        <v>2979.6</v>
      </c>
      <c r="T96" s="32" t="n">
        <f>316956</f>
        <v>316956.0</v>
      </c>
      <c r="U96" s="32" t="n">
        <f>329</f>
        <v>329.0</v>
      </c>
      <c r="V96" s="32" t="n">
        <f>941149035</f>
        <v>9.41149035E8</v>
      </c>
      <c r="W96" s="32" t="n">
        <f>974089</f>
        <v>974089.0</v>
      </c>
      <c r="X96" s="36" t="n">
        <f>20</f>
        <v>20.0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268.4</f>
        <v>268.4</v>
      </c>
      <c r="L97" s="34" t="s">
        <v>48</v>
      </c>
      <c r="M97" s="33" t="n">
        <f>275.1</f>
        <v>275.1</v>
      </c>
      <c r="N97" s="34" t="s">
        <v>49</v>
      </c>
      <c r="O97" s="33" t="n">
        <f>241.4</f>
        <v>241.4</v>
      </c>
      <c r="P97" s="34" t="s">
        <v>51</v>
      </c>
      <c r="Q97" s="33" t="n">
        <f>242.8</f>
        <v>242.8</v>
      </c>
      <c r="R97" s="34" t="s">
        <v>51</v>
      </c>
      <c r="S97" s="35" t="n">
        <f>262.78</f>
        <v>262.78</v>
      </c>
      <c r="T97" s="32" t="n">
        <f>807399090</f>
        <v>8.0739909E8</v>
      </c>
      <c r="U97" s="32" t="n">
        <f>20132990</f>
        <v>2.013299E7</v>
      </c>
      <c r="V97" s="32" t="n">
        <f>210503192197</f>
        <v>2.10503192197E11</v>
      </c>
      <c r="W97" s="32" t="n">
        <f>5261312300</f>
        <v>5.2613123E9</v>
      </c>
      <c r="X97" s="36" t="n">
        <f>20</f>
        <v>20.0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1584</f>
        <v>1584.0</v>
      </c>
      <c r="L98" s="34" t="s">
        <v>48</v>
      </c>
      <c r="M98" s="33" t="n">
        <f>1661.5</f>
        <v>1661.5</v>
      </c>
      <c r="N98" s="34" t="s">
        <v>51</v>
      </c>
      <c r="O98" s="33" t="n">
        <f>1560</f>
        <v>1560.0</v>
      </c>
      <c r="P98" s="34" t="s">
        <v>49</v>
      </c>
      <c r="Q98" s="33" t="n">
        <f>1659</f>
        <v>1659.0</v>
      </c>
      <c r="R98" s="34" t="s">
        <v>51</v>
      </c>
      <c r="S98" s="35" t="n">
        <f>1598.13</f>
        <v>1598.13</v>
      </c>
      <c r="T98" s="32" t="n">
        <f>6765070</f>
        <v>6765070.0</v>
      </c>
      <c r="U98" s="32" t="n">
        <f>214160</f>
        <v>214160.0</v>
      </c>
      <c r="V98" s="32" t="n">
        <f>10836012898</f>
        <v>1.0836012898E10</v>
      </c>
      <c r="W98" s="32" t="n">
        <f>343411978</f>
        <v>3.43411978E8</v>
      </c>
      <c r="X98" s="36" t="n">
        <f>20</f>
        <v>20.0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1806</f>
        <v>1806.0</v>
      </c>
      <c r="L99" s="34" t="s">
        <v>48</v>
      </c>
      <c r="M99" s="33" t="n">
        <f>1890</f>
        <v>1890.0</v>
      </c>
      <c r="N99" s="34" t="s">
        <v>49</v>
      </c>
      <c r="O99" s="33" t="n">
        <f>1787</f>
        <v>1787.0</v>
      </c>
      <c r="P99" s="34" t="s">
        <v>50</v>
      </c>
      <c r="Q99" s="33" t="n">
        <f>1827.5</f>
        <v>1827.5</v>
      </c>
      <c r="R99" s="34" t="s">
        <v>51</v>
      </c>
      <c r="S99" s="35" t="n">
        <f>1845.16</f>
        <v>1845.16</v>
      </c>
      <c r="T99" s="32" t="n">
        <f>394160</f>
        <v>394160.0</v>
      </c>
      <c r="U99" s="32" t="n">
        <f>390240</f>
        <v>390240.0</v>
      </c>
      <c r="V99" s="32" t="n">
        <f>737950754</f>
        <v>7.37950754E8</v>
      </c>
      <c r="W99" s="32" t="n">
        <f>730717924</f>
        <v>7.30717924E8</v>
      </c>
      <c r="X99" s="36" t="n">
        <f>16</f>
        <v>16.0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2135</f>
        <v>2135.0</v>
      </c>
      <c r="L100" s="34" t="s">
        <v>48</v>
      </c>
      <c r="M100" s="33" t="n">
        <f>2201</f>
        <v>2201.0</v>
      </c>
      <c r="N100" s="34" t="s">
        <v>49</v>
      </c>
      <c r="O100" s="33" t="n">
        <f>2065</f>
        <v>2065.0</v>
      </c>
      <c r="P100" s="34" t="s">
        <v>50</v>
      </c>
      <c r="Q100" s="33" t="n">
        <f>2095</f>
        <v>2095.0</v>
      </c>
      <c r="R100" s="34" t="s">
        <v>51</v>
      </c>
      <c r="S100" s="35" t="n">
        <f>2142.85</f>
        <v>2142.85</v>
      </c>
      <c r="T100" s="32" t="n">
        <f>1841</f>
        <v>1841.0</v>
      </c>
      <c r="U100" s="32" t="str">
        <f>"－"</f>
        <v>－</v>
      </c>
      <c r="V100" s="32" t="n">
        <f>3948193</f>
        <v>3948193.0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24600</f>
        <v>24600.0</v>
      </c>
      <c r="L101" s="34" t="s">
        <v>48</v>
      </c>
      <c r="M101" s="33" t="n">
        <f>25695</f>
        <v>25695.0</v>
      </c>
      <c r="N101" s="34" t="s">
        <v>66</v>
      </c>
      <c r="O101" s="33" t="n">
        <f>23870</f>
        <v>23870.0</v>
      </c>
      <c r="P101" s="34" t="s">
        <v>50</v>
      </c>
      <c r="Q101" s="33" t="n">
        <f>25490</f>
        <v>25490.0</v>
      </c>
      <c r="R101" s="34" t="s">
        <v>51</v>
      </c>
      <c r="S101" s="35" t="n">
        <f>25040.25</f>
        <v>25040.25</v>
      </c>
      <c r="T101" s="32" t="n">
        <f>55417</f>
        <v>55417.0</v>
      </c>
      <c r="U101" s="32" t="n">
        <f>27086</f>
        <v>27086.0</v>
      </c>
      <c r="V101" s="32" t="n">
        <f>1381450722</f>
        <v>1.381450722E9</v>
      </c>
      <c r="W101" s="32" t="n">
        <f>672684547</f>
        <v>6.72684547E8</v>
      </c>
      <c r="X101" s="36" t="n">
        <f>20</f>
        <v>20.0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2228</f>
        <v>2228.0</v>
      </c>
      <c r="L102" s="34" t="s">
        <v>48</v>
      </c>
      <c r="M102" s="33" t="n">
        <f>2340</f>
        <v>2340.0</v>
      </c>
      <c r="N102" s="34" t="s">
        <v>205</v>
      </c>
      <c r="O102" s="33" t="n">
        <f>2175</f>
        <v>2175.0</v>
      </c>
      <c r="P102" s="34" t="s">
        <v>50</v>
      </c>
      <c r="Q102" s="33" t="n">
        <f>2325</f>
        <v>2325.0</v>
      </c>
      <c r="R102" s="34" t="s">
        <v>51</v>
      </c>
      <c r="S102" s="35" t="n">
        <f>2281.55</f>
        <v>2281.55</v>
      </c>
      <c r="T102" s="32" t="n">
        <f>58167</f>
        <v>58167.0</v>
      </c>
      <c r="U102" s="32" t="str">
        <f>"－"</f>
        <v>－</v>
      </c>
      <c r="V102" s="32" t="n">
        <f>132331680</f>
        <v>1.3233168E8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25425</f>
        <v>25425.0</v>
      </c>
      <c r="L103" s="34" t="s">
        <v>48</v>
      </c>
      <c r="M103" s="33" t="n">
        <f>26185</f>
        <v>26185.0</v>
      </c>
      <c r="N103" s="34" t="s">
        <v>49</v>
      </c>
      <c r="O103" s="33" t="n">
        <f>24360</f>
        <v>24360.0</v>
      </c>
      <c r="P103" s="34" t="s">
        <v>50</v>
      </c>
      <c r="Q103" s="33" t="n">
        <f>25015</f>
        <v>25015.0</v>
      </c>
      <c r="R103" s="34" t="s">
        <v>51</v>
      </c>
      <c r="S103" s="35" t="n">
        <f>25492</f>
        <v>25492.0</v>
      </c>
      <c r="T103" s="32" t="n">
        <f>10214</f>
        <v>10214.0</v>
      </c>
      <c r="U103" s="32" t="n">
        <f>2801</f>
        <v>2801.0</v>
      </c>
      <c r="V103" s="32" t="n">
        <f>258562898</f>
        <v>2.58562898E8</v>
      </c>
      <c r="W103" s="32" t="n">
        <f>70629548</f>
        <v>7.0629548E7</v>
      </c>
      <c r="X103" s="36" t="n">
        <f>20</f>
        <v>20.0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1745.5</f>
        <v>1745.5</v>
      </c>
      <c r="L104" s="34" t="s">
        <v>48</v>
      </c>
      <c r="M104" s="33" t="n">
        <f>1779</f>
        <v>1779.0</v>
      </c>
      <c r="N104" s="34" t="s">
        <v>72</v>
      </c>
      <c r="O104" s="33" t="n">
        <f>1685</f>
        <v>1685.0</v>
      </c>
      <c r="P104" s="34" t="s">
        <v>50</v>
      </c>
      <c r="Q104" s="33" t="n">
        <f>1730</f>
        <v>1730.0</v>
      </c>
      <c r="R104" s="34" t="s">
        <v>51</v>
      </c>
      <c r="S104" s="35" t="n">
        <f>1733.15</f>
        <v>1733.15</v>
      </c>
      <c r="T104" s="32" t="n">
        <f>855450</f>
        <v>855450.0</v>
      </c>
      <c r="U104" s="32" t="n">
        <f>160000</f>
        <v>160000.0</v>
      </c>
      <c r="V104" s="32" t="n">
        <f>1480639935</f>
        <v>1.480639935E9</v>
      </c>
      <c r="W104" s="32" t="n">
        <f>276395020</f>
        <v>2.7639502E8</v>
      </c>
      <c r="X104" s="36" t="n">
        <f>20</f>
        <v>20.0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str">
        <f>"－"</f>
        <v>－</v>
      </c>
      <c r="L105" s="34"/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5" t="str">
        <f>"－"</f>
        <v>－</v>
      </c>
      <c r="T105" s="32" t="str">
        <f>"－"</f>
        <v>－</v>
      </c>
      <c r="U105" s="32" t="str">
        <f>"－"</f>
        <v>－</v>
      </c>
      <c r="V105" s="32" t="str">
        <f>"－"</f>
        <v>－</v>
      </c>
      <c r="W105" s="32" t="str">
        <f>"－"</f>
        <v>－</v>
      </c>
      <c r="X105" s="36" t="str">
        <f>"－"</f>
        <v>－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1770</f>
        <v>1770.0</v>
      </c>
      <c r="L106" s="34" t="s">
        <v>48</v>
      </c>
      <c r="M106" s="33" t="n">
        <f>1773</f>
        <v>1773.0</v>
      </c>
      <c r="N106" s="34" t="s">
        <v>48</v>
      </c>
      <c r="O106" s="33" t="n">
        <f>1677</f>
        <v>1677.0</v>
      </c>
      <c r="P106" s="34" t="s">
        <v>50</v>
      </c>
      <c r="Q106" s="33" t="n">
        <f>1736</f>
        <v>1736.0</v>
      </c>
      <c r="R106" s="34" t="s">
        <v>51</v>
      </c>
      <c r="S106" s="35" t="n">
        <f>1731.73</f>
        <v>1731.73</v>
      </c>
      <c r="T106" s="32" t="n">
        <f>4790520</f>
        <v>4790520.0</v>
      </c>
      <c r="U106" s="32" t="n">
        <f>2988430</f>
        <v>2988430.0</v>
      </c>
      <c r="V106" s="32" t="n">
        <f>8260438887</f>
        <v>8.260438887E9</v>
      </c>
      <c r="W106" s="32" t="n">
        <f>5143868232</f>
        <v>5.143868232E9</v>
      </c>
      <c r="X106" s="36" t="n">
        <f>20</f>
        <v>20.0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24975</f>
        <v>24975.0</v>
      </c>
      <c r="L107" s="34" t="s">
        <v>48</v>
      </c>
      <c r="M107" s="33" t="n">
        <f>26000</f>
        <v>26000.0</v>
      </c>
      <c r="N107" s="34" t="s">
        <v>85</v>
      </c>
      <c r="O107" s="33" t="n">
        <f>24200</f>
        <v>24200.0</v>
      </c>
      <c r="P107" s="34" t="s">
        <v>50</v>
      </c>
      <c r="Q107" s="33" t="n">
        <f>24735</f>
        <v>24735.0</v>
      </c>
      <c r="R107" s="34" t="s">
        <v>51</v>
      </c>
      <c r="S107" s="35" t="n">
        <f>25297.5</f>
        <v>25297.5</v>
      </c>
      <c r="T107" s="32" t="n">
        <f>5756</f>
        <v>5756.0</v>
      </c>
      <c r="U107" s="32" t="n">
        <f>4002</f>
        <v>4002.0</v>
      </c>
      <c r="V107" s="32" t="n">
        <f>143991120</f>
        <v>1.4399112E8</v>
      </c>
      <c r="W107" s="32" t="n">
        <f>100025070</f>
        <v>1.0002507E8</v>
      </c>
      <c r="X107" s="36" t="n">
        <f>20</f>
        <v>20.0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507</f>
        <v>507.0</v>
      </c>
      <c r="L108" s="34" t="s">
        <v>48</v>
      </c>
      <c r="M108" s="33" t="n">
        <f>526</f>
        <v>526.0</v>
      </c>
      <c r="N108" s="34" t="s">
        <v>49</v>
      </c>
      <c r="O108" s="33" t="n">
        <f>490.6</f>
        <v>490.6</v>
      </c>
      <c r="P108" s="34" t="s">
        <v>50</v>
      </c>
      <c r="Q108" s="33" t="n">
        <f>515.7</f>
        <v>515.7</v>
      </c>
      <c r="R108" s="34" t="s">
        <v>51</v>
      </c>
      <c r="S108" s="35" t="n">
        <f>513.72</f>
        <v>513.72</v>
      </c>
      <c r="T108" s="32" t="n">
        <f>369610</f>
        <v>369610.0</v>
      </c>
      <c r="U108" s="32" t="n">
        <f>2830</f>
        <v>2830.0</v>
      </c>
      <c r="V108" s="32" t="n">
        <f>188613559</f>
        <v>1.88613559E8</v>
      </c>
      <c r="W108" s="32" t="n">
        <f>1402241</f>
        <v>1402241.0</v>
      </c>
      <c r="X108" s="36" t="n">
        <f>20</f>
        <v>20.0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399.5</f>
        <v>399.5</v>
      </c>
      <c r="L109" s="34" t="s">
        <v>48</v>
      </c>
      <c r="M109" s="33" t="n">
        <f>443.9</f>
        <v>443.9</v>
      </c>
      <c r="N109" s="34" t="s">
        <v>155</v>
      </c>
      <c r="O109" s="33" t="n">
        <f>374.3</f>
        <v>374.3</v>
      </c>
      <c r="P109" s="34" t="s">
        <v>50</v>
      </c>
      <c r="Q109" s="33" t="n">
        <f>412</f>
        <v>412.0</v>
      </c>
      <c r="R109" s="34" t="s">
        <v>51</v>
      </c>
      <c r="S109" s="35" t="n">
        <f>413.21</f>
        <v>413.21</v>
      </c>
      <c r="T109" s="32" t="n">
        <f>96362000</f>
        <v>9.6362E7</v>
      </c>
      <c r="U109" s="32" t="n">
        <f>13305800</f>
        <v>1.33058E7</v>
      </c>
      <c r="V109" s="32" t="n">
        <f>39625425339</f>
        <v>3.9625425339E10</v>
      </c>
      <c r="W109" s="32" t="n">
        <f>5290784049</f>
        <v>5.290784049E9</v>
      </c>
      <c r="X109" s="36" t="n">
        <f>20</f>
        <v>20.0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36100</f>
        <v>36100.0</v>
      </c>
      <c r="L110" s="34" t="s">
        <v>48</v>
      </c>
      <c r="M110" s="33" t="n">
        <f>38000</f>
        <v>38000.0</v>
      </c>
      <c r="N110" s="34" t="s">
        <v>85</v>
      </c>
      <c r="O110" s="33" t="n">
        <f>35360</f>
        <v>35360.0</v>
      </c>
      <c r="P110" s="34" t="s">
        <v>62</v>
      </c>
      <c r="Q110" s="33" t="n">
        <f>37210</f>
        <v>37210.0</v>
      </c>
      <c r="R110" s="34" t="s">
        <v>51</v>
      </c>
      <c r="S110" s="35" t="n">
        <f>37008.5</f>
        <v>37008.5</v>
      </c>
      <c r="T110" s="32" t="n">
        <f>6713</f>
        <v>6713.0</v>
      </c>
      <c r="U110" s="32" t="n">
        <f>112</f>
        <v>112.0</v>
      </c>
      <c r="V110" s="32" t="n">
        <f>246721025</f>
        <v>2.46721025E8</v>
      </c>
      <c r="W110" s="32" t="n">
        <f>4091805</f>
        <v>4091805.0</v>
      </c>
      <c r="X110" s="36" t="n">
        <f>20</f>
        <v>20.0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21245</f>
        <v>21245.0</v>
      </c>
      <c r="L111" s="34" t="s">
        <v>48</v>
      </c>
      <c r="M111" s="33" t="n">
        <f>23020</f>
        <v>23020.0</v>
      </c>
      <c r="N111" s="34" t="s">
        <v>49</v>
      </c>
      <c r="O111" s="33" t="n">
        <f>20720</f>
        <v>20720.0</v>
      </c>
      <c r="P111" s="34" t="s">
        <v>62</v>
      </c>
      <c r="Q111" s="33" t="n">
        <f>21660</f>
        <v>21660.0</v>
      </c>
      <c r="R111" s="34" t="s">
        <v>51</v>
      </c>
      <c r="S111" s="35" t="n">
        <f>21924.25</f>
        <v>21924.25</v>
      </c>
      <c r="T111" s="32" t="n">
        <f>9969</f>
        <v>9969.0</v>
      </c>
      <c r="U111" s="32" t="n">
        <f>9</f>
        <v>9.0</v>
      </c>
      <c r="V111" s="32" t="n">
        <f>219681995</f>
        <v>2.19681995E8</v>
      </c>
      <c r="W111" s="32" t="n">
        <f>202250</f>
        <v>202250.0</v>
      </c>
      <c r="X111" s="36" t="n">
        <f>20</f>
        <v>20.0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31150</f>
        <v>31150.0</v>
      </c>
      <c r="L112" s="34" t="s">
        <v>48</v>
      </c>
      <c r="M112" s="33" t="n">
        <f>31930</f>
        <v>31930.0</v>
      </c>
      <c r="N112" s="34" t="s">
        <v>155</v>
      </c>
      <c r="O112" s="33" t="n">
        <f>30120</f>
        <v>30120.0</v>
      </c>
      <c r="P112" s="34" t="s">
        <v>50</v>
      </c>
      <c r="Q112" s="33" t="n">
        <f>31010</f>
        <v>31010.0</v>
      </c>
      <c r="R112" s="34" t="s">
        <v>51</v>
      </c>
      <c r="S112" s="35" t="n">
        <f>31244.5</f>
        <v>31244.5</v>
      </c>
      <c r="T112" s="32" t="n">
        <f>1842</f>
        <v>1842.0</v>
      </c>
      <c r="U112" s="32" t="str">
        <f>"－"</f>
        <v>－</v>
      </c>
      <c r="V112" s="32" t="n">
        <f>57501700</f>
        <v>5.75017E7</v>
      </c>
      <c r="W112" s="32" t="str">
        <f>"－"</f>
        <v>－</v>
      </c>
      <c r="X112" s="36" t="n">
        <f>20</f>
        <v>20.0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28080</f>
        <v>28080.0</v>
      </c>
      <c r="L113" s="34" t="s">
        <v>48</v>
      </c>
      <c r="M113" s="33" t="n">
        <f>28675</f>
        <v>28675.0</v>
      </c>
      <c r="N113" s="34" t="s">
        <v>70</v>
      </c>
      <c r="O113" s="33" t="n">
        <f>27350</f>
        <v>27350.0</v>
      </c>
      <c r="P113" s="34" t="s">
        <v>51</v>
      </c>
      <c r="Q113" s="33" t="n">
        <f>27385</f>
        <v>27385.0</v>
      </c>
      <c r="R113" s="34" t="s">
        <v>51</v>
      </c>
      <c r="S113" s="35" t="n">
        <f>28101.75</f>
        <v>28101.75</v>
      </c>
      <c r="T113" s="32" t="n">
        <f>2810</f>
        <v>2810.0</v>
      </c>
      <c r="U113" s="32" t="str">
        <f>"－"</f>
        <v>－</v>
      </c>
      <c r="V113" s="32" t="n">
        <f>78931320</f>
        <v>7.893132E7</v>
      </c>
      <c r="W113" s="32" t="str">
        <f>"－"</f>
        <v>－</v>
      </c>
      <c r="X113" s="36" t="n">
        <f>20</f>
        <v>20.0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25975</f>
        <v>25975.0</v>
      </c>
      <c r="L114" s="34" t="s">
        <v>48</v>
      </c>
      <c r="M114" s="33" t="n">
        <f>27000</f>
        <v>27000.0</v>
      </c>
      <c r="N114" s="34" t="s">
        <v>72</v>
      </c>
      <c r="O114" s="33" t="n">
        <f>25385</f>
        <v>25385.0</v>
      </c>
      <c r="P114" s="34" t="s">
        <v>50</v>
      </c>
      <c r="Q114" s="33" t="n">
        <f>25980</f>
        <v>25980.0</v>
      </c>
      <c r="R114" s="34" t="s">
        <v>51</v>
      </c>
      <c r="S114" s="35" t="n">
        <f>26219.75</f>
        <v>26219.75</v>
      </c>
      <c r="T114" s="32" t="n">
        <f>5817</f>
        <v>5817.0</v>
      </c>
      <c r="U114" s="32" t="n">
        <f>1</f>
        <v>1.0</v>
      </c>
      <c r="V114" s="32" t="n">
        <f>152764260</f>
        <v>1.5276426E8</v>
      </c>
      <c r="W114" s="32" t="n">
        <f>25930</f>
        <v>25930.0</v>
      </c>
      <c r="X114" s="36" t="n">
        <f>20</f>
        <v>20.0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30170</f>
        <v>30170.0</v>
      </c>
      <c r="L115" s="34" t="s">
        <v>48</v>
      </c>
      <c r="M115" s="33" t="n">
        <f>32160</f>
        <v>32160.0</v>
      </c>
      <c r="N115" s="34" t="s">
        <v>66</v>
      </c>
      <c r="O115" s="33" t="n">
        <f>29280</f>
        <v>29280.0</v>
      </c>
      <c r="P115" s="34" t="s">
        <v>51</v>
      </c>
      <c r="Q115" s="33" t="n">
        <f>29685</f>
        <v>29685.0</v>
      </c>
      <c r="R115" s="34" t="s">
        <v>51</v>
      </c>
      <c r="S115" s="35" t="n">
        <f>30774.25</f>
        <v>30774.25</v>
      </c>
      <c r="T115" s="32" t="n">
        <f>12539</f>
        <v>12539.0</v>
      </c>
      <c r="U115" s="32" t="n">
        <f>98</f>
        <v>98.0</v>
      </c>
      <c r="V115" s="32" t="n">
        <f>385136930</f>
        <v>3.8513693E8</v>
      </c>
      <c r="W115" s="32" t="n">
        <f>2980580</f>
        <v>2980580.0</v>
      </c>
      <c r="X115" s="36" t="n">
        <f>20</f>
        <v>20.0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27315</f>
        <v>27315.0</v>
      </c>
      <c r="L116" s="34" t="s">
        <v>48</v>
      </c>
      <c r="M116" s="33" t="n">
        <f>28740</f>
        <v>28740.0</v>
      </c>
      <c r="N116" s="34" t="s">
        <v>205</v>
      </c>
      <c r="O116" s="33" t="n">
        <f>26445</f>
        <v>26445.0</v>
      </c>
      <c r="P116" s="34" t="s">
        <v>51</v>
      </c>
      <c r="Q116" s="33" t="n">
        <f>26790</f>
        <v>26790.0</v>
      </c>
      <c r="R116" s="34" t="s">
        <v>51</v>
      </c>
      <c r="S116" s="35" t="n">
        <f>27832</f>
        <v>27832.0</v>
      </c>
      <c r="T116" s="32" t="n">
        <f>11336</f>
        <v>11336.0</v>
      </c>
      <c r="U116" s="32" t="str">
        <f>"－"</f>
        <v>－</v>
      </c>
      <c r="V116" s="32" t="n">
        <f>312724855</f>
        <v>3.12724855E8</v>
      </c>
      <c r="W116" s="32" t="str">
        <f>"－"</f>
        <v>－</v>
      </c>
      <c r="X116" s="36" t="n">
        <f>20</f>
        <v>20.0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55240</f>
        <v>55240.0</v>
      </c>
      <c r="L117" s="34" t="s">
        <v>48</v>
      </c>
      <c r="M117" s="33" t="n">
        <f>61550</f>
        <v>61550.0</v>
      </c>
      <c r="N117" s="34" t="s">
        <v>61</v>
      </c>
      <c r="O117" s="33" t="n">
        <f>54380</f>
        <v>54380.0</v>
      </c>
      <c r="P117" s="34" t="s">
        <v>48</v>
      </c>
      <c r="Q117" s="33" t="n">
        <f>56370</f>
        <v>56370.0</v>
      </c>
      <c r="R117" s="34" t="s">
        <v>51</v>
      </c>
      <c r="S117" s="35" t="n">
        <f>58477.5</f>
        <v>58477.5</v>
      </c>
      <c r="T117" s="32" t="n">
        <f>4441</f>
        <v>4441.0</v>
      </c>
      <c r="U117" s="32" t="n">
        <f>68</f>
        <v>68.0</v>
      </c>
      <c r="V117" s="32" t="n">
        <f>257172370</f>
        <v>2.5717237E8</v>
      </c>
      <c r="W117" s="32" t="n">
        <f>4003530</f>
        <v>4003530.0</v>
      </c>
      <c r="X117" s="36" t="n">
        <f>20</f>
        <v>20.0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37950</f>
        <v>37950.0</v>
      </c>
      <c r="L118" s="34" t="s">
        <v>48</v>
      </c>
      <c r="M118" s="33" t="n">
        <f>38770</f>
        <v>38770.0</v>
      </c>
      <c r="N118" s="34" t="s">
        <v>66</v>
      </c>
      <c r="O118" s="33" t="n">
        <f>35910</f>
        <v>35910.0</v>
      </c>
      <c r="P118" s="34" t="s">
        <v>50</v>
      </c>
      <c r="Q118" s="33" t="n">
        <f>36600</f>
        <v>36600.0</v>
      </c>
      <c r="R118" s="34" t="s">
        <v>51</v>
      </c>
      <c r="S118" s="35" t="n">
        <f>37859.5</f>
        <v>37859.5</v>
      </c>
      <c r="T118" s="32" t="n">
        <f>15196</f>
        <v>15196.0</v>
      </c>
      <c r="U118" s="32" t="n">
        <f>5024</f>
        <v>5024.0</v>
      </c>
      <c r="V118" s="32" t="n">
        <f>575887035</f>
        <v>5.75887035E8</v>
      </c>
      <c r="W118" s="32" t="n">
        <f>189645695</f>
        <v>1.89645695E8</v>
      </c>
      <c r="X118" s="36" t="n">
        <f>20</f>
        <v>20.0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37890</f>
        <v>37890.0</v>
      </c>
      <c r="L119" s="34" t="s">
        <v>48</v>
      </c>
      <c r="M119" s="33" t="n">
        <f>37910</f>
        <v>37910.0</v>
      </c>
      <c r="N119" s="34" t="s">
        <v>212</v>
      </c>
      <c r="O119" s="33" t="n">
        <f>35720</f>
        <v>35720.0</v>
      </c>
      <c r="P119" s="34" t="s">
        <v>50</v>
      </c>
      <c r="Q119" s="33" t="n">
        <f>35900</f>
        <v>35900.0</v>
      </c>
      <c r="R119" s="34" t="s">
        <v>51</v>
      </c>
      <c r="S119" s="35" t="n">
        <f>37006</f>
        <v>37006.0</v>
      </c>
      <c r="T119" s="32" t="n">
        <f>4388</f>
        <v>4388.0</v>
      </c>
      <c r="U119" s="32" t="n">
        <f>19</f>
        <v>19.0</v>
      </c>
      <c r="V119" s="32" t="n">
        <f>162602950</f>
        <v>1.6260295E8</v>
      </c>
      <c r="W119" s="32" t="n">
        <f>698000</f>
        <v>698000.0</v>
      </c>
      <c r="X119" s="36" t="n">
        <f>20</f>
        <v>20.0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8187</f>
        <v>8187.0</v>
      </c>
      <c r="L120" s="34" t="s">
        <v>48</v>
      </c>
      <c r="M120" s="33" t="n">
        <f>8900</f>
        <v>8900.0</v>
      </c>
      <c r="N120" s="34" t="s">
        <v>205</v>
      </c>
      <c r="O120" s="33" t="n">
        <f>8020</f>
        <v>8020.0</v>
      </c>
      <c r="P120" s="34" t="s">
        <v>50</v>
      </c>
      <c r="Q120" s="33" t="n">
        <f>8430</f>
        <v>8430.0</v>
      </c>
      <c r="R120" s="34" t="s">
        <v>51</v>
      </c>
      <c r="S120" s="35" t="n">
        <f>8456.95</f>
        <v>8456.95</v>
      </c>
      <c r="T120" s="32" t="n">
        <f>37469</f>
        <v>37469.0</v>
      </c>
      <c r="U120" s="32" t="str">
        <f>"－"</f>
        <v>－</v>
      </c>
      <c r="V120" s="32" t="n">
        <f>318068377</f>
        <v>3.18068377E8</v>
      </c>
      <c r="W120" s="32" t="str">
        <f>"－"</f>
        <v>－</v>
      </c>
      <c r="X120" s="36" t="n">
        <f>20</f>
        <v>20.0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18725</f>
        <v>18725.0</v>
      </c>
      <c r="L121" s="34" t="s">
        <v>48</v>
      </c>
      <c r="M121" s="33" t="n">
        <f>19275</f>
        <v>19275.0</v>
      </c>
      <c r="N121" s="34" t="s">
        <v>155</v>
      </c>
      <c r="O121" s="33" t="n">
        <f>18520</f>
        <v>18520.0</v>
      </c>
      <c r="P121" s="34" t="s">
        <v>51</v>
      </c>
      <c r="Q121" s="33" t="n">
        <f>18615</f>
        <v>18615.0</v>
      </c>
      <c r="R121" s="34" t="s">
        <v>51</v>
      </c>
      <c r="S121" s="35" t="n">
        <f>19001</f>
        <v>19001.0</v>
      </c>
      <c r="T121" s="32" t="n">
        <f>32745</f>
        <v>32745.0</v>
      </c>
      <c r="U121" s="32" t="n">
        <f>21500</f>
        <v>21500.0</v>
      </c>
      <c r="V121" s="32" t="n">
        <f>624897029</f>
        <v>6.24897029E8</v>
      </c>
      <c r="W121" s="32" t="n">
        <f>411411654</f>
        <v>4.11411654E8</v>
      </c>
      <c r="X121" s="36" t="n">
        <f>20</f>
        <v>20.0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78300</f>
        <v>78300.0</v>
      </c>
      <c r="L122" s="34" t="s">
        <v>48</v>
      </c>
      <c r="M122" s="33" t="n">
        <f>84100</f>
        <v>84100.0</v>
      </c>
      <c r="N122" s="34" t="s">
        <v>155</v>
      </c>
      <c r="O122" s="33" t="n">
        <f>76390</f>
        <v>76390.0</v>
      </c>
      <c r="P122" s="34" t="s">
        <v>50</v>
      </c>
      <c r="Q122" s="33" t="n">
        <f>80320</f>
        <v>80320.0</v>
      </c>
      <c r="R122" s="34" t="s">
        <v>51</v>
      </c>
      <c r="S122" s="35" t="n">
        <f>80293</f>
        <v>80293.0</v>
      </c>
      <c r="T122" s="32" t="n">
        <f>19981</f>
        <v>19981.0</v>
      </c>
      <c r="U122" s="32" t="n">
        <f>1635</f>
        <v>1635.0</v>
      </c>
      <c r="V122" s="32" t="n">
        <f>1610647856</f>
        <v>1.610647856E9</v>
      </c>
      <c r="W122" s="32" t="n">
        <f>126409276</f>
        <v>1.26409276E8</v>
      </c>
      <c r="X122" s="36" t="n">
        <f>20</f>
        <v>20.0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416</v>
      </c>
      <c r="J123" s="32" t="n">
        <v>1.0</v>
      </c>
      <c r="K123" s="33" t="n">
        <f>10150</f>
        <v>10150.0</v>
      </c>
      <c r="L123" s="34" t="s">
        <v>48</v>
      </c>
      <c r="M123" s="33" t="n">
        <f>10240</f>
        <v>10240.0</v>
      </c>
      <c r="N123" s="34" t="s">
        <v>49</v>
      </c>
      <c r="O123" s="33" t="n">
        <f>9576</f>
        <v>9576.0</v>
      </c>
      <c r="P123" s="34" t="s">
        <v>51</v>
      </c>
      <c r="Q123" s="33" t="n">
        <f>9576</f>
        <v>9576.0</v>
      </c>
      <c r="R123" s="34" t="s">
        <v>51</v>
      </c>
      <c r="S123" s="35" t="n">
        <f>9961.63</f>
        <v>9961.63</v>
      </c>
      <c r="T123" s="32" t="n">
        <f>1186</f>
        <v>1186.0</v>
      </c>
      <c r="U123" s="32" t="str">
        <f>"－"</f>
        <v>－</v>
      </c>
      <c r="V123" s="32" t="n">
        <f>12034707</f>
        <v>1.2034707E7</v>
      </c>
      <c r="W123" s="32" t="str">
        <f>"－"</f>
        <v>－</v>
      </c>
      <c r="X123" s="36" t="n">
        <f>16</f>
        <v>16.0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31120</f>
        <v>31120.0</v>
      </c>
      <c r="L124" s="34" t="s">
        <v>48</v>
      </c>
      <c r="M124" s="33" t="n">
        <f>31680</f>
        <v>31680.0</v>
      </c>
      <c r="N124" s="34" t="s">
        <v>72</v>
      </c>
      <c r="O124" s="33" t="n">
        <f>30220</f>
        <v>30220.0</v>
      </c>
      <c r="P124" s="34" t="s">
        <v>159</v>
      </c>
      <c r="Q124" s="33" t="n">
        <f>30870</f>
        <v>30870.0</v>
      </c>
      <c r="R124" s="34" t="s">
        <v>51</v>
      </c>
      <c r="S124" s="35" t="n">
        <f>31028</f>
        <v>31028.0</v>
      </c>
      <c r="T124" s="32" t="n">
        <f>11834</f>
        <v>11834.0</v>
      </c>
      <c r="U124" s="32" t="n">
        <f>7016</f>
        <v>7016.0</v>
      </c>
      <c r="V124" s="32" t="n">
        <f>367714553</f>
        <v>3.67714553E8</v>
      </c>
      <c r="W124" s="32" t="n">
        <f>217811453</f>
        <v>2.17811453E8</v>
      </c>
      <c r="X124" s="36" t="n">
        <f>20</f>
        <v>20.0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21475</f>
        <v>21475.0</v>
      </c>
      <c r="L125" s="34" t="s">
        <v>48</v>
      </c>
      <c r="M125" s="33" t="n">
        <f>23625</f>
        <v>23625.0</v>
      </c>
      <c r="N125" s="34" t="s">
        <v>155</v>
      </c>
      <c r="O125" s="33" t="n">
        <f>19930</f>
        <v>19930.0</v>
      </c>
      <c r="P125" s="34" t="s">
        <v>50</v>
      </c>
      <c r="Q125" s="33" t="n">
        <f>22005</f>
        <v>22005.0</v>
      </c>
      <c r="R125" s="34" t="s">
        <v>51</v>
      </c>
      <c r="S125" s="35" t="n">
        <f>21968.25</f>
        <v>21968.25</v>
      </c>
      <c r="T125" s="32" t="n">
        <f>114228</f>
        <v>114228.0</v>
      </c>
      <c r="U125" s="32" t="n">
        <f>12251</f>
        <v>12251.0</v>
      </c>
      <c r="V125" s="32" t="n">
        <f>2485830492</f>
        <v>2.485830492E9</v>
      </c>
      <c r="W125" s="32" t="n">
        <f>263012952</f>
        <v>2.63012952E8</v>
      </c>
      <c r="X125" s="36" t="n">
        <f>20</f>
        <v>20.0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27950</f>
        <v>27950.0</v>
      </c>
      <c r="L126" s="34" t="s">
        <v>48</v>
      </c>
      <c r="M126" s="33" t="n">
        <f>30250</f>
        <v>30250.0</v>
      </c>
      <c r="N126" s="34" t="s">
        <v>85</v>
      </c>
      <c r="O126" s="33" t="n">
        <f>26670</f>
        <v>26670.0</v>
      </c>
      <c r="P126" s="34" t="s">
        <v>50</v>
      </c>
      <c r="Q126" s="33" t="n">
        <f>29000</f>
        <v>29000.0</v>
      </c>
      <c r="R126" s="34" t="s">
        <v>51</v>
      </c>
      <c r="S126" s="35" t="n">
        <f>28805</f>
        <v>28805.0</v>
      </c>
      <c r="T126" s="32" t="n">
        <f>32548</f>
        <v>32548.0</v>
      </c>
      <c r="U126" s="32" t="n">
        <f>4017</f>
        <v>4017.0</v>
      </c>
      <c r="V126" s="32" t="n">
        <f>928193138</f>
        <v>9.28193138E8</v>
      </c>
      <c r="W126" s="32" t="n">
        <f>113022888</f>
        <v>1.13022888E8</v>
      </c>
      <c r="X126" s="36" t="n">
        <f>20</f>
        <v>20.0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39140</f>
        <v>39140.0</v>
      </c>
      <c r="L127" s="34" t="s">
        <v>48</v>
      </c>
      <c r="M127" s="33" t="n">
        <f>42150</f>
        <v>42150.0</v>
      </c>
      <c r="N127" s="34" t="s">
        <v>72</v>
      </c>
      <c r="O127" s="33" t="n">
        <f>37690</f>
        <v>37690.0</v>
      </c>
      <c r="P127" s="34" t="s">
        <v>50</v>
      </c>
      <c r="Q127" s="33" t="n">
        <f>40300</f>
        <v>40300.0</v>
      </c>
      <c r="R127" s="34" t="s">
        <v>51</v>
      </c>
      <c r="S127" s="35" t="n">
        <f>39772</f>
        <v>39772.0</v>
      </c>
      <c r="T127" s="32" t="n">
        <f>3533</f>
        <v>3533.0</v>
      </c>
      <c r="U127" s="32" t="n">
        <f>59</f>
        <v>59.0</v>
      </c>
      <c r="V127" s="32" t="n">
        <f>142323320</f>
        <v>1.4232332E8</v>
      </c>
      <c r="W127" s="32" t="n">
        <f>2395430</f>
        <v>2395430.0</v>
      </c>
      <c r="X127" s="36" t="n">
        <f>20</f>
        <v>20.0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416</v>
      </c>
      <c r="J128" s="32" t="n">
        <v>1.0</v>
      </c>
      <c r="K128" s="33" t="n">
        <f>8316</f>
        <v>8316.0</v>
      </c>
      <c r="L128" s="34" t="s">
        <v>48</v>
      </c>
      <c r="M128" s="33" t="n">
        <f>8358</f>
        <v>8358.0</v>
      </c>
      <c r="N128" s="34" t="s">
        <v>61</v>
      </c>
      <c r="O128" s="33" t="n">
        <f>7390</f>
        <v>7390.0</v>
      </c>
      <c r="P128" s="34" t="s">
        <v>51</v>
      </c>
      <c r="Q128" s="33" t="n">
        <f>7390</f>
        <v>7390.0</v>
      </c>
      <c r="R128" s="34" t="s">
        <v>51</v>
      </c>
      <c r="S128" s="35" t="n">
        <f>8043.9</f>
        <v>8043.9</v>
      </c>
      <c r="T128" s="32" t="n">
        <f>69027</f>
        <v>69027.0</v>
      </c>
      <c r="U128" s="32" t="n">
        <f>7</f>
        <v>7.0</v>
      </c>
      <c r="V128" s="32" t="n">
        <f>554031848</f>
        <v>5.54031848E8</v>
      </c>
      <c r="W128" s="32" t="n">
        <f>56515</f>
        <v>56515.0</v>
      </c>
      <c r="X128" s="36" t="n">
        <f>20</f>
        <v>20.0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2079</f>
        <v>2079.0</v>
      </c>
      <c r="L129" s="34" t="s">
        <v>48</v>
      </c>
      <c r="M129" s="33" t="n">
        <f>2175</f>
        <v>2175.0</v>
      </c>
      <c r="N129" s="34" t="s">
        <v>205</v>
      </c>
      <c r="O129" s="33" t="n">
        <f>1985</f>
        <v>1985.0</v>
      </c>
      <c r="P129" s="34" t="s">
        <v>50</v>
      </c>
      <c r="Q129" s="33" t="n">
        <f>2081</f>
        <v>2081.0</v>
      </c>
      <c r="R129" s="34" t="s">
        <v>51</v>
      </c>
      <c r="S129" s="35" t="n">
        <f>2099.35</f>
        <v>2099.35</v>
      </c>
      <c r="T129" s="32" t="n">
        <f>870976</f>
        <v>870976.0</v>
      </c>
      <c r="U129" s="32" t="n">
        <f>306080</f>
        <v>306080.0</v>
      </c>
      <c r="V129" s="32" t="n">
        <f>1805829690</f>
        <v>1.80582969E9</v>
      </c>
      <c r="W129" s="32" t="n">
        <f>641728386</f>
        <v>6.41728386E8</v>
      </c>
      <c r="X129" s="36" t="n">
        <f>20</f>
        <v>20.0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3162</f>
        <v>3162.0</v>
      </c>
      <c r="L130" s="34" t="s">
        <v>50</v>
      </c>
      <c r="M130" s="33" t="n">
        <f>3333</f>
        <v>3333.0</v>
      </c>
      <c r="N130" s="34" t="s">
        <v>66</v>
      </c>
      <c r="O130" s="33" t="n">
        <f>3120</f>
        <v>3120.0</v>
      </c>
      <c r="P130" s="34" t="s">
        <v>50</v>
      </c>
      <c r="Q130" s="33" t="n">
        <f>3232</f>
        <v>3232.0</v>
      </c>
      <c r="R130" s="34" t="s">
        <v>51</v>
      </c>
      <c r="S130" s="35" t="n">
        <f>3266.13</f>
        <v>3266.13</v>
      </c>
      <c r="T130" s="32" t="n">
        <f>1690</f>
        <v>1690.0</v>
      </c>
      <c r="U130" s="32" t="str">
        <f>"－"</f>
        <v>－</v>
      </c>
      <c r="V130" s="32" t="n">
        <f>5552380</f>
        <v>5552380.0</v>
      </c>
      <c r="W130" s="32" t="str">
        <f>"－"</f>
        <v>－</v>
      </c>
      <c r="X130" s="36" t="n">
        <f>8</f>
        <v>8.0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3528</f>
        <v>3528.0</v>
      </c>
      <c r="L131" s="34" t="s">
        <v>48</v>
      </c>
      <c r="M131" s="33" t="n">
        <f>3615</f>
        <v>3615.0</v>
      </c>
      <c r="N131" s="34" t="s">
        <v>49</v>
      </c>
      <c r="O131" s="33" t="n">
        <f>3368</f>
        <v>3368.0</v>
      </c>
      <c r="P131" s="34" t="s">
        <v>50</v>
      </c>
      <c r="Q131" s="33" t="n">
        <f>3452</f>
        <v>3452.0</v>
      </c>
      <c r="R131" s="34" t="s">
        <v>51</v>
      </c>
      <c r="S131" s="35" t="n">
        <f>3529.82</f>
        <v>3529.82</v>
      </c>
      <c r="T131" s="32" t="n">
        <f>52240</f>
        <v>52240.0</v>
      </c>
      <c r="U131" s="32" t="n">
        <f>10</f>
        <v>10.0</v>
      </c>
      <c r="V131" s="32" t="n">
        <f>183119780</f>
        <v>1.8311978E8</v>
      </c>
      <c r="W131" s="32" t="n">
        <f>33940</f>
        <v>33940.0</v>
      </c>
      <c r="X131" s="36" t="n">
        <f>17</f>
        <v>17.0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2162.5</f>
        <v>2162.5</v>
      </c>
      <c r="L132" s="34" t="s">
        <v>62</v>
      </c>
      <c r="M132" s="33" t="n">
        <f>2253</f>
        <v>2253.0</v>
      </c>
      <c r="N132" s="34" t="s">
        <v>72</v>
      </c>
      <c r="O132" s="33" t="n">
        <f>2162.5</f>
        <v>2162.5</v>
      </c>
      <c r="P132" s="34" t="s">
        <v>62</v>
      </c>
      <c r="Q132" s="33" t="n">
        <f>2253</f>
        <v>2253.0</v>
      </c>
      <c r="R132" s="34" t="s">
        <v>72</v>
      </c>
      <c r="S132" s="35" t="n">
        <f>2210.25</f>
        <v>2210.25</v>
      </c>
      <c r="T132" s="32" t="n">
        <f>3320</f>
        <v>3320.0</v>
      </c>
      <c r="U132" s="32" t="str">
        <f>"－"</f>
        <v>－</v>
      </c>
      <c r="V132" s="32" t="n">
        <f>7223165</f>
        <v>7223165.0</v>
      </c>
      <c r="W132" s="32" t="str">
        <f>"－"</f>
        <v>－</v>
      </c>
      <c r="X132" s="36" t="n">
        <f>2</f>
        <v>2.0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646.5</f>
        <v>646.5</v>
      </c>
      <c r="L133" s="34" t="s">
        <v>48</v>
      </c>
      <c r="M133" s="33" t="n">
        <f>646.8</f>
        <v>646.8</v>
      </c>
      <c r="N133" s="34" t="s">
        <v>48</v>
      </c>
      <c r="O133" s="33" t="n">
        <f>585.8</f>
        <v>585.8</v>
      </c>
      <c r="P133" s="34" t="s">
        <v>50</v>
      </c>
      <c r="Q133" s="33" t="n">
        <f>593.5</f>
        <v>593.5</v>
      </c>
      <c r="R133" s="34" t="s">
        <v>51</v>
      </c>
      <c r="S133" s="35" t="n">
        <f>612.62</f>
        <v>612.62</v>
      </c>
      <c r="T133" s="32" t="n">
        <f>71544470</f>
        <v>7.154447E7</v>
      </c>
      <c r="U133" s="32" t="n">
        <f>1482550</f>
        <v>1482550.0</v>
      </c>
      <c r="V133" s="32" t="n">
        <f>43626900089</f>
        <v>4.3626900089E10</v>
      </c>
      <c r="W133" s="32" t="n">
        <f>888799908</f>
        <v>8.88799908E8</v>
      </c>
      <c r="X133" s="36" t="n">
        <f>20</f>
        <v>20.0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300</f>
        <v>300.0</v>
      </c>
      <c r="L134" s="34" t="s">
        <v>48</v>
      </c>
      <c r="M134" s="33" t="n">
        <f>300.5</f>
        <v>300.5</v>
      </c>
      <c r="N134" s="34" t="s">
        <v>48</v>
      </c>
      <c r="O134" s="33" t="n">
        <f>292</f>
        <v>292.0</v>
      </c>
      <c r="P134" s="34" t="s">
        <v>225</v>
      </c>
      <c r="Q134" s="33" t="n">
        <f>299</f>
        <v>299.0</v>
      </c>
      <c r="R134" s="34" t="s">
        <v>51</v>
      </c>
      <c r="S134" s="35" t="n">
        <f>296.33</f>
        <v>296.33</v>
      </c>
      <c r="T134" s="32" t="n">
        <f>4943130</f>
        <v>4943130.0</v>
      </c>
      <c r="U134" s="32" t="n">
        <f>1550040</f>
        <v>1550040.0</v>
      </c>
      <c r="V134" s="32" t="n">
        <f>1463907597</f>
        <v>1.463907597E9</v>
      </c>
      <c r="W134" s="32" t="n">
        <f>456457405</f>
        <v>4.56457405E8</v>
      </c>
      <c r="X134" s="36" t="n">
        <f>20</f>
        <v>20.0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5350</f>
        <v>5350.0</v>
      </c>
      <c r="L135" s="34" t="s">
        <v>48</v>
      </c>
      <c r="M135" s="33" t="n">
        <f>5350</f>
        <v>5350.0</v>
      </c>
      <c r="N135" s="34" t="s">
        <v>48</v>
      </c>
      <c r="O135" s="33" t="n">
        <f>4920</f>
        <v>4920.0</v>
      </c>
      <c r="P135" s="34" t="s">
        <v>50</v>
      </c>
      <c r="Q135" s="33" t="n">
        <f>5000</f>
        <v>5000.0</v>
      </c>
      <c r="R135" s="34" t="s">
        <v>51</v>
      </c>
      <c r="S135" s="35" t="n">
        <f>5132.75</f>
        <v>5132.75</v>
      </c>
      <c r="T135" s="32" t="n">
        <f>296663</f>
        <v>296663.0</v>
      </c>
      <c r="U135" s="32" t="n">
        <f>211793</f>
        <v>211793.0</v>
      </c>
      <c r="V135" s="32" t="n">
        <f>1526012792</f>
        <v>1.526012792E9</v>
      </c>
      <c r="W135" s="32" t="n">
        <f>1090197742</f>
        <v>1.090197742E9</v>
      </c>
      <c r="X135" s="36" t="n">
        <f>20</f>
        <v>20.0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2738</f>
        <v>2738.0</v>
      </c>
      <c r="L136" s="34" t="s">
        <v>48</v>
      </c>
      <c r="M136" s="33" t="n">
        <f>2820</f>
        <v>2820.0</v>
      </c>
      <c r="N136" s="34" t="s">
        <v>61</v>
      </c>
      <c r="O136" s="33" t="n">
        <f>2644</f>
        <v>2644.0</v>
      </c>
      <c r="P136" s="34" t="s">
        <v>50</v>
      </c>
      <c r="Q136" s="33" t="n">
        <f>2715</f>
        <v>2715.0</v>
      </c>
      <c r="R136" s="34" t="s">
        <v>51</v>
      </c>
      <c r="S136" s="35" t="n">
        <f>2749.3</f>
        <v>2749.3</v>
      </c>
      <c r="T136" s="32" t="n">
        <f>140559</f>
        <v>140559.0</v>
      </c>
      <c r="U136" s="32" t="n">
        <f>52710</f>
        <v>52710.0</v>
      </c>
      <c r="V136" s="32" t="n">
        <f>386602247</f>
        <v>3.86602247E8</v>
      </c>
      <c r="W136" s="32" t="n">
        <f>144950792</f>
        <v>1.44950792E8</v>
      </c>
      <c r="X136" s="36" t="n">
        <f>20</f>
        <v>20.0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3355</f>
        <v>3355.0</v>
      </c>
      <c r="L137" s="34" t="s">
        <v>48</v>
      </c>
      <c r="M137" s="33" t="n">
        <f>3360</f>
        <v>3360.0</v>
      </c>
      <c r="N137" s="34" t="s">
        <v>48</v>
      </c>
      <c r="O137" s="33" t="n">
        <f>3080</f>
        <v>3080.0</v>
      </c>
      <c r="P137" s="34" t="s">
        <v>71</v>
      </c>
      <c r="Q137" s="33" t="n">
        <f>3155</f>
        <v>3155.0</v>
      </c>
      <c r="R137" s="34" t="s">
        <v>51</v>
      </c>
      <c r="S137" s="35" t="n">
        <f>3208.75</f>
        <v>3208.75</v>
      </c>
      <c r="T137" s="32" t="n">
        <f>334892</f>
        <v>334892.0</v>
      </c>
      <c r="U137" s="32" t="n">
        <f>73704</f>
        <v>73704.0</v>
      </c>
      <c r="V137" s="32" t="n">
        <f>1072886175</f>
        <v>1.072886175E9</v>
      </c>
      <c r="W137" s="32" t="n">
        <f>235429160</f>
        <v>2.3542916E8</v>
      </c>
      <c r="X137" s="36" t="n">
        <f>20</f>
        <v>20.0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9902</f>
        <v>9902.0</v>
      </c>
      <c r="L138" s="34" t="s">
        <v>48</v>
      </c>
      <c r="M138" s="33" t="n">
        <f>10075</f>
        <v>10075.0</v>
      </c>
      <c r="N138" s="34" t="s">
        <v>85</v>
      </c>
      <c r="O138" s="33" t="n">
        <f>9520</f>
        <v>9520.0</v>
      </c>
      <c r="P138" s="34" t="s">
        <v>50</v>
      </c>
      <c r="Q138" s="33" t="n">
        <f>9910</f>
        <v>9910.0</v>
      </c>
      <c r="R138" s="34" t="s">
        <v>51</v>
      </c>
      <c r="S138" s="35" t="n">
        <f>9806.8</f>
        <v>9806.8</v>
      </c>
      <c r="T138" s="32" t="n">
        <f>86199</f>
        <v>86199.0</v>
      </c>
      <c r="U138" s="32" t="n">
        <f>16492</f>
        <v>16492.0</v>
      </c>
      <c r="V138" s="32" t="n">
        <f>839433161</f>
        <v>8.39433161E8</v>
      </c>
      <c r="W138" s="32" t="n">
        <f>158472708</f>
        <v>1.58472708E8</v>
      </c>
      <c r="X138" s="36" t="n">
        <f>20</f>
        <v>20.0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3120</f>
        <v>3120.0</v>
      </c>
      <c r="L139" s="34" t="s">
        <v>48</v>
      </c>
      <c r="M139" s="33" t="n">
        <f>3135</f>
        <v>3135.0</v>
      </c>
      <c r="N139" s="34" t="s">
        <v>48</v>
      </c>
      <c r="O139" s="33" t="n">
        <f>2832</f>
        <v>2832.0</v>
      </c>
      <c r="P139" s="34" t="s">
        <v>50</v>
      </c>
      <c r="Q139" s="33" t="n">
        <f>3060</f>
        <v>3060.0</v>
      </c>
      <c r="R139" s="34" t="s">
        <v>51</v>
      </c>
      <c r="S139" s="35" t="n">
        <f>3000.35</f>
        <v>3000.35</v>
      </c>
      <c r="T139" s="32" t="n">
        <f>2134479</f>
        <v>2134479.0</v>
      </c>
      <c r="U139" s="32" t="n">
        <f>17</f>
        <v>17.0</v>
      </c>
      <c r="V139" s="32" t="n">
        <f>6372439524</f>
        <v>6.372439524E9</v>
      </c>
      <c r="W139" s="32" t="n">
        <f>50354</f>
        <v>50354.0</v>
      </c>
      <c r="X139" s="36" t="n">
        <f>20</f>
        <v>20.0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40350</f>
        <v>40350.0</v>
      </c>
      <c r="L140" s="34" t="s">
        <v>48</v>
      </c>
      <c r="M140" s="33" t="n">
        <f>45940</f>
        <v>45940.0</v>
      </c>
      <c r="N140" s="34" t="s">
        <v>51</v>
      </c>
      <c r="O140" s="33" t="n">
        <f>39450</f>
        <v>39450.0</v>
      </c>
      <c r="P140" s="34" t="s">
        <v>50</v>
      </c>
      <c r="Q140" s="33" t="n">
        <f>43490</f>
        <v>43490.0</v>
      </c>
      <c r="R140" s="34" t="s">
        <v>51</v>
      </c>
      <c r="S140" s="35" t="n">
        <f>41406.5</f>
        <v>41406.5</v>
      </c>
      <c r="T140" s="32" t="n">
        <f>19273</f>
        <v>19273.0</v>
      </c>
      <c r="U140" s="32" t="str">
        <f>"－"</f>
        <v>－</v>
      </c>
      <c r="V140" s="32" t="n">
        <f>817637130</f>
        <v>8.1763713E8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4288</f>
        <v>4288.0</v>
      </c>
      <c r="L141" s="34" t="s">
        <v>48</v>
      </c>
      <c r="M141" s="33" t="n">
        <f>4786</f>
        <v>4786.0</v>
      </c>
      <c r="N141" s="34" t="s">
        <v>85</v>
      </c>
      <c r="O141" s="33" t="n">
        <f>4285</f>
        <v>4285.0</v>
      </c>
      <c r="P141" s="34" t="s">
        <v>50</v>
      </c>
      <c r="Q141" s="33" t="n">
        <f>4691</f>
        <v>4691.0</v>
      </c>
      <c r="R141" s="34" t="s">
        <v>51</v>
      </c>
      <c r="S141" s="35" t="n">
        <f>4525</f>
        <v>4525.0</v>
      </c>
      <c r="T141" s="32" t="n">
        <f>58120</f>
        <v>58120.0</v>
      </c>
      <c r="U141" s="32" t="str">
        <f>"－"</f>
        <v>－</v>
      </c>
      <c r="V141" s="32" t="n">
        <f>265320280</f>
        <v>2.6532028E8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13340</f>
        <v>13340.0</v>
      </c>
      <c r="L142" s="34" t="s">
        <v>48</v>
      </c>
      <c r="M142" s="33" t="n">
        <f>13795</f>
        <v>13795.0</v>
      </c>
      <c r="N142" s="34" t="s">
        <v>61</v>
      </c>
      <c r="O142" s="33" t="n">
        <f>13025</f>
        <v>13025.0</v>
      </c>
      <c r="P142" s="34" t="s">
        <v>225</v>
      </c>
      <c r="Q142" s="33" t="n">
        <f>13500</f>
        <v>13500.0</v>
      </c>
      <c r="R142" s="34" t="s">
        <v>51</v>
      </c>
      <c r="S142" s="35" t="n">
        <f>13447.5</f>
        <v>13447.5</v>
      </c>
      <c r="T142" s="32" t="n">
        <f>5094</f>
        <v>5094.0</v>
      </c>
      <c r="U142" s="32" t="str">
        <f>"－"</f>
        <v>－</v>
      </c>
      <c r="V142" s="32" t="n">
        <f>68694290</f>
        <v>6.869429E7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13210</f>
        <v>13210.0</v>
      </c>
      <c r="L143" s="34" t="s">
        <v>48</v>
      </c>
      <c r="M143" s="33" t="n">
        <f>13780</f>
        <v>13780.0</v>
      </c>
      <c r="N143" s="34" t="s">
        <v>155</v>
      </c>
      <c r="O143" s="33" t="n">
        <f>12610</f>
        <v>12610.0</v>
      </c>
      <c r="P143" s="34" t="s">
        <v>48</v>
      </c>
      <c r="Q143" s="33" t="n">
        <f>13470</f>
        <v>13470.0</v>
      </c>
      <c r="R143" s="34" t="s">
        <v>51</v>
      </c>
      <c r="S143" s="35" t="n">
        <f>13189.5</f>
        <v>13189.5</v>
      </c>
      <c r="T143" s="32" t="n">
        <f>9282</f>
        <v>9282.0</v>
      </c>
      <c r="U143" s="32" t="str">
        <f>"－"</f>
        <v>－</v>
      </c>
      <c r="V143" s="32" t="n">
        <f>122124305</f>
        <v>1.22124305E8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24910</f>
        <v>24910.0</v>
      </c>
      <c r="L144" s="34" t="s">
        <v>48</v>
      </c>
      <c r="M144" s="33" t="n">
        <f>27945</f>
        <v>27945.0</v>
      </c>
      <c r="N144" s="34" t="s">
        <v>85</v>
      </c>
      <c r="O144" s="33" t="n">
        <f>24265</f>
        <v>24265.0</v>
      </c>
      <c r="P144" s="34" t="s">
        <v>50</v>
      </c>
      <c r="Q144" s="33" t="n">
        <f>27150</f>
        <v>27150.0</v>
      </c>
      <c r="R144" s="34" t="s">
        <v>51</v>
      </c>
      <c r="S144" s="35" t="n">
        <f>26086.39</f>
        <v>26086.39</v>
      </c>
      <c r="T144" s="32" t="n">
        <f>675</f>
        <v>675.0</v>
      </c>
      <c r="U144" s="32" t="str">
        <f>"－"</f>
        <v>－</v>
      </c>
      <c r="V144" s="32" t="n">
        <f>17572815</f>
        <v>1.7572815E7</v>
      </c>
      <c r="W144" s="32" t="str">
        <f>"－"</f>
        <v>－</v>
      </c>
      <c r="X144" s="36" t="n">
        <f>18</f>
        <v>18.0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55290</f>
        <v>55290.0</v>
      </c>
      <c r="L145" s="34" t="s">
        <v>48</v>
      </c>
      <c r="M145" s="33" t="n">
        <f>55910</f>
        <v>55910.0</v>
      </c>
      <c r="N145" s="34" t="s">
        <v>62</v>
      </c>
      <c r="O145" s="33" t="n">
        <f>54090</f>
        <v>54090.0</v>
      </c>
      <c r="P145" s="34" t="s">
        <v>50</v>
      </c>
      <c r="Q145" s="33" t="n">
        <f>55010</f>
        <v>55010.0</v>
      </c>
      <c r="R145" s="34" t="s">
        <v>51</v>
      </c>
      <c r="S145" s="35" t="n">
        <f>54834.44</f>
        <v>54834.44</v>
      </c>
      <c r="T145" s="32" t="n">
        <f>2110</f>
        <v>2110.0</v>
      </c>
      <c r="U145" s="32" t="n">
        <f>20</f>
        <v>20.0</v>
      </c>
      <c r="V145" s="32" t="n">
        <f>115843100</f>
        <v>1.158431E8</v>
      </c>
      <c r="W145" s="32" t="n">
        <f>1093400</f>
        <v>1093400.0</v>
      </c>
      <c r="X145" s="36" t="n">
        <f>18</f>
        <v>18.0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317.6</f>
        <v>317.6</v>
      </c>
      <c r="L146" s="34" t="s">
        <v>48</v>
      </c>
      <c r="M146" s="33" t="n">
        <f>347.9</f>
        <v>347.9</v>
      </c>
      <c r="N146" s="34" t="s">
        <v>66</v>
      </c>
      <c r="O146" s="33" t="n">
        <f>309.2</f>
        <v>309.2</v>
      </c>
      <c r="P146" s="34" t="s">
        <v>50</v>
      </c>
      <c r="Q146" s="33" t="n">
        <f>334.8</f>
        <v>334.8</v>
      </c>
      <c r="R146" s="34" t="s">
        <v>51</v>
      </c>
      <c r="S146" s="35" t="n">
        <f>326.95</f>
        <v>326.95</v>
      </c>
      <c r="T146" s="32" t="n">
        <f>38326980</f>
        <v>3.832698E7</v>
      </c>
      <c r="U146" s="32" t="n">
        <f>124250</f>
        <v>124250.0</v>
      </c>
      <c r="V146" s="32" t="n">
        <f>12596119066</f>
        <v>1.2596119066E10</v>
      </c>
      <c r="W146" s="32" t="n">
        <f>40316242</f>
        <v>4.0316242E7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54030</f>
        <v>54030.0</v>
      </c>
      <c r="L147" s="34" t="s">
        <v>48</v>
      </c>
      <c r="M147" s="33" t="n">
        <f>54210</f>
        <v>54210.0</v>
      </c>
      <c r="N147" s="34" t="s">
        <v>48</v>
      </c>
      <c r="O147" s="33" t="n">
        <f>49780</f>
        <v>49780.0</v>
      </c>
      <c r="P147" s="34" t="s">
        <v>71</v>
      </c>
      <c r="Q147" s="33" t="n">
        <f>50640</f>
        <v>50640.0</v>
      </c>
      <c r="R147" s="34" t="s">
        <v>51</v>
      </c>
      <c r="S147" s="35" t="n">
        <f>51758.5</f>
        <v>51758.5</v>
      </c>
      <c r="T147" s="32" t="n">
        <f>2070</f>
        <v>2070.0</v>
      </c>
      <c r="U147" s="32" t="str">
        <f>"－"</f>
        <v>－</v>
      </c>
      <c r="V147" s="32" t="n">
        <f>107350700</f>
        <v>1.073507E8</v>
      </c>
      <c r="W147" s="32" t="str">
        <f>"－"</f>
        <v>－</v>
      </c>
      <c r="X147" s="36" t="n">
        <f>20</f>
        <v>20.0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6102</f>
        <v>6102.0</v>
      </c>
      <c r="L148" s="34" t="s">
        <v>48</v>
      </c>
      <c r="M148" s="33" t="n">
        <f>6115</f>
        <v>6115.0</v>
      </c>
      <c r="N148" s="34" t="s">
        <v>48</v>
      </c>
      <c r="O148" s="33" t="n">
        <f>5623</f>
        <v>5623.0</v>
      </c>
      <c r="P148" s="34" t="s">
        <v>50</v>
      </c>
      <c r="Q148" s="33" t="n">
        <f>5701</f>
        <v>5701.0</v>
      </c>
      <c r="R148" s="34" t="s">
        <v>51</v>
      </c>
      <c r="S148" s="35" t="n">
        <f>5862.15</f>
        <v>5862.15</v>
      </c>
      <c r="T148" s="32" t="n">
        <f>74660</f>
        <v>74660.0</v>
      </c>
      <c r="U148" s="32" t="str">
        <f>"－"</f>
        <v>－</v>
      </c>
      <c r="V148" s="32" t="n">
        <f>437493470</f>
        <v>4.3749347E8</v>
      </c>
      <c r="W148" s="32" t="str">
        <f>"－"</f>
        <v>－</v>
      </c>
      <c r="X148" s="36" t="n">
        <f>20</f>
        <v>20.0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2038.5</f>
        <v>2038.5</v>
      </c>
      <c r="L149" s="34" t="s">
        <v>48</v>
      </c>
      <c r="M149" s="33" t="n">
        <f>2128</f>
        <v>2128.0</v>
      </c>
      <c r="N149" s="34" t="s">
        <v>70</v>
      </c>
      <c r="O149" s="33" t="n">
        <f>1980</f>
        <v>1980.0</v>
      </c>
      <c r="P149" s="34" t="s">
        <v>50</v>
      </c>
      <c r="Q149" s="33" t="n">
        <f>2047.5</f>
        <v>2047.5</v>
      </c>
      <c r="R149" s="34" t="s">
        <v>51</v>
      </c>
      <c r="S149" s="35" t="n">
        <f>2071.68</f>
        <v>2071.68</v>
      </c>
      <c r="T149" s="32" t="n">
        <f>139440</f>
        <v>139440.0</v>
      </c>
      <c r="U149" s="32" t="n">
        <f>19350</f>
        <v>19350.0</v>
      </c>
      <c r="V149" s="32" t="n">
        <f>288303290</f>
        <v>2.8830329E8</v>
      </c>
      <c r="W149" s="32" t="n">
        <f>39679110</f>
        <v>3.967911E7</v>
      </c>
      <c r="X149" s="36" t="n">
        <f>20</f>
        <v>20.0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1733</f>
        <v>1733.0</v>
      </c>
      <c r="L150" s="34" t="s">
        <v>48</v>
      </c>
      <c r="M150" s="33" t="n">
        <f>1845</f>
        <v>1845.0</v>
      </c>
      <c r="N150" s="34" t="s">
        <v>51</v>
      </c>
      <c r="O150" s="33" t="n">
        <f>1703.5</f>
        <v>1703.5</v>
      </c>
      <c r="P150" s="34" t="s">
        <v>303</v>
      </c>
      <c r="Q150" s="33" t="n">
        <f>1845</f>
        <v>1845.0</v>
      </c>
      <c r="R150" s="34" t="s">
        <v>51</v>
      </c>
      <c r="S150" s="35" t="n">
        <f>1766.4</f>
        <v>1766.4</v>
      </c>
      <c r="T150" s="32" t="n">
        <f>1880</f>
        <v>1880.0</v>
      </c>
      <c r="U150" s="32" t="str">
        <f>"－"</f>
        <v>－</v>
      </c>
      <c r="V150" s="32" t="n">
        <f>3303090</f>
        <v>3303090.0</v>
      </c>
      <c r="W150" s="32" t="str">
        <f>"－"</f>
        <v>－</v>
      </c>
      <c r="X150" s="36" t="n">
        <f>15</f>
        <v>15.0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569</f>
        <v>569.0</v>
      </c>
      <c r="L151" s="34" t="s">
        <v>48</v>
      </c>
      <c r="M151" s="33" t="n">
        <f>579.9</f>
        <v>579.9</v>
      </c>
      <c r="N151" s="34" t="s">
        <v>70</v>
      </c>
      <c r="O151" s="33" t="n">
        <f>535</f>
        <v>535.0</v>
      </c>
      <c r="P151" s="34" t="s">
        <v>299</v>
      </c>
      <c r="Q151" s="33" t="n">
        <f>565</f>
        <v>565.0</v>
      </c>
      <c r="R151" s="34" t="s">
        <v>51</v>
      </c>
      <c r="S151" s="35" t="n">
        <f>564.17</f>
        <v>564.17</v>
      </c>
      <c r="T151" s="32" t="n">
        <f>22780</f>
        <v>22780.0</v>
      </c>
      <c r="U151" s="32" t="str">
        <f>"－"</f>
        <v>－</v>
      </c>
      <c r="V151" s="32" t="n">
        <f>12788304</f>
        <v>1.2788304E7</v>
      </c>
      <c r="W151" s="32" t="str">
        <f>"－"</f>
        <v>－</v>
      </c>
      <c r="X151" s="36" t="n">
        <f>20</f>
        <v>20.0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2298.5</f>
        <v>2298.5</v>
      </c>
      <c r="L152" s="34" t="s">
        <v>62</v>
      </c>
      <c r="M152" s="33" t="n">
        <f>2506</f>
        <v>2506.0</v>
      </c>
      <c r="N152" s="34" t="s">
        <v>85</v>
      </c>
      <c r="O152" s="33" t="n">
        <f>2298.5</f>
        <v>2298.5</v>
      </c>
      <c r="P152" s="34" t="s">
        <v>62</v>
      </c>
      <c r="Q152" s="33" t="n">
        <f>2415.5</f>
        <v>2415.5</v>
      </c>
      <c r="R152" s="34" t="s">
        <v>51</v>
      </c>
      <c r="S152" s="35" t="n">
        <f>2405.76</f>
        <v>2405.76</v>
      </c>
      <c r="T152" s="32" t="n">
        <f>1630</f>
        <v>1630.0</v>
      </c>
      <c r="U152" s="32" t="str">
        <f>"－"</f>
        <v>－</v>
      </c>
      <c r="V152" s="32" t="n">
        <f>3896215</f>
        <v>3896215.0</v>
      </c>
      <c r="W152" s="32" t="str">
        <f>"－"</f>
        <v>－</v>
      </c>
      <c r="X152" s="36" t="n">
        <f>17</f>
        <v>17.0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938</f>
        <v>938.0</v>
      </c>
      <c r="L153" s="34" t="s">
        <v>48</v>
      </c>
      <c r="M153" s="33" t="n">
        <f>944.6</f>
        <v>944.6</v>
      </c>
      <c r="N153" s="34" t="s">
        <v>61</v>
      </c>
      <c r="O153" s="33" t="n">
        <f>906.9</f>
        <v>906.9</v>
      </c>
      <c r="P153" s="34" t="s">
        <v>303</v>
      </c>
      <c r="Q153" s="33" t="n">
        <f>922.9</f>
        <v>922.9</v>
      </c>
      <c r="R153" s="34" t="s">
        <v>51</v>
      </c>
      <c r="S153" s="35" t="n">
        <f>923.49</f>
        <v>923.49</v>
      </c>
      <c r="T153" s="32" t="n">
        <f>24150</f>
        <v>24150.0</v>
      </c>
      <c r="U153" s="32" t="str">
        <f>"－"</f>
        <v>－</v>
      </c>
      <c r="V153" s="32" t="n">
        <f>22379913</f>
        <v>2.2379913E7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537.1</f>
        <v>537.1</v>
      </c>
      <c r="L154" s="34" t="s">
        <v>48</v>
      </c>
      <c r="M154" s="33" t="n">
        <f>537.4</f>
        <v>537.4</v>
      </c>
      <c r="N154" s="34" t="s">
        <v>70</v>
      </c>
      <c r="O154" s="33" t="n">
        <f>511.1</f>
        <v>511.1</v>
      </c>
      <c r="P154" s="34" t="s">
        <v>62</v>
      </c>
      <c r="Q154" s="33" t="n">
        <f>514.7</f>
        <v>514.7</v>
      </c>
      <c r="R154" s="34" t="s">
        <v>51</v>
      </c>
      <c r="S154" s="35" t="n">
        <f>520.84</f>
        <v>520.84</v>
      </c>
      <c r="T154" s="32" t="n">
        <f>183860</f>
        <v>183860.0</v>
      </c>
      <c r="U154" s="32" t="str">
        <f>"－"</f>
        <v>－</v>
      </c>
      <c r="V154" s="32" t="n">
        <f>95870993</f>
        <v>9.5870993E7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1442</f>
        <v>1442.0</v>
      </c>
      <c r="L155" s="34" t="s">
        <v>48</v>
      </c>
      <c r="M155" s="33" t="n">
        <f>1741</f>
        <v>1741.0</v>
      </c>
      <c r="N155" s="34" t="s">
        <v>225</v>
      </c>
      <c r="O155" s="33" t="n">
        <f>1430</f>
        <v>1430.0</v>
      </c>
      <c r="P155" s="34" t="s">
        <v>48</v>
      </c>
      <c r="Q155" s="33" t="n">
        <f>1564</f>
        <v>1564.0</v>
      </c>
      <c r="R155" s="34" t="s">
        <v>51</v>
      </c>
      <c r="S155" s="35" t="n">
        <f>1552.85</f>
        <v>1552.85</v>
      </c>
      <c r="T155" s="32" t="n">
        <f>690501</f>
        <v>690501.0</v>
      </c>
      <c r="U155" s="32" t="str">
        <f>"－"</f>
        <v>－</v>
      </c>
      <c r="V155" s="32" t="n">
        <f>1085074616</f>
        <v>1.085074616E9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1490</f>
        <v>1490.0</v>
      </c>
      <c r="L156" s="34" t="s">
        <v>48</v>
      </c>
      <c r="M156" s="33" t="n">
        <f>1503</f>
        <v>1503.0</v>
      </c>
      <c r="N156" s="34" t="s">
        <v>72</v>
      </c>
      <c r="O156" s="33" t="n">
        <f>1352</f>
        <v>1352.0</v>
      </c>
      <c r="P156" s="34" t="s">
        <v>50</v>
      </c>
      <c r="Q156" s="33" t="n">
        <f>1462</f>
        <v>1462.0</v>
      </c>
      <c r="R156" s="34" t="s">
        <v>51</v>
      </c>
      <c r="S156" s="35" t="n">
        <f>1434.45</f>
        <v>1434.45</v>
      </c>
      <c r="T156" s="32" t="n">
        <f>26790</f>
        <v>26790.0</v>
      </c>
      <c r="U156" s="32" t="str">
        <f>"－"</f>
        <v>－</v>
      </c>
      <c r="V156" s="32" t="n">
        <f>38470215</f>
        <v>3.8470215E7</v>
      </c>
      <c r="W156" s="32" t="str">
        <f>"－"</f>
        <v>－</v>
      </c>
      <c r="X156" s="36" t="n">
        <f>20</f>
        <v>20.0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7921</f>
        <v>7921.0</v>
      </c>
      <c r="L157" s="34" t="s">
        <v>48</v>
      </c>
      <c r="M157" s="33" t="n">
        <f>8150</f>
        <v>8150.0</v>
      </c>
      <c r="N157" s="34" t="s">
        <v>48</v>
      </c>
      <c r="O157" s="33" t="n">
        <f>7300</f>
        <v>7300.0</v>
      </c>
      <c r="P157" s="34" t="s">
        <v>50</v>
      </c>
      <c r="Q157" s="33" t="n">
        <f>7857</f>
        <v>7857.0</v>
      </c>
      <c r="R157" s="34" t="s">
        <v>51</v>
      </c>
      <c r="S157" s="35" t="n">
        <f>7712.7</f>
        <v>7712.7</v>
      </c>
      <c r="T157" s="32" t="n">
        <f>4581</f>
        <v>4581.0</v>
      </c>
      <c r="U157" s="32" t="str">
        <f>"－"</f>
        <v>－</v>
      </c>
      <c r="V157" s="32" t="n">
        <f>35289374</f>
        <v>3.5289374E7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494.2</f>
        <v>494.2</v>
      </c>
      <c r="L158" s="34" t="s">
        <v>48</v>
      </c>
      <c r="M158" s="33" t="n">
        <f>530</f>
        <v>530.0</v>
      </c>
      <c r="N158" s="34" t="s">
        <v>212</v>
      </c>
      <c r="O158" s="33" t="n">
        <f>491</f>
        <v>491.0</v>
      </c>
      <c r="P158" s="34" t="s">
        <v>51</v>
      </c>
      <c r="Q158" s="33" t="n">
        <f>491</f>
        <v>491.0</v>
      </c>
      <c r="R158" s="34" t="s">
        <v>51</v>
      </c>
      <c r="S158" s="35" t="n">
        <f>513.33</f>
        <v>513.33</v>
      </c>
      <c r="T158" s="32" t="n">
        <f>22000</f>
        <v>22000.0</v>
      </c>
      <c r="U158" s="32" t="str">
        <f>"－"</f>
        <v>－</v>
      </c>
      <c r="V158" s="32" t="n">
        <f>11259820</f>
        <v>1.125982E7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6193</f>
        <v>6193.0</v>
      </c>
      <c r="L159" s="34" t="s">
        <v>48</v>
      </c>
      <c r="M159" s="33" t="n">
        <f>7295</f>
        <v>7295.0</v>
      </c>
      <c r="N159" s="34" t="s">
        <v>49</v>
      </c>
      <c r="O159" s="33" t="n">
        <f>6073</f>
        <v>6073.0</v>
      </c>
      <c r="P159" s="34" t="s">
        <v>50</v>
      </c>
      <c r="Q159" s="33" t="n">
        <f>6831</f>
        <v>6831.0</v>
      </c>
      <c r="R159" s="34" t="s">
        <v>51</v>
      </c>
      <c r="S159" s="35" t="n">
        <f>6560.6</f>
        <v>6560.6</v>
      </c>
      <c r="T159" s="32" t="n">
        <f>99700</f>
        <v>99700.0</v>
      </c>
      <c r="U159" s="32" t="str">
        <f>"－"</f>
        <v>－</v>
      </c>
      <c r="V159" s="32" t="n">
        <f>677820340</f>
        <v>6.7782034E8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2074.5</f>
        <v>2074.5</v>
      </c>
      <c r="L160" s="34" t="s">
        <v>48</v>
      </c>
      <c r="M160" s="33" t="n">
        <f>2205.5</f>
        <v>2205.5</v>
      </c>
      <c r="N160" s="34" t="s">
        <v>51</v>
      </c>
      <c r="O160" s="33" t="n">
        <f>2074.5</f>
        <v>2074.5</v>
      </c>
      <c r="P160" s="34" t="s">
        <v>48</v>
      </c>
      <c r="Q160" s="33" t="n">
        <f>2141.5</f>
        <v>2141.5</v>
      </c>
      <c r="R160" s="34" t="s">
        <v>51</v>
      </c>
      <c r="S160" s="35" t="n">
        <f>2158.1</f>
        <v>2158.1</v>
      </c>
      <c r="T160" s="32" t="n">
        <f>7110</f>
        <v>7110.0</v>
      </c>
      <c r="U160" s="32" t="str">
        <f>"－"</f>
        <v>－</v>
      </c>
      <c r="V160" s="32" t="n">
        <f>15267575</f>
        <v>1.5267575E7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3130</f>
        <v>3130.0</v>
      </c>
      <c r="L161" s="34" t="s">
        <v>48</v>
      </c>
      <c r="M161" s="33" t="n">
        <f>3170</f>
        <v>3170.0</v>
      </c>
      <c r="N161" s="34" t="s">
        <v>61</v>
      </c>
      <c r="O161" s="33" t="n">
        <f>2920</f>
        <v>2920.0</v>
      </c>
      <c r="P161" s="34" t="s">
        <v>51</v>
      </c>
      <c r="Q161" s="33" t="n">
        <f>2926</f>
        <v>2926.0</v>
      </c>
      <c r="R161" s="34" t="s">
        <v>51</v>
      </c>
      <c r="S161" s="35" t="n">
        <f>3049.8</f>
        <v>3049.8</v>
      </c>
      <c r="T161" s="32" t="n">
        <f>322598</f>
        <v>322598.0</v>
      </c>
      <c r="U161" s="32" t="str">
        <f>"－"</f>
        <v>－</v>
      </c>
      <c r="V161" s="32" t="n">
        <f>974855592</f>
        <v>9.74855592E8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3200</f>
        <v>3200.0</v>
      </c>
      <c r="L162" s="34" t="s">
        <v>48</v>
      </c>
      <c r="M162" s="33" t="n">
        <f>3205</f>
        <v>3205.0</v>
      </c>
      <c r="N162" s="34" t="s">
        <v>48</v>
      </c>
      <c r="O162" s="33" t="n">
        <f>3035</f>
        <v>3035.0</v>
      </c>
      <c r="P162" s="34" t="s">
        <v>62</v>
      </c>
      <c r="Q162" s="33" t="n">
        <f>3060</f>
        <v>3060.0</v>
      </c>
      <c r="R162" s="34" t="s">
        <v>51</v>
      </c>
      <c r="S162" s="35" t="n">
        <f>3102</f>
        <v>3102.0</v>
      </c>
      <c r="T162" s="32" t="n">
        <f>15200</f>
        <v>15200.0</v>
      </c>
      <c r="U162" s="32" t="str">
        <f>"－"</f>
        <v>－</v>
      </c>
      <c r="V162" s="32" t="n">
        <f>47136555</f>
        <v>4.7136555E7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3743</f>
        <v>3743.0</v>
      </c>
      <c r="L163" s="34" t="s">
        <v>48</v>
      </c>
      <c r="M163" s="33" t="n">
        <f>3778</f>
        <v>3778.0</v>
      </c>
      <c r="N163" s="34" t="s">
        <v>48</v>
      </c>
      <c r="O163" s="33" t="n">
        <f>3600</f>
        <v>3600.0</v>
      </c>
      <c r="P163" s="34" t="s">
        <v>299</v>
      </c>
      <c r="Q163" s="33" t="n">
        <f>3689</f>
        <v>3689.0</v>
      </c>
      <c r="R163" s="34" t="s">
        <v>51</v>
      </c>
      <c r="S163" s="35" t="n">
        <f>3664.6</f>
        <v>3664.6</v>
      </c>
      <c r="T163" s="32" t="n">
        <f>10390</f>
        <v>10390.0</v>
      </c>
      <c r="U163" s="32" t="str">
        <f>"－"</f>
        <v>－</v>
      </c>
      <c r="V163" s="32" t="n">
        <f>38148620</f>
        <v>3.814862E7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3025</f>
        <v>3025.0</v>
      </c>
      <c r="L164" s="34" t="s">
        <v>48</v>
      </c>
      <c r="M164" s="33" t="n">
        <f>3162</f>
        <v>3162.0</v>
      </c>
      <c r="N164" s="34" t="s">
        <v>85</v>
      </c>
      <c r="O164" s="33" t="n">
        <f>2945</f>
        <v>2945.0</v>
      </c>
      <c r="P164" s="34" t="s">
        <v>50</v>
      </c>
      <c r="Q164" s="33" t="n">
        <f>3110</f>
        <v>3110.0</v>
      </c>
      <c r="R164" s="34" t="s">
        <v>51</v>
      </c>
      <c r="S164" s="35" t="n">
        <f>3076.05</f>
        <v>3076.05</v>
      </c>
      <c r="T164" s="32" t="n">
        <f>388210</f>
        <v>388210.0</v>
      </c>
      <c r="U164" s="32" t="n">
        <f>11290</f>
        <v>11290.0</v>
      </c>
      <c r="V164" s="32" t="n">
        <f>1185516781</f>
        <v>1.185516781E9</v>
      </c>
      <c r="W164" s="32" t="n">
        <f>35324841</f>
        <v>3.5324841E7</v>
      </c>
      <c r="X164" s="36" t="n">
        <f>20</f>
        <v>20.0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410.1</f>
        <v>410.1</v>
      </c>
      <c r="L165" s="34" t="s">
        <v>48</v>
      </c>
      <c r="M165" s="33" t="n">
        <f>413.5</f>
        <v>413.5</v>
      </c>
      <c r="N165" s="34" t="s">
        <v>85</v>
      </c>
      <c r="O165" s="33" t="n">
        <f>373.1</f>
        <v>373.1</v>
      </c>
      <c r="P165" s="34" t="s">
        <v>50</v>
      </c>
      <c r="Q165" s="33" t="n">
        <f>403.4</f>
        <v>403.4</v>
      </c>
      <c r="R165" s="34" t="s">
        <v>51</v>
      </c>
      <c r="S165" s="35" t="n">
        <f>395.19</f>
        <v>395.19</v>
      </c>
      <c r="T165" s="32" t="n">
        <f>8912560</f>
        <v>8912560.0</v>
      </c>
      <c r="U165" s="32" t="n">
        <f>85480</f>
        <v>85480.0</v>
      </c>
      <c r="V165" s="32" t="n">
        <f>3509363855</f>
        <v>3.509363855E9</v>
      </c>
      <c r="W165" s="32" t="n">
        <f>32510475</f>
        <v>3.2510475E7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1999</f>
        <v>1999.0</v>
      </c>
      <c r="L166" s="34" t="s">
        <v>48</v>
      </c>
      <c r="M166" s="33" t="n">
        <f>2074</f>
        <v>2074.0</v>
      </c>
      <c r="N166" s="34" t="s">
        <v>205</v>
      </c>
      <c r="O166" s="33" t="n">
        <f>1915</f>
        <v>1915.0</v>
      </c>
      <c r="P166" s="34" t="s">
        <v>50</v>
      </c>
      <c r="Q166" s="33" t="n">
        <f>1973</f>
        <v>1973.0</v>
      </c>
      <c r="R166" s="34" t="s">
        <v>51</v>
      </c>
      <c r="S166" s="35" t="n">
        <f>2006.4</f>
        <v>2006.4</v>
      </c>
      <c r="T166" s="32" t="n">
        <f>14196</f>
        <v>14196.0</v>
      </c>
      <c r="U166" s="32" t="str">
        <f>"－"</f>
        <v>－</v>
      </c>
      <c r="V166" s="32" t="n">
        <f>28217679</f>
        <v>2.8217679E7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1159</f>
        <v>1159.0</v>
      </c>
      <c r="L167" s="34" t="s">
        <v>48</v>
      </c>
      <c r="M167" s="33" t="n">
        <f>1160</f>
        <v>1160.0</v>
      </c>
      <c r="N167" s="34" t="s">
        <v>48</v>
      </c>
      <c r="O167" s="33" t="n">
        <f>1020</f>
        <v>1020.0</v>
      </c>
      <c r="P167" s="34" t="s">
        <v>51</v>
      </c>
      <c r="Q167" s="33" t="n">
        <f>1023</f>
        <v>1023.0</v>
      </c>
      <c r="R167" s="34" t="s">
        <v>51</v>
      </c>
      <c r="S167" s="35" t="n">
        <f>1090.25</f>
        <v>1090.25</v>
      </c>
      <c r="T167" s="32" t="n">
        <f>1540473</f>
        <v>1540473.0</v>
      </c>
      <c r="U167" s="32" t="n">
        <f>80</f>
        <v>80.0</v>
      </c>
      <c r="V167" s="32" t="n">
        <f>1663643354</f>
        <v>1.663643354E9</v>
      </c>
      <c r="W167" s="32" t="n">
        <f>81760</f>
        <v>81760.0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285.7</f>
        <v>285.7</v>
      </c>
      <c r="L168" s="34" t="s">
        <v>48</v>
      </c>
      <c r="M168" s="33" t="n">
        <f>289.2</f>
        <v>289.2</v>
      </c>
      <c r="N168" s="34" t="s">
        <v>62</v>
      </c>
      <c r="O168" s="33" t="n">
        <f>275</f>
        <v>275.0</v>
      </c>
      <c r="P168" s="34" t="s">
        <v>85</v>
      </c>
      <c r="Q168" s="33" t="n">
        <f>282</f>
        <v>282.0</v>
      </c>
      <c r="R168" s="34" t="s">
        <v>51</v>
      </c>
      <c r="S168" s="35" t="n">
        <f>281.53</f>
        <v>281.53</v>
      </c>
      <c r="T168" s="32" t="n">
        <f>4169790</f>
        <v>4169790.0</v>
      </c>
      <c r="U168" s="32" t="str">
        <f>"－"</f>
        <v>－</v>
      </c>
      <c r="V168" s="32" t="n">
        <f>1181336492</f>
        <v>1.181336492E9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297.2</f>
        <v>297.2</v>
      </c>
      <c r="L169" s="34" t="s">
        <v>48</v>
      </c>
      <c r="M169" s="33" t="n">
        <f>299.6</f>
        <v>299.6</v>
      </c>
      <c r="N169" s="34" t="s">
        <v>62</v>
      </c>
      <c r="O169" s="33" t="n">
        <f>287.2</f>
        <v>287.2</v>
      </c>
      <c r="P169" s="34" t="s">
        <v>299</v>
      </c>
      <c r="Q169" s="33" t="n">
        <f>292.1</f>
        <v>292.1</v>
      </c>
      <c r="R169" s="34" t="s">
        <v>51</v>
      </c>
      <c r="S169" s="35" t="n">
        <f>292.25</f>
        <v>292.25</v>
      </c>
      <c r="T169" s="32" t="n">
        <f>393120</f>
        <v>393120.0</v>
      </c>
      <c r="U169" s="32" t="n">
        <f>72630</f>
        <v>72630.0</v>
      </c>
      <c r="V169" s="32" t="n">
        <f>114881358</f>
        <v>1.14881358E8</v>
      </c>
      <c r="W169" s="32" t="n">
        <f>21207960</f>
        <v>2.120796E7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505.3</f>
        <v>505.3</v>
      </c>
      <c r="L170" s="34" t="s">
        <v>48</v>
      </c>
      <c r="M170" s="33" t="n">
        <f>516.7</f>
        <v>516.7</v>
      </c>
      <c r="N170" s="34" t="s">
        <v>62</v>
      </c>
      <c r="O170" s="33" t="n">
        <f>488.4</f>
        <v>488.4</v>
      </c>
      <c r="P170" s="34" t="s">
        <v>50</v>
      </c>
      <c r="Q170" s="33" t="n">
        <f>495.7</f>
        <v>495.7</v>
      </c>
      <c r="R170" s="34" t="s">
        <v>51</v>
      </c>
      <c r="S170" s="35" t="n">
        <f>495.27</f>
        <v>495.27</v>
      </c>
      <c r="T170" s="32" t="n">
        <f>7310</f>
        <v>7310.0</v>
      </c>
      <c r="U170" s="32" t="str">
        <f>"－"</f>
        <v>－</v>
      </c>
      <c r="V170" s="32" t="n">
        <f>3636360</f>
        <v>3636360.0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516.2</f>
        <v>516.2</v>
      </c>
      <c r="L171" s="34" t="s">
        <v>48</v>
      </c>
      <c r="M171" s="33" t="n">
        <f>518</f>
        <v>518.0</v>
      </c>
      <c r="N171" s="34" t="s">
        <v>48</v>
      </c>
      <c r="O171" s="33" t="n">
        <f>482.1</f>
        <v>482.1</v>
      </c>
      <c r="P171" s="34" t="s">
        <v>62</v>
      </c>
      <c r="Q171" s="33" t="n">
        <f>503.8</f>
        <v>503.8</v>
      </c>
      <c r="R171" s="34" t="s">
        <v>51</v>
      </c>
      <c r="S171" s="35" t="n">
        <f>498.74</f>
        <v>498.74</v>
      </c>
      <c r="T171" s="32" t="n">
        <f>77650</f>
        <v>77650.0</v>
      </c>
      <c r="U171" s="32" t="str">
        <f>"－"</f>
        <v>－</v>
      </c>
      <c r="V171" s="32" t="n">
        <f>38848077</f>
        <v>3.8848077E7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509.9</f>
        <v>509.9</v>
      </c>
      <c r="L172" s="34" t="s">
        <v>48</v>
      </c>
      <c r="M172" s="33" t="n">
        <f>509.9</f>
        <v>509.9</v>
      </c>
      <c r="N172" s="34" t="s">
        <v>48</v>
      </c>
      <c r="O172" s="33" t="n">
        <f>484.3</f>
        <v>484.3</v>
      </c>
      <c r="P172" s="34" t="s">
        <v>85</v>
      </c>
      <c r="Q172" s="33" t="n">
        <f>494.4</f>
        <v>494.4</v>
      </c>
      <c r="R172" s="34" t="s">
        <v>51</v>
      </c>
      <c r="S172" s="35" t="n">
        <f>496.61</f>
        <v>496.61</v>
      </c>
      <c r="T172" s="32" t="n">
        <f>43370</f>
        <v>43370.0</v>
      </c>
      <c r="U172" s="32" t="str">
        <f>"－"</f>
        <v>－</v>
      </c>
      <c r="V172" s="32" t="n">
        <f>21425563</f>
        <v>2.1425563E7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863</f>
        <v>863.0</v>
      </c>
      <c r="L173" s="34" t="s">
        <v>48</v>
      </c>
      <c r="M173" s="33" t="n">
        <f>939</f>
        <v>939.0</v>
      </c>
      <c r="N173" s="34" t="s">
        <v>66</v>
      </c>
      <c r="O173" s="33" t="n">
        <f>830</f>
        <v>830.0</v>
      </c>
      <c r="P173" s="34" t="s">
        <v>62</v>
      </c>
      <c r="Q173" s="33" t="n">
        <f>905</f>
        <v>905.0</v>
      </c>
      <c r="R173" s="34" t="s">
        <v>51</v>
      </c>
      <c r="S173" s="35" t="n">
        <f>884.1</f>
        <v>884.1</v>
      </c>
      <c r="T173" s="32" t="n">
        <f>382950</f>
        <v>382950.0</v>
      </c>
      <c r="U173" s="32" t="n">
        <f>469</f>
        <v>469.0</v>
      </c>
      <c r="V173" s="32" t="n">
        <f>338750356</f>
        <v>3.38750356E8</v>
      </c>
      <c r="W173" s="32" t="n">
        <f>412580</f>
        <v>412580.0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1598</f>
        <v>1598.0</v>
      </c>
      <c r="L174" s="34" t="s">
        <v>48</v>
      </c>
      <c r="M174" s="33" t="n">
        <f>1600</f>
        <v>1600.0</v>
      </c>
      <c r="N174" s="34" t="s">
        <v>61</v>
      </c>
      <c r="O174" s="33" t="n">
        <f>1402</f>
        <v>1402.0</v>
      </c>
      <c r="P174" s="34" t="s">
        <v>51</v>
      </c>
      <c r="Q174" s="33" t="n">
        <f>1406</f>
        <v>1406.0</v>
      </c>
      <c r="R174" s="34" t="s">
        <v>51</v>
      </c>
      <c r="S174" s="35" t="n">
        <f>1531.95</f>
        <v>1531.95</v>
      </c>
      <c r="T174" s="32" t="n">
        <f>2290900</f>
        <v>2290900.0</v>
      </c>
      <c r="U174" s="32" t="n">
        <f>270810</f>
        <v>270810.0</v>
      </c>
      <c r="V174" s="32" t="n">
        <f>3474140825</f>
        <v>3.474140825E9</v>
      </c>
      <c r="W174" s="32" t="n">
        <f>414547538</f>
        <v>4.14547538E8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589</f>
        <v>589.0</v>
      </c>
      <c r="L175" s="34" t="s">
        <v>48</v>
      </c>
      <c r="M175" s="33" t="n">
        <f>615</f>
        <v>615.0</v>
      </c>
      <c r="N175" s="34" t="s">
        <v>85</v>
      </c>
      <c r="O175" s="33" t="n">
        <f>568.8</f>
        <v>568.8</v>
      </c>
      <c r="P175" s="34" t="s">
        <v>50</v>
      </c>
      <c r="Q175" s="33" t="n">
        <f>591.1</f>
        <v>591.1</v>
      </c>
      <c r="R175" s="34" t="s">
        <v>51</v>
      </c>
      <c r="S175" s="35" t="n">
        <f>592.46</f>
        <v>592.46</v>
      </c>
      <c r="T175" s="32" t="n">
        <f>1645700</f>
        <v>1645700.0</v>
      </c>
      <c r="U175" s="32" t="str">
        <f>"－"</f>
        <v>－</v>
      </c>
      <c r="V175" s="32" t="n">
        <f>969768504</f>
        <v>9.69768504E8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217.3</f>
        <v>217.3</v>
      </c>
      <c r="L176" s="34" t="s">
        <v>48</v>
      </c>
      <c r="M176" s="33" t="n">
        <f>218.2</f>
        <v>218.2</v>
      </c>
      <c r="N176" s="34" t="s">
        <v>85</v>
      </c>
      <c r="O176" s="33" t="n">
        <f>210.7</f>
        <v>210.7</v>
      </c>
      <c r="P176" s="34" t="s">
        <v>225</v>
      </c>
      <c r="Q176" s="33" t="n">
        <f>214.6</f>
        <v>214.6</v>
      </c>
      <c r="R176" s="34" t="s">
        <v>51</v>
      </c>
      <c r="S176" s="35" t="n">
        <f>214.75</f>
        <v>214.75</v>
      </c>
      <c r="T176" s="32" t="n">
        <f>25427690</f>
        <v>2.542769E7</v>
      </c>
      <c r="U176" s="32" t="n">
        <f>23000000</f>
        <v>2.3E7</v>
      </c>
      <c r="V176" s="32" t="n">
        <f>5477161293</f>
        <v>5.477161293E9</v>
      </c>
      <c r="W176" s="32" t="n">
        <f>4956500000</f>
        <v>4.9565E9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244.3</f>
        <v>244.3</v>
      </c>
      <c r="L177" s="34" t="s">
        <v>48</v>
      </c>
      <c r="M177" s="33" t="n">
        <f>244.3</f>
        <v>244.3</v>
      </c>
      <c r="N177" s="34" t="s">
        <v>48</v>
      </c>
      <c r="O177" s="33" t="n">
        <f>232.3</f>
        <v>232.3</v>
      </c>
      <c r="P177" s="34" t="s">
        <v>299</v>
      </c>
      <c r="Q177" s="33" t="n">
        <f>239.6</f>
        <v>239.6</v>
      </c>
      <c r="R177" s="34" t="s">
        <v>51</v>
      </c>
      <c r="S177" s="35" t="n">
        <f>238.8</f>
        <v>238.8</v>
      </c>
      <c r="T177" s="32" t="n">
        <f>11300260</f>
        <v>1.130026E7</v>
      </c>
      <c r="U177" s="32" t="n">
        <f>200000</f>
        <v>200000.0</v>
      </c>
      <c r="V177" s="32" t="n">
        <f>2691013951</f>
        <v>2.691013951E9</v>
      </c>
      <c r="W177" s="32" t="n">
        <f>46910000</f>
        <v>4.691E7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247</f>
        <v>247.0</v>
      </c>
      <c r="L178" s="34" t="s">
        <v>48</v>
      </c>
      <c r="M178" s="33" t="n">
        <f>247.6</f>
        <v>247.6</v>
      </c>
      <c r="N178" s="34" t="s">
        <v>48</v>
      </c>
      <c r="O178" s="33" t="n">
        <f>229.4</f>
        <v>229.4</v>
      </c>
      <c r="P178" s="34" t="s">
        <v>71</v>
      </c>
      <c r="Q178" s="33" t="n">
        <f>232.5</f>
        <v>232.5</v>
      </c>
      <c r="R178" s="34" t="s">
        <v>51</v>
      </c>
      <c r="S178" s="35" t="n">
        <f>236.97</f>
        <v>236.97</v>
      </c>
      <c r="T178" s="32" t="n">
        <f>5431180</f>
        <v>5431180.0</v>
      </c>
      <c r="U178" s="32" t="n">
        <f>60</f>
        <v>60.0</v>
      </c>
      <c r="V178" s="32" t="n">
        <f>1286673349</f>
        <v>1.286673349E9</v>
      </c>
      <c r="W178" s="32" t="n">
        <f>14168</f>
        <v>14168.0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2060</f>
        <v>2060.0</v>
      </c>
      <c r="L179" s="34" t="s">
        <v>48</v>
      </c>
      <c r="M179" s="33" t="n">
        <f>2060</f>
        <v>2060.0</v>
      </c>
      <c r="N179" s="34" t="s">
        <v>48</v>
      </c>
      <c r="O179" s="33" t="n">
        <f>1999</f>
        <v>1999.0</v>
      </c>
      <c r="P179" s="34" t="s">
        <v>225</v>
      </c>
      <c r="Q179" s="33" t="n">
        <f>2040</f>
        <v>2040.0</v>
      </c>
      <c r="R179" s="34" t="s">
        <v>51</v>
      </c>
      <c r="S179" s="35" t="n">
        <f>2031.9</f>
        <v>2031.9</v>
      </c>
      <c r="T179" s="32" t="n">
        <f>423550</f>
        <v>423550.0</v>
      </c>
      <c r="U179" s="32" t="str">
        <f>"－"</f>
        <v>－</v>
      </c>
      <c r="V179" s="32" t="n">
        <f>859767000</f>
        <v>8.59767E8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1901</f>
        <v>1901.0</v>
      </c>
      <c r="L180" s="34" t="s">
        <v>48</v>
      </c>
      <c r="M180" s="33" t="n">
        <f>1945</f>
        <v>1945.0</v>
      </c>
      <c r="N180" s="34" t="s">
        <v>159</v>
      </c>
      <c r="O180" s="33" t="n">
        <f>1876</f>
        <v>1876.0</v>
      </c>
      <c r="P180" s="34" t="s">
        <v>85</v>
      </c>
      <c r="Q180" s="33" t="n">
        <f>1898</f>
        <v>1898.0</v>
      </c>
      <c r="R180" s="34" t="s">
        <v>51</v>
      </c>
      <c r="S180" s="35" t="n">
        <f>1889.35</f>
        <v>1889.35</v>
      </c>
      <c r="T180" s="32" t="n">
        <f>122036</f>
        <v>122036.0</v>
      </c>
      <c r="U180" s="32" t="n">
        <f>1</f>
        <v>1.0</v>
      </c>
      <c r="V180" s="32" t="n">
        <f>231438235</f>
        <v>2.31438235E8</v>
      </c>
      <c r="W180" s="32" t="n">
        <f>1905</f>
        <v>1905.0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1048</f>
        <v>1048.0</v>
      </c>
      <c r="L181" s="34" t="s">
        <v>48</v>
      </c>
      <c r="M181" s="33" t="n">
        <f>1083</f>
        <v>1083.0</v>
      </c>
      <c r="N181" s="34" t="s">
        <v>49</v>
      </c>
      <c r="O181" s="33" t="n">
        <f>1010</f>
        <v>1010.0</v>
      </c>
      <c r="P181" s="34" t="s">
        <v>50</v>
      </c>
      <c r="Q181" s="33" t="n">
        <f>1030</f>
        <v>1030.0</v>
      </c>
      <c r="R181" s="34" t="s">
        <v>51</v>
      </c>
      <c r="S181" s="35" t="n">
        <f>1056.25</f>
        <v>1056.25</v>
      </c>
      <c r="T181" s="32" t="n">
        <f>1501844</f>
        <v>1501844.0</v>
      </c>
      <c r="U181" s="32" t="n">
        <f>344420</f>
        <v>344420.0</v>
      </c>
      <c r="V181" s="32" t="n">
        <f>1579436367</f>
        <v>1.579436367E9</v>
      </c>
      <c r="W181" s="32" t="n">
        <f>364902829</f>
        <v>3.64902829E8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1152</f>
        <v>1152.0</v>
      </c>
      <c r="L182" s="34" t="s">
        <v>48</v>
      </c>
      <c r="M182" s="33" t="n">
        <f>1161</f>
        <v>1161.0</v>
      </c>
      <c r="N182" s="34" t="s">
        <v>62</v>
      </c>
      <c r="O182" s="33" t="n">
        <f>1067</f>
        <v>1067.0</v>
      </c>
      <c r="P182" s="34" t="s">
        <v>71</v>
      </c>
      <c r="Q182" s="33" t="n">
        <f>1089</f>
        <v>1089.0</v>
      </c>
      <c r="R182" s="34" t="s">
        <v>51</v>
      </c>
      <c r="S182" s="35" t="n">
        <f>1105.45</f>
        <v>1105.45</v>
      </c>
      <c r="T182" s="32" t="n">
        <f>287334</f>
        <v>287334.0</v>
      </c>
      <c r="U182" s="32" t="str">
        <f>"－"</f>
        <v>－</v>
      </c>
      <c r="V182" s="32" t="n">
        <f>315083498</f>
        <v>3.15083498E8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1047</f>
        <v>1047.0</v>
      </c>
      <c r="L183" s="34" t="s">
        <v>48</v>
      </c>
      <c r="M183" s="33" t="n">
        <f>1047</f>
        <v>1047.0</v>
      </c>
      <c r="N183" s="34" t="s">
        <v>48</v>
      </c>
      <c r="O183" s="33" t="n">
        <f>983</f>
        <v>983.0</v>
      </c>
      <c r="P183" s="34" t="s">
        <v>51</v>
      </c>
      <c r="Q183" s="33" t="n">
        <f>985</f>
        <v>985.0</v>
      </c>
      <c r="R183" s="34" t="s">
        <v>51</v>
      </c>
      <c r="S183" s="35" t="n">
        <f>1010.35</f>
        <v>1010.35</v>
      </c>
      <c r="T183" s="32" t="n">
        <f>243913</f>
        <v>243913.0</v>
      </c>
      <c r="U183" s="32" t="str">
        <f>"－"</f>
        <v>－</v>
      </c>
      <c r="V183" s="32" t="n">
        <f>244678978</f>
        <v>2.44678978E8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174</f>
        <v>174.0</v>
      </c>
      <c r="L184" s="34" t="s">
        <v>48</v>
      </c>
      <c r="M184" s="33" t="n">
        <f>190</f>
        <v>190.0</v>
      </c>
      <c r="N184" s="34" t="s">
        <v>66</v>
      </c>
      <c r="O184" s="33" t="n">
        <f>169</f>
        <v>169.0</v>
      </c>
      <c r="P184" s="34" t="s">
        <v>50</v>
      </c>
      <c r="Q184" s="33" t="n">
        <f>183.6</f>
        <v>183.6</v>
      </c>
      <c r="R184" s="34" t="s">
        <v>51</v>
      </c>
      <c r="S184" s="35" t="n">
        <f>178.22</f>
        <v>178.22</v>
      </c>
      <c r="T184" s="32" t="n">
        <f>4728090</f>
        <v>4728090.0</v>
      </c>
      <c r="U184" s="32" t="n">
        <f>1120</f>
        <v>1120.0</v>
      </c>
      <c r="V184" s="32" t="n">
        <f>849260596</f>
        <v>8.49260596E8</v>
      </c>
      <c r="W184" s="32" t="n">
        <f>197648</f>
        <v>197648.0</v>
      </c>
      <c r="X184" s="36" t="n">
        <f>20</f>
        <v>20.0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416</v>
      </c>
      <c r="J185" s="32" t="n">
        <v>1.0</v>
      </c>
      <c r="K185" s="33" t="n">
        <f>6950</f>
        <v>6950.0</v>
      </c>
      <c r="L185" s="34" t="s">
        <v>48</v>
      </c>
      <c r="M185" s="33" t="n">
        <f>8150</f>
        <v>8150.0</v>
      </c>
      <c r="N185" s="34" t="s">
        <v>70</v>
      </c>
      <c r="O185" s="33" t="n">
        <f>6655</f>
        <v>6655.0</v>
      </c>
      <c r="P185" s="34" t="s">
        <v>62</v>
      </c>
      <c r="Q185" s="33" t="n">
        <f>6968</f>
        <v>6968.0</v>
      </c>
      <c r="R185" s="34" t="s">
        <v>51</v>
      </c>
      <c r="S185" s="35" t="n">
        <f>7383.95</f>
        <v>7383.95</v>
      </c>
      <c r="T185" s="32" t="n">
        <f>143761</f>
        <v>143761.0</v>
      </c>
      <c r="U185" s="32" t="n">
        <f>100</f>
        <v>100.0</v>
      </c>
      <c r="V185" s="32" t="n">
        <f>1068708025</f>
        <v>1.068708025E9</v>
      </c>
      <c r="W185" s="32" t="n">
        <f>770700</f>
        <v>770700.0</v>
      </c>
      <c r="X185" s="36" t="n">
        <f>20</f>
        <v>20.0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416</v>
      </c>
      <c r="J186" s="32" t="n">
        <v>1.0</v>
      </c>
      <c r="K186" s="33" t="n">
        <f>6990</f>
        <v>6990.0</v>
      </c>
      <c r="L186" s="34" t="s">
        <v>48</v>
      </c>
      <c r="M186" s="33" t="n">
        <f>7077</f>
        <v>7077.0</v>
      </c>
      <c r="N186" s="34" t="s">
        <v>62</v>
      </c>
      <c r="O186" s="33" t="n">
        <f>6344</f>
        <v>6344.0</v>
      </c>
      <c r="P186" s="34" t="s">
        <v>303</v>
      </c>
      <c r="Q186" s="33" t="n">
        <f>6800</f>
        <v>6800.0</v>
      </c>
      <c r="R186" s="34" t="s">
        <v>51</v>
      </c>
      <c r="S186" s="35" t="n">
        <f>6663.8</f>
        <v>6663.8</v>
      </c>
      <c r="T186" s="32" t="n">
        <f>16691</f>
        <v>16691.0</v>
      </c>
      <c r="U186" s="32" t="str">
        <f>"－"</f>
        <v>－</v>
      </c>
      <c r="V186" s="32" t="n">
        <f>110930378</f>
        <v>1.10930378E8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416</v>
      </c>
      <c r="J187" s="32" t="n">
        <v>1.0</v>
      </c>
      <c r="K187" s="33" t="n">
        <f>10000</f>
        <v>10000.0</v>
      </c>
      <c r="L187" s="34" t="s">
        <v>48</v>
      </c>
      <c r="M187" s="33" t="n">
        <f>11095</f>
        <v>11095.0</v>
      </c>
      <c r="N187" s="34" t="s">
        <v>70</v>
      </c>
      <c r="O187" s="33" t="n">
        <f>9590</f>
        <v>9590.0</v>
      </c>
      <c r="P187" s="34" t="s">
        <v>50</v>
      </c>
      <c r="Q187" s="33" t="n">
        <f>9641</f>
        <v>9641.0</v>
      </c>
      <c r="R187" s="34" t="s">
        <v>51</v>
      </c>
      <c r="S187" s="35" t="n">
        <f>10395.1</f>
        <v>10395.1</v>
      </c>
      <c r="T187" s="32" t="n">
        <f>2380</f>
        <v>2380.0</v>
      </c>
      <c r="U187" s="32" t="str">
        <f>"－"</f>
        <v>－</v>
      </c>
      <c r="V187" s="32" t="n">
        <f>24520908</f>
        <v>2.4520908E7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416</v>
      </c>
      <c r="J188" s="32" t="n">
        <v>1.0</v>
      </c>
      <c r="K188" s="33" t="n">
        <f>7550</f>
        <v>7550.0</v>
      </c>
      <c r="L188" s="34" t="s">
        <v>48</v>
      </c>
      <c r="M188" s="33" t="n">
        <f>7619</f>
        <v>7619.0</v>
      </c>
      <c r="N188" s="34" t="s">
        <v>62</v>
      </c>
      <c r="O188" s="33" t="n">
        <f>7036</f>
        <v>7036.0</v>
      </c>
      <c r="P188" s="34" t="s">
        <v>49</v>
      </c>
      <c r="Q188" s="33" t="n">
        <f>7372</f>
        <v>7372.0</v>
      </c>
      <c r="R188" s="34" t="s">
        <v>51</v>
      </c>
      <c r="S188" s="35" t="n">
        <f>7350.85</f>
        <v>7350.85</v>
      </c>
      <c r="T188" s="32" t="n">
        <f>4750</f>
        <v>4750.0</v>
      </c>
      <c r="U188" s="32" t="str">
        <f>"－"</f>
        <v>－</v>
      </c>
      <c r="V188" s="32" t="n">
        <f>34544138</f>
        <v>3.4544138E7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416</v>
      </c>
      <c r="J189" s="32" t="n">
        <v>1.0</v>
      </c>
      <c r="K189" s="33" t="n">
        <f>77970</f>
        <v>77970.0</v>
      </c>
      <c r="L189" s="34" t="s">
        <v>48</v>
      </c>
      <c r="M189" s="33" t="n">
        <f>89180</f>
        <v>89180.0</v>
      </c>
      <c r="N189" s="34" t="s">
        <v>51</v>
      </c>
      <c r="O189" s="33" t="n">
        <f>73700</f>
        <v>73700.0</v>
      </c>
      <c r="P189" s="34" t="s">
        <v>50</v>
      </c>
      <c r="Q189" s="33" t="n">
        <f>88950</f>
        <v>88950.0</v>
      </c>
      <c r="R189" s="34" t="s">
        <v>51</v>
      </c>
      <c r="S189" s="35" t="n">
        <f>81520</f>
        <v>81520.0</v>
      </c>
      <c r="T189" s="32" t="n">
        <f>106032</f>
        <v>106032.0</v>
      </c>
      <c r="U189" s="32" t="n">
        <f>8</f>
        <v>8.0</v>
      </c>
      <c r="V189" s="32" t="n">
        <f>8705587550</f>
        <v>8.70558755E9</v>
      </c>
      <c r="W189" s="32" t="n">
        <f>645080</f>
        <v>645080.0</v>
      </c>
      <c r="X189" s="36" t="n">
        <f>20</f>
        <v>20.0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416</v>
      </c>
      <c r="J190" s="32" t="n">
        <v>1.0</v>
      </c>
      <c r="K190" s="33" t="n">
        <f>2310</f>
        <v>2310.0</v>
      </c>
      <c r="L190" s="34" t="s">
        <v>48</v>
      </c>
      <c r="M190" s="33" t="n">
        <f>2388</f>
        <v>2388.0</v>
      </c>
      <c r="N190" s="34" t="s">
        <v>50</v>
      </c>
      <c r="O190" s="33" t="n">
        <f>2161</f>
        <v>2161.0</v>
      </c>
      <c r="P190" s="34" t="s">
        <v>51</v>
      </c>
      <c r="Q190" s="33" t="n">
        <f>2181</f>
        <v>2181.0</v>
      </c>
      <c r="R190" s="34" t="s">
        <v>51</v>
      </c>
      <c r="S190" s="35" t="n">
        <f>2261.05</f>
        <v>2261.05</v>
      </c>
      <c r="T190" s="32" t="n">
        <f>25314</f>
        <v>25314.0</v>
      </c>
      <c r="U190" s="32" t="str">
        <f>"－"</f>
        <v>－</v>
      </c>
      <c r="V190" s="32" t="n">
        <f>57431828</f>
        <v>5.7431828E7</v>
      </c>
      <c r="W190" s="32" t="str">
        <f>"－"</f>
        <v>－</v>
      </c>
      <c r="X190" s="36" t="n">
        <f>20</f>
        <v>20.0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416</v>
      </c>
      <c r="J191" s="32" t="n">
        <v>1.0</v>
      </c>
      <c r="K191" s="33" t="n">
        <f>1824</f>
        <v>1824.0</v>
      </c>
      <c r="L191" s="34" t="s">
        <v>48</v>
      </c>
      <c r="M191" s="33" t="n">
        <f>1862</f>
        <v>1862.0</v>
      </c>
      <c r="N191" s="34" t="s">
        <v>85</v>
      </c>
      <c r="O191" s="33" t="n">
        <f>1530</f>
        <v>1530.0</v>
      </c>
      <c r="P191" s="34" t="s">
        <v>50</v>
      </c>
      <c r="Q191" s="33" t="n">
        <f>1768</f>
        <v>1768.0</v>
      </c>
      <c r="R191" s="34" t="s">
        <v>51</v>
      </c>
      <c r="S191" s="35" t="n">
        <f>1716.15</f>
        <v>1716.15</v>
      </c>
      <c r="T191" s="32" t="n">
        <f>4214102</f>
        <v>4214102.0</v>
      </c>
      <c r="U191" s="32" t="n">
        <f>64</f>
        <v>64.0</v>
      </c>
      <c r="V191" s="32" t="n">
        <f>7139322616</f>
        <v>7.139322616E9</v>
      </c>
      <c r="W191" s="32" t="n">
        <f>107426</f>
        <v>107426.0</v>
      </c>
      <c r="X191" s="36" t="n">
        <f>20</f>
        <v>20.0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416</v>
      </c>
      <c r="J192" s="32" t="n">
        <v>1.0</v>
      </c>
      <c r="K192" s="33" t="n">
        <f>933</f>
        <v>933.0</v>
      </c>
      <c r="L192" s="34" t="s">
        <v>48</v>
      </c>
      <c r="M192" s="33" t="n">
        <f>1015</f>
        <v>1015.0</v>
      </c>
      <c r="N192" s="34" t="s">
        <v>50</v>
      </c>
      <c r="O192" s="33" t="n">
        <f>927</f>
        <v>927.0</v>
      </c>
      <c r="P192" s="34" t="s">
        <v>85</v>
      </c>
      <c r="Q192" s="33" t="n">
        <f>940</f>
        <v>940.0</v>
      </c>
      <c r="R192" s="34" t="s">
        <v>51</v>
      </c>
      <c r="S192" s="35" t="n">
        <f>964.15</f>
        <v>964.15</v>
      </c>
      <c r="T192" s="32" t="n">
        <f>1209333</f>
        <v>1209333.0</v>
      </c>
      <c r="U192" s="32" t="n">
        <f>102</f>
        <v>102.0</v>
      </c>
      <c r="V192" s="32" t="n">
        <f>1179960253</f>
        <v>1.179960253E9</v>
      </c>
      <c r="W192" s="32" t="n">
        <f>98824</f>
        <v>98824.0</v>
      </c>
      <c r="X192" s="36" t="n">
        <f>20</f>
        <v>20.0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416</v>
      </c>
      <c r="J193" s="32" t="n">
        <v>1.0</v>
      </c>
      <c r="K193" s="33" t="n">
        <f>31720</f>
        <v>31720.0</v>
      </c>
      <c r="L193" s="34" t="s">
        <v>48</v>
      </c>
      <c r="M193" s="33" t="n">
        <f>31740</f>
        <v>31740.0</v>
      </c>
      <c r="N193" s="34" t="s">
        <v>48</v>
      </c>
      <c r="O193" s="33" t="n">
        <f>27800</f>
        <v>27800.0</v>
      </c>
      <c r="P193" s="34" t="s">
        <v>71</v>
      </c>
      <c r="Q193" s="33" t="n">
        <f>27925</f>
        <v>27925.0</v>
      </c>
      <c r="R193" s="34" t="s">
        <v>51</v>
      </c>
      <c r="S193" s="35" t="n">
        <f>29309.5</f>
        <v>29309.5</v>
      </c>
      <c r="T193" s="32" t="n">
        <f>38762</f>
        <v>38762.0</v>
      </c>
      <c r="U193" s="32" t="n">
        <f>2</f>
        <v>2.0</v>
      </c>
      <c r="V193" s="32" t="n">
        <f>1127880730</f>
        <v>1.12788073E9</v>
      </c>
      <c r="W193" s="32" t="n">
        <f>59010</f>
        <v>59010.0</v>
      </c>
      <c r="X193" s="36" t="n">
        <f>20</f>
        <v>20.0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416</v>
      </c>
      <c r="J194" s="32" t="n">
        <v>1.0</v>
      </c>
      <c r="K194" s="33" t="n">
        <f>2333</f>
        <v>2333.0</v>
      </c>
      <c r="L194" s="34" t="s">
        <v>48</v>
      </c>
      <c r="M194" s="33" t="n">
        <f>2503</f>
        <v>2503.0</v>
      </c>
      <c r="N194" s="34" t="s">
        <v>71</v>
      </c>
      <c r="O194" s="33" t="n">
        <f>2332</f>
        <v>2332.0</v>
      </c>
      <c r="P194" s="34" t="s">
        <v>48</v>
      </c>
      <c r="Q194" s="33" t="n">
        <f>2496</f>
        <v>2496.0</v>
      </c>
      <c r="R194" s="34" t="s">
        <v>51</v>
      </c>
      <c r="S194" s="35" t="n">
        <f>2433.95</f>
        <v>2433.95</v>
      </c>
      <c r="T194" s="32" t="n">
        <f>272781</f>
        <v>272781.0</v>
      </c>
      <c r="U194" s="32" t="n">
        <f>1</f>
        <v>1.0</v>
      </c>
      <c r="V194" s="32" t="n">
        <f>663158573</f>
        <v>6.63158573E8</v>
      </c>
      <c r="W194" s="32" t="n">
        <f>2462</f>
        <v>2462.0</v>
      </c>
      <c r="X194" s="36" t="n">
        <f>20</f>
        <v>20.0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416</v>
      </c>
      <c r="J195" s="32" t="n">
        <v>1.0</v>
      </c>
      <c r="K195" s="33" t="n">
        <f>6928</f>
        <v>6928.0</v>
      </c>
      <c r="L195" s="34" t="s">
        <v>48</v>
      </c>
      <c r="M195" s="33" t="n">
        <f>7149</f>
        <v>7149.0</v>
      </c>
      <c r="N195" s="34" t="s">
        <v>85</v>
      </c>
      <c r="O195" s="33" t="n">
        <f>6549</f>
        <v>6549.0</v>
      </c>
      <c r="P195" s="34" t="s">
        <v>50</v>
      </c>
      <c r="Q195" s="33" t="n">
        <f>6833</f>
        <v>6833.0</v>
      </c>
      <c r="R195" s="34" t="s">
        <v>51</v>
      </c>
      <c r="S195" s="35" t="n">
        <f>6902.95</f>
        <v>6902.95</v>
      </c>
      <c r="T195" s="32" t="n">
        <f>18627</f>
        <v>18627.0</v>
      </c>
      <c r="U195" s="32" t="n">
        <f>1</f>
        <v>1.0</v>
      </c>
      <c r="V195" s="32" t="n">
        <f>126105293</f>
        <v>1.26105293E8</v>
      </c>
      <c r="W195" s="32" t="n">
        <f>7030</f>
        <v>7030.0</v>
      </c>
      <c r="X195" s="36" t="n">
        <f>20</f>
        <v>20.0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416</v>
      </c>
      <c r="J196" s="32" t="n">
        <v>1.0</v>
      </c>
      <c r="K196" s="33" t="n">
        <f>19865</f>
        <v>19865.0</v>
      </c>
      <c r="L196" s="34" t="s">
        <v>48</v>
      </c>
      <c r="M196" s="33" t="n">
        <f>21180</f>
        <v>21180.0</v>
      </c>
      <c r="N196" s="34" t="s">
        <v>85</v>
      </c>
      <c r="O196" s="33" t="n">
        <f>19575</f>
        <v>19575.0</v>
      </c>
      <c r="P196" s="34" t="s">
        <v>253</v>
      </c>
      <c r="Q196" s="33" t="n">
        <f>20545</f>
        <v>20545.0</v>
      </c>
      <c r="R196" s="34" t="s">
        <v>51</v>
      </c>
      <c r="S196" s="35" t="n">
        <f>20178.61</f>
        <v>20178.61</v>
      </c>
      <c r="T196" s="32" t="n">
        <f>322</f>
        <v>322.0</v>
      </c>
      <c r="U196" s="32" t="str">
        <f>"－"</f>
        <v>－</v>
      </c>
      <c r="V196" s="32" t="n">
        <f>6520795</f>
        <v>6520795.0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416</v>
      </c>
      <c r="J197" s="32" t="n">
        <v>1.0</v>
      </c>
      <c r="K197" s="33" t="n">
        <f>29670</f>
        <v>29670.0</v>
      </c>
      <c r="L197" s="34" t="s">
        <v>48</v>
      </c>
      <c r="M197" s="33" t="n">
        <f>30020</f>
        <v>30020.0</v>
      </c>
      <c r="N197" s="34" t="s">
        <v>48</v>
      </c>
      <c r="O197" s="33" t="n">
        <f>28275</f>
        <v>28275.0</v>
      </c>
      <c r="P197" s="34" t="s">
        <v>71</v>
      </c>
      <c r="Q197" s="33" t="n">
        <f>28920</f>
        <v>28920.0</v>
      </c>
      <c r="R197" s="34" t="s">
        <v>51</v>
      </c>
      <c r="S197" s="35" t="n">
        <f>29240.5</f>
        <v>29240.5</v>
      </c>
      <c r="T197" s="32" t="n">
        <f>18103</f>
        <v>18103.0</v>
      </c>
      <c r="U197" s="32" t="str">
        <f>"－"</f>
        <v>－</v>
      </c>
      <c r="V197" s="32" t="n">
        <f>529897875</f>
        <v>5.29897875E8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416</v>
      </c>
      <c r="J198" s="32" t="n">
        <v>1.0</v>
      </c>
      <c r="K198" s="33" t="n">
        <f>16145</f>
        <v>16145.0</v>
      </c>
      <c r="L198" s="34" t="s">
        <v>48</v>
      </c>
      <c r="M198" s="33" t="n">
        <f>16620</f>
        <v>16620.0</v>
      </c>
      <c r="N198" s="34" t="s">
        <v>85</v>
      </c>
      <c r="O198" s="33" t="n">
        <f>15580</f>
        <v>15580.0</v>
      </c>
      <c r="P198" s="34" t="s">
        <v>225</v>
      </c>
      <c r="Q198" s="33" t="n">
        <f>16590</f>
        <v>16590.0</v>
      </c>
      <c r="R198" s="34" t="s">
        <v>85</v>
      </c>
      <c r="S198" s="35" t="n">
        <f>16228</f>
        <v>16228.0</v>
      </c>
      <c r="T198" s="32" t="n">
        <f>238</f>
        <v>238.0</v>
      </c>
      <c r="U198" s="32" t="str">
        <f>"－"</f>
        <v>－</v>
      </c>
      <c r="V198" s="32" t="n">
        <f>3885865</f>
        <v>3885865.0</v>
      </c>
      <c r="W198" s="32" t="str">
        <f>"－"</f>
        <v>－</v>
      </c>
      <c r="X198" s="36" t="n">
        <f>15</f>
        <v>15.0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416</v>
      </c>
      <c r="J199" s="32" t="n">
        <v>1.0</v>
      </c>
      <c r="K199" s="33" t="n">
        <f>24930</f>
        <v>24930.0</v>
      </c>
      <c r="L199" s="34" t="s">
        <v>48</v>
      </c>
      <c r="M199" s="33" t="n">
        <f>29640</f>
        <v>29640.0</v>
      </c>
      <c r="N199" s="34" t="s">
        <v>66</v>
      </c>
      <c r="O199" s="33" t="n">
        <f>24220</f>
        <v>24220.0</v>
      </c>
      <c r="P199" s="34" t="s">
        <v>62</v>
      </c>
      <c r="Q199" s="33" t="n">
        <f>27295</f>
        <v>27295.0</v>
      </c>
      <c r="R199" s="34" t="s">
        <v>51</v>
      </c>
      <c r="S199" s="35" t="n">
        <f>26564.25</f>
        <v>26564.25</v>
      </c>
      <c r="T199" s="32" t="n">
        <f>62707</f>
        <v>62707.0</v>
      </c>
      <c r="U199" s="32" t="n">
        <f>144</f>
        <v>144.0</v>
      </c>
      <c r="V199" s="32" t="n">
        <f>1690982125</f>
        <v>1.690982125E9</v>
      </c>
      <c r="W199" s="32" t="n">
        <f>3562005</f>
        <v>3562005.0</v>
      </c>
      <c r="X199" s="36" t="n">
        <f>20</f>
        <v>20.0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416</v>
      </c>
      <c r="J200" s="32" t="n">
        <v>1.0</v>
      </c>
      <c r="K200" s="33" t="n">
        <f>3735</f>
        <v>3735.0</v>
      </c>
      <c r="L200" s="34" t="s">
        <v>48</v>
      </c>
      <c r="M200" s="33" t="n">
        <f>3815</f>
        <v>3815.0</v>
      </c>
      <c r="N200" s="34" t="s">
        <v>159</v>
      </c>
      <c r="O200" s="33" t="n">
        <f>3590</f>
        <v>3590.0</v>
      </c>
      <c r="P200" s="34" t="s">
        <v>72</v>
      </c>
      <c r="Q200" s="33" t="n">
        <f>3690</f>
        <v>3690.0</v>
      </c>
      <c r="R200" s="34" t="s">
        <v>51</v>
      </c>
      <c r="S200" s="35" t="n">
        <f>3677.37</f>
        <v>3677.37</v>
      </c>
      <c r="T200" s="32" t="n">
        <f>8453</f>
        <v>8453.0</v>
      </c>
      <c r="U200" s="32" t="str">
        <f>"－"</f>
        <v>－</v>
      </c>
      <c r="V200" s="32" t="n">
        <f>30929575</f>
        <v>3.0929575E7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416</v>
      </c>
      <c r="J201" s="32" t="n">
        <v>1.0</v>
      </c>
      <c r="K201" s="33" t="n">
        <f>31770</f>
        <v>31770.0</v>
      </c>
      <c r="L201" s="34" t="s">
        <v>225</v>
      </c>
      <c r="M201" s="33" t="n">
        <f>33500</f>
        <v>33500.0</v>
      </c>
      <c r="N201" s="34" t="s">
        <v>49</v>
      </c>
      <c r="O201" s="33" t="n">
        <f>30040</f>
        <v>30040.0</v>
      </c>
      <c r="P201" s="34" t="s">
        <v>50</v>
      </c>
      <c r="Q201" s="33" t="n">
        <f>32330</f>
        <v>32330.0</v>
      </c>
      <c r="R201" s="34" t="s">
        <v>51</v>
      </c>
      <c r="S201" s="35" t="n">
        <f>32227</f>
        <v>32227.0</v>
      </c>
      <c r="T201" s="32" t="n">
        <f>689</f>
        <v>689.0</v>
      </c>
      <c r="U201" s="32" t="str">
        <f>"－"</f>
        <v>－</v>
      </c>
      <c r="V201" s="32" t="n">
        <f>22336360</f>
        <v>2.233636E7</v>
      </c>
      <c r="W201" s="32" t="str">
        <f>"－"</f>
        <v>－</v>
      </c>
      <c r="X201" s="36" t="n">
        <f>10</f>
        <v>10.0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416</v>
      </c>
      <c r="J202" s="32" t="n">
        <v>1.0</v>
      </c>
      <c r="K202" s="33" t="n">
        <f>19760</f>
        <v>19760.0</v>
      </c>
      <c r="L202" s="34" t="s">
        <v>48</v>
      </c>
      <c r="M202" s="33" t="n">
        <f>20485</f>
        <v>20485.0</v>
      </c>
      <c r="N202" s="34" t="s">
        <v>155</v>
      </c>
      <c r="O202" s="33" t="n">
        <f>19760</f>
        <v>19760.0</v>
      </c>
      <c r="P202" s="34" t="s">
        <v>48</v>
      </c>
      <c r="Q202" s="33" t="n">
        <f>20000</f>
        <v>20000.0</v>
      </c>
      <c r="R202" s="34" t="s">
        <v>51</v>
      </c>
      <c r="S202" s="35" t="n">
        <f>19985</f>
        <v>19985.0</v>
      </c>
      <c r="T202" s="32" t="n">
        <f>23</f>
        <v>23.0</v>
      </c>
      <c r="U202" s="32" t="str">
        <f>"－"</f>
        <v>－</v>
      </c>
      <c r="V202" s="32" t="n">
        <f>461165</f>
        <v>461165.0</v>
      </c>
      <c r="W202" s="32" t="str">
        <f>"－"</f>
        <v>－</v>
      </c>
      <c r="X202" s="36" t="n">
        <f>7</f>
        <v>7.0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416</v>
      </c>
      <c r="J203" s="32" t="n">
        <v>1.0</v>
      </c>
      <c r="K203" s="33" t="n">
        <f>35840</f>
        <v>35840.0</v>
      </c>
      <c r="L203" s="34" t="s">
        <v>159</v>
      </c>
      <c r="M203" s="33" t="n">
        <f>37460</f>
        <v>37460.0</v>
      </c>
      <c r="N203" s="34" t="s">
        <v>155</v>
      </c>
      <c r="O203" s="33" t="n">
        <f>34660</f>
        <v>34660.0</v>
      </c>
      <c r="P203" s="34" t="s">
        <v>50</v>
      </c>
      <c r="Q203" s="33" t="n">
        <f>36750</f>
        <v>36750.0</v>
      </c>
      <c r="R203" s="34" t="s">
        <v>205</v>
      </c>
      <c r="S203" s="35" t="n">
        <f>36003.75</f>
        <v>36003.75</v>
      </c>
      <c r="T203" s="32" t="n">
        <f>246</f>
        <v>246.0</v>
      </c>
      <c r="U203" s="32" t="str">
        <f>"－"</f>
        <v>－</v>
      </c>
      <c r="V203" s="32" t="n">
        <f>8710360</f>
        <v>8710360.0</v>
      </c>
      <c r="W203" s="32" t="str">
        <f>"－"</f>
        <v>－</v>
      </c>
      <c r="X203" s="36" t="n">
        <f>8</f>
        <v>8.0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416</v>
      </c>
      <c r="J204" s="32" t="n">
        <v>1.0</v>
      </c>
      <c r="K204" s="33" t="n">
        <f>19435</f>
        <v>19435.0</v>
      </c>
      <c r="L204" s="34" t="s">
        <v>212</v>
      </c>
      <c r="M204" s="33" t="n">
        <f>20295</f>
        <v>20295.0</v>
      </c>
      <c r="N204" s="34" t="s">
        <v>85</v>
      </c>
      <c r="O204" s="33" t="n">
        <f>18845</f>
        <v>18845.0</v>
      </c>
      <c r="P204" s="34" t="s">
        <v>304</v>
      </c>
      <c r="Q204" s="33" t="n">
        <f>20295</f>
        <v>20295.0</v>
      </c>
      <c r="R204" s="34" t="s">
        <v>85</v>
      </c>
      <c r="S204" s="35" t="n">
        <f>19292.5</f>
        <v>19292.5</v>
      </c>
      <c r="T204" s="32" t="n">
        <f>61</f>
        <v>61.0</v>
      </c>
      <c r="U204" s="32" t="str">
        <f>"－"</f>
        <v>－</v>
      </c>
      <c r="V204" s="32" t="n">
        <f>1174885</f>
        <v>1174885.0</v>
      </c>
      <c r="W204" s="32" t="str">
        <f>"－"</f>
        <v>－</v>
      </c>
      <c r="X204" s="36" t="n">
        <f>8</f>
        <v>8.0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416</v>
      </c>
      <c r="J205" s="32" t="n">
        <v>1.0</v>
      </c>
      <c r="K205" s="33" t="n">
        <f>19700</f>
        <v>19700.0</v>
      </c>
      <c r="L205" s="34" t="s">
        <v>48</v>
      </c>
      <c r="M205" s="33" t="n">
        <f>20395</f>
        <v>20395.0</v>
      </c>
      <c r="N205" s="34" t="s">
        <v>49</v>
      </c>
      <c r="O205" s="33" t="n">
        <f>19225</f>
        <v>19225.0</v>
      </c>
      <c r="P205" s="34" t="s">
        <v>299</v>
      </c>
      <c r="Q205" s="33" t="n">
        <f>19250</f>
        <v>19250.0</v>
      </c>
      <c r="R205" s="34" t="s">
        <v>51</v>
      </c>
      <c r="S205" s="35" t="n">
        <f>19859.12</f>
        <v>19859.12</v>
      </c>
      <c r="T205" s="32" t="n">
        <f>410</f>
        <v>410.0</v>
      </c>
      <c r="U205" s="32" t="str">
        <f>"－"</f>
        <v>－</v>
      </c>
      <c r="V205" s="32" t="n">
        <f>8198155</f>
        <v>8198155.0</v>
      </c>
      <c r="W205" s="32" t="str">
        <f>"－"</f>
        <v>－</v>
      </c>
      <c r="X205" s="36" t="n">
        <f>17</f>
        <v>17.0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416</v>
      </c>
      <c r="J206" s="32" t="n">
        <v>1.0</v>
      </c>
      <c r="K206" s="33" t="n">
        <f>22930</f>
        <v>22930.0</v>
      </c>
      <c r="L206" s="34" t="s">
        <v>48</v>
      </c>
      <c r="M206" s="33" t="n">
        <f>23500</f>
        <v>23500.0</v>
      </c>
      <c r="N206" s="34" t="s">
        <v>155</v>
      </c>
      <c r="O206" s="33" t="n">
        <f>22425</f>
        <v>22425.0</v>
      </c>
      <c r="P206" s="34" t="s">
        <v>225</v>
      </c>
      <c r="Q206" s="33" t="n">
        <f>23500</f>
        <v>23500.0</v>
      </c>
      <c r="R206" s="34" t="s">
        <v>155</v>
      </c>
      <c r="S206" s="35" t="n">
        <f>22951.67</f>
        <v>22951.67</v>
      </c>
      <c r="T206" s="32" t="n">
        <f>42</f>
        <v>42.0</v>
      </c>
      <c r="U206" s="32" t="str">
        <f>"－"</f>
        <v>－</v>
      </c>
      <c r="V206" s="32" t="n">
        <f>982680</f>
        <v>982680.0</v>
      </c>
      <c r="W206" s="32" t="str">
        <f>"－"</f>
        <v>－</v>
      </c>
      <c r="X206" s="36" t="n">
        <f>3</f>
        <v>3.0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416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416</v>
      </c>
      <c r="J208" s="32" t="n">
        <v>1.0</v>
      </c>
      <c r="K208" s="33" t="n">
        <f>12020</f>
        <v>12020.0</v>
      </c>
      <c r="L208" s="34" t="s">
        <v>48</v>
      </c>
      <c r="M208" s="33" t="n">
        <f>12200</f>
        <v>12200.0</v>
      </c>
      <c r="N208" s="34" t="s">
        <v>72</v>
      </c>
      <c r="O208" s="33" t="n">
        <f>11805</f>
        <v>11805.0</v>
      </c>
      <c r="P208" s="34" t="s">
        <v>71</v>
      </c>
      <c r="Q208" s="33" t="n">
        <f>11860</f>
        <v>11860.0</v>
      </c>
      <c r="R208" s="34" t="s">
        <v>51</v>
      </c>
      <c r="S208" s="35" t="n">
        <f>11990</f>
        <v>11990.0</v>
      </c>
      <c r="T208" s="32" t="n">
        <f>3803</f>
        <v>3803.0</v>
      </c>
      <c r="U208" s="32" t="str">
        <f>"－"</f>
        <v>－</v>
      </c>
      <c r="V208" s="32" t="n">
        <f>45386985</f>
        <v>4.5386985E7</v>
      </c>
      <c r="W208" s="32" t="str">
        <f>"－"</f>
        <v>－</v>
      </c>
      <c r="X208" s="36" t="n">
        <f>7</f>
        <v>7.0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416</v>
      </c>
      <c r="J209" s="32" t="n">
        <v>1.0</v>
      </c>
      <c r="K209" s="33" t="n">
        <f>14105</f>
        <v>14105.0</v>
      </c>
      <c r="L209" s="34" t="s">
        <v>48</v>
      </c>
      <c r="M209" s="33" t="n">
        <f>14590</f>
        <v>14590.0</v>
      </c>
      <c r="N209" s="34" t="s">
        <v>85</v>
      </c>
      <c r="O209" s="33" t="n">
        <f>13875</f>
        <v>13875.0</v>
      </c>
      <c r="P209" s="34" t="s">
        <v>71</v>
      </c>
      <c r="Q209" s="33" t="n">
        <f>13980</f>
        <v>13980.0</v>
      </c>
      <c r="R209" s="34" t="s">
        <v>51</v>
      </c>
      <c r="S209" s="35" t="n">
        <f>14253.75</f>
        <v>14253.75</v>
      </c>
      <c r="T209" s="32" t="n">
        <f>7517</f>
        <v>7517.0</v>
      </c>
      <c r="U209" s="32" t="n">
        <f>1</f>
        <v>1.0</v>
      </c>
      <c r="V209" s="32" t="n">
        <f>106743720</f>
        <v>1.0674372E8</v>
      </c>
      <c r="W209" s="32" t="n">
        <f>14590</f>
        <v>14590.0</v>
      </c>
      <c r="X209" s="36" t="n">
        <f>16</f>
        <v>16.0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416</v>
      </c>
      <c r="J210" s="32" t="n">
        <v>1.0</v>
      </c>
      <c r="K210" s="33" t="n">
        <f>12495</f>
        <v>12495.0</v>
      </c>
      <c r="L210" s="34" t="s">
        <v>48</v>
      </c>
      <c r="M210" s="33" t="n">
        <f>13020</f>
        <v>13020.0</v>
      </c>
      <c r="N210" s="34" t="s">
        <v>70</v>
      </c>
      <c r="O210" s="33" t="n">
        <f>12455</f>
        <v>12455.0</v>
      </c>
      <c r="P210" s="34" t="s">
        <v>304</v>
      </c>
      <c r="Q210" s="33" t="n">
        <f>12570</f>
        <v>12570.0</v>
      </c>
      <c r="R210" s="34" t="s">
        <v>51</v>
      </c>
      <c r="S210" s="35" t="n">
        <f>12690</f>
        <v>12690.0</v>
      </c>
      <c r="T210" s="32" t="n">
        <f>5863</f>
        <v>5863.0</v>
      </c>
      <c r="U210" s="32" t="n">
        <f>1</f>
        <v>1.0</v>
      </c>
      <c r="V210" s="32" t="n">
        <f>74023325</f>
        <v>7.4023325E7</v>
      </c>
      <c r="W210" s="32" t="n">
        <f>12570</f>
        <v>12570.0</v>
      </c>
      <c r="X210" s="36" t="n">
        <f>10</f>
        <v>10.0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416</v>
      </c>
      <c r="J211" s="32" t="n">
        <v>1.0</v>
      </c>
      <c r="K211" s="33" t="n">
        <f>13680</f>
        <v>13680.0</v>
      </c>
      <c r="L211" s="34" t="s">
        <v>159</v>
      </c>
      <c r="M211" s="33" t="n">
        <f>13930</f>
        <v>13930.0</v>
      </c>
      <c r="N211" s="34" t="s">
        <v>205</v>
      </c>
      <c r="O211" s="33" t="n">
        <f>13120</f>
        <v>13120.0</v>
      </c>
      <c r="P211" s="34" t="s">
        <v>50</v>
      </c>
      <c r="Q211" s="33" t="n">
        <f>13650</f>
        <v>13650.0</v>
      </c>
      <c r="R211" s="34" t="s">
        <v>205</v>
      </c>
      <c r="S211" s="35" t="n">
        <f>13483.33</f>
        <v>13483.33</v>
      </c>
      <c r="T211" s="32" t="n">
        <f>22</f>
        <v>22.0</v>
      </c>
      <c r="U211" s="32" t="str">
        <f>"－"</f>
        <v>－</v>
      </c>
      <c r="V211" s="32" t="n">
        <f>297410</f>
        <v>297410.0</v>
      </c>
      <c r="W211" s="32" t="str">
        <f>"－"</f>
        <v>－</v>
      </c>
      <c r="X211" s="36" t="n">
        <f>3</f>
        <v>3.0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1210</f>
        <v>1210.0</v>
      </c>
      <c r="L212" s="34" t="s">
        <v>48</v>
      </c>
      <c r="M212" s="33" t="n">
        <f>1285</f>
        <v>1285.0</v>
      </c>
      <c r="N212" s="34" t="s">
        <v>155</v>
      </c>
      <c r="O212" s="33" t="n">
        <f>1179</f>
        <v>1179.0</v>
      </c>
      <c r="P212" s="34" t="s">
        <v>50</v>
      </c>
      <c r="Q212" s="33" t="n">
        <f>1228</f>
        <v>1228.0</v>
      </c>
      <c r="R212" s="34" t="s">
        <v>51</v>
      </c>
      <c r="S212" s="35" t="n">
        <f>1242.8</f>
        <v>1242.8</v>
      </c>
      <c r="T212" s="32" t="n">
        <f>1015613</f>
        <v>1015613.0</v>
      </c>
      <c r="U212" s="32" t="n">
        <f>732</f>
        <v>732.0</v>
      </c>
      <c r="V212" s="32" t="n">
        <f>1252585093</f>
        <v>1.252585093E9</v>
      </c>
      <c r="W212" s="32" t="n">
        <f>886705</f>
        <v>886705.0</v>
      </c>
      <c r="X212" s="36" t="n">
        <f>20</f>
        <v>20.0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1210</f>
        <v>1210.0</v>
      </c>
      <c r="L213" s="34" t="s">
        <v>48</v>
      </c>
      <c r="M213" s="33" t="n">
        <f>1338</f>
        <v>1338.0</v>
      </c>
      <c r="N213" s="34" t="s">
        <v>155</v>
      </c>
      <c r="O213" s="33" t="n">
        <f>1210</f>
        <v>1210.0</v>
      </c>
      <c r="P213" s="34" t="s">
        <v>48</v>
      </c>
      <c r="Q213" s="33" t="n">
        <f>1278</f>
        <v>1278.0</v>
      </c>
      <c r="R213" s="34" t="s">
        <v>51</v>
      </c>
      <c r="S213" s="35" t="n">
        <f>1288.1</f>
        <v>1288.1</v>
      </c>
      <c r="T213" s="32" t="n">
        <f>28822</f>
        <v>28822.0</v>
      </c>
      <c r="U213" s="32" t="str">
        <f>"－"</f>
        <v>－</v>
      </c>
      <c r="V213" s="32" t="n">
        <f>37458063</f>
        <v>3.7458063E7</v>
      </c>
      <c r="W213" s="32" t="str">
        <f>"－"</f>
        <v>－</v>
      </c>
      <c r="X213" s="36" t="n">
        <f>20</f>
        <v>20.0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1025</f>
        <v>1025.0</v>
      </c>
      <c r="L214" s="34" t="s">
        <v>48</v>
      </c>
      <c r="M214" s="33" t="n">
        <f>1053</f>
        <v>1053.0</v>
      </c>
      <c r="N214" s="34" t="s">
        <v>72</v>
      </c>
      <c r="O214" s="33" t="n">
        <f>997</f>
        <v>997.0</v>
      </c>
      <c r="P214" s="34" t="s">
        <v>50</v>
      </c>
      <c r="Q214" s="33" t="n">
        <f>1018</f>
        <v>1018.0</v>
      </c>
      <c r="R214" s="34" t="s">
        <v>51</v>
      </c>
      <c r="S214" s="35" t="n">
        <f>1033.3</f>
        <v>1033.3</v>
      </c>
      <c r="T214" s="32" t="n">
        <f>3908</f>
        <v>3908.0</v>
      </c>
      <c r="U214" s="32" t="str">
        <f>"－"</f>
        <v>－</v>
      </c>
      <c r="V214" s="32" t="n">
        <f>4038422</f>
        <v>4038422.0</v>
      </c>
      <c r="W214" s="32" t="str">
        <f>"－"</f>
        <v>－</v>
      </c>
      <c r="X214" s="36" t="n">
        <f>20</f>
        <v>20.0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2199</f>
        <v>2199.0</v>
      </c>
      <c r="L215" s="34" t="s">
        <v>48</v>
      </c>
      <c r="M215" s="33" t="n">
        <f>2209</f>
        <v>2209.0</v>
      </c>
      <c r="N215" s="34" t="s">
        <v>49</v>
      </c>
      <c r="O215" s="33" t="n">
        <f>2068</f>
        <v>2068.0</v>
      </c>
      <c r="P215" s="34" t="s">
        <v>50</v>
      </c>
      <c r="Q215" s="33" t="n">
        <f>2088</f>
        <v>2088.0</v>
      </c>
      <c r="R215" s="34" t="s">
        <v>51</v>
      </c>
      <c r="S215" s="35" t="n">
        <f>2161.55</f>
        <v>2161.55</v>
      </c>
      <c r="T215" s="32" t="n">
        <f>104768</f>
        <v>104768.0</v>
      </c>
      <c r="U215" s="32" t="n">
        <f>2</f>
        <v>2.0</v>
      </c>
      <c r="V215" s="32" t="n">
        <f>225919557</f>
        <v>2.25919557E8</v>
      </c>
      <c r="W215" s="32" t="n">
        <f>4286</f>
        <v>4286.0</v>
      </c>
      <c r="X215" s="36" t="n">
        <f>20</f>
        <v>20.0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2288</f>
        <v>2288.0</v>
      </c>
      <c r="L216" s="34" t="s">
        <v>48</v>
      </c>
      <c r="M216" s="33" t="n">
        <f>2384</f>
        <v>2384.0</v>
      </c>
      <c r="N216" s="34" t="s">
        <v>155</v>
      </c>
      <c r="O216" s="33" t="n">
        <f>2215</f>
        <v>2215.0</v>
      </c>
      <c r="P216" s="34" t="s">
        <v>50</v>
      </c>
      <c r="Q216" s="33" t="n">
        <f>2320</f>
        <v>2320.0</v>
      </c>
      <c r="R216" s="34" t="s">
        <v>51</v>
      </c>
      <c r="S216" s="35" t="n">
        <f>2323.75</f>
        <v>2323.75</v>
      </c>
      <c r="T216" s="32" t="n">
        <f>250379</f>
        <v>250379.0</v>
      </c>
      <c r="U216" s="32" t="str">
        <f>"－"</f>
        <v>－</v>
      </c>
      <c r="V216" s="32" t="n">
        <f>576960934</f>
        <v>5.76960934E8</v>
      </c>
      <c r="W216" s="32" t="str">
        <f>"－"</f>
        <v>－</v>
      </c>
      <c r="X216" s="36" t="n">
        <f>20</f>
        <v>20.0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565</f>
        <v>565.0</v>
      </c>
      <c r="L217" s="34" t="s">
        <v>48</v>
      </c>
      <c r="M217" s="33" t="n">
        <f>590</f>
        <v>590.0</v>
      </c>
      <c r="N217" s="34" t="s">
        <v>155</v>
      </c>
      <c r="O217" s="33" t="n">
        <f>556</f>
        <v>556.0</v>
      </c>
      <c r="P217" s="34" t="s">
        <v>159</v>
      </c>
      <c r="Q217" s="33" t="n">
        <f>570</f>
        <v>570.0</v>
      </c>
      <c r="R217" s="34" t="s">
        <v>51</v>
      </c>
      <c r="S217" s="35" t="n">
        <f>575.47</f>
        <v>575.47</v>
      </c>
      <c r="T217" s="32" t="n">
        <f>1846640</f>
        <v>1846640.0</v>
      </c>
      <c r="U217" s="32" t="n">
        <f>900000</f>
        <v>900000.0</v>
      </c>
      <c r="V217" s="32" t="n">
        <f>1053197666</f>
        <v>1.053197666E9</v>
      </c>
      <c r="W217" s="32" t="n">
        <f>510089900</f>
        <v>5.100899E8</v>
      </c>
      <c r="X217" s="36" t="n">
        <f>20</f>
        <v>20.0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2521</f>
        <v>2521.0</v>
      </c>
      <c r="L218" s="34" t="s">
        <v>48</v>
      </c>
      <c r="M218" s="33" t="n">
        <f>2521</f>
        <v>2521.0</v>
      </c>
      <c r="N218" s="34" t="s">
        <v>48</v>
      </c>
      <c r="O218" s="33" t="n">
        <f>2325</f>
        <v>2325.0</v>
      </c>
      <c r="P218" s="34" t="s">
        <v>51</v>
      </c>
      <c r="Q218" s="33" t="n">
        <f>2327.5</f>
        <v>2327.5</v>
      </c>
      <c r="R218" s="34" t="s">
        <v>51</v>
      </c>
      <c r="S218" s="35" t="n">
        <f>2415.1</f>
        <v>2415.1</v>
      </c>
      <c r="T218" s="32" t="n">
        <f>1041550</f>
        <v>1041550.0</v>
      </c>
      <c r="U218" s="32" t="n">
        <f>928000</f>
        <v>928000.0</v>
      </c>
      <c r="V218" s="32" t="n">
        <f>2478582417</f>
        <v>2.478582417E9</v>
      </c>
      <c r="W218" s="32" t="n">
        <f>2201680802</f>
        <v>2.201680802E9</v>
      </c>
      <c r="X218" s="36" t="n">
        <f>10</f>
        <v>10.0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2583</f>
        <v>2583.0</v>
      </c>
      <c r="L219" s="34" t="s">
        <v>48</v>
      </c>
      <c r="M219" s="33" t="n">
        <f>2583</f>
        <v>2583.0</v>
      </c>
      <c r="N219" s="34" t="s">
        <v>48</v>
      </c>
      <c r="O219" s="33" t="n">
        <f>2339.5</f>
        <v>2339.5</v>
      </c>
      <c r="P219" s="34" t="s">
        <v>51</v>
      </c>
      <c r="Q219" s="33" t="n">
        <f>2340</f>
        <v>2340.0</v>
      </c>
      <c r="R219" s="34" t="s">
        <v>51</v>
      </c>
      <c r="S219" s="35" t="n">
        <f>2463.97</f>
        <v>2463.97</v>
      </c>
      <c r="T219" s="32" t="n">
        <f>4272970</f>
        <v>4272970.0</v>
      </c>
      <c r="U219" s="32" t="n">
        <f>4080000</f>
        <v>4080000.0</v>
      </c>
      <c r="V219" s="32" t="n">
        <f>10533371119</f>
        <v>1.0533371119E10</v>
      </c>
      <c r="W219" s="32" t="n">
        <f>10056592154</f>
        <v>1.0056592154E10</v>
      </c>
      <c r="X219" s="36" t="n">
        <f>15</f>
        <v>15.0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2327</f>
        <v>2327.0</v>
      </c>
      <c r="L220" s="34" t="s">
        <v>48</v>
      </c>
      <c r="M220" s="33" t="n">
        <f>2329</f>
        <v>2329.0</v>
      </c>
      <c r="N220" s="34" t="s">
        <v>48</v>
      </c>
      <c r="O220" s="33" t="n">
        <f>2240.5</f>
        <v>2240.5</v>
      </c>
      <c r="P220" s="34" t="s">
        <v>70</v>
      </c>
      <c r="Q220" s="33" t="n">
        <f>2240.5</f>
        <v>2240.5</v>
      </c>
      <c r="R220" s="34" t="s">
        <v>70</v>
      </c>
      <c r="S220" s="35" t="n">
        <f>2285.4</f>
        <v>2285.4</v>
      </c>
      <c r="T220" s="32" t="n">
        <f>72760</f>
        <v>72760.0</v>
      </c>
      <c r="U220" s="32" t="str">
        <f>"－"</f>
        <v>－</v>
      </c>
      <c r="V220" s="32" t="n">
        <f>166951480</f>
        <v>1.6695148E8</v>
      </c>
      <c r="W220" s="32" t="str">
        <f>"－"</f>
        <v>－</v>
      </c>
      <c r="X220" s="36" t="n">
        <f>5</f>
        <v>5.0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2668.5</f>
        <v>2668.5</v>
      </c>
      <c r="L221" s="34" t="s">
        <v>62</v>
      </c>
      <c r="M221" s="33" t="n">
        <f>2727.5</f>
        <v>2727.5</v>
      </c>
      <c r="N221" s="34" t="s">
        <v>61</v>
      </c>
      <c r="O221" s="33" t="n">
        <f>2580</f>
        <v>2580.0</v>
      </c>
      <c r="P221" s="34" t="s">
        <v>51</v>
      </c>
      <c r="Q221" s="33" t="n">
        <f>2580</f>
        <v>2580.0</v>
      </c>
      <c r="R221" s="34" t="s">
        <v>51</v>
      </c>
      <c r="S221" s="35" t="n">
        <f>2658.77</f>
        <v>2658.77</v>
      </c>
      <c r="T221" s="32" t="n">
        <f>11100</f>
        <v>11100.0</v>
      </c>
      <c r="U221" s="32" t="str">
        <f>"－"</f>
        <v>－</v>
      </c>
      <c r="V221" s="32" t="n">
        <f>29784330</f>
        <v>2.978433E7</v>
      </c>
      <c r="W221" s="32" t="str">
        <f>"－"</f>
        <v>－</v>
      </c>
      <c r="X221" s="36" t="n">
        <f>15</f>
        <v>15.0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4771</f>
        <v>4771.0</v>
      </c>
      <c r="L222" s="34" t="s">
        <v>71</v>
      </c>
      <c r="M222" s="33" t="n">
        <f>4830</f>
        <v>4830.0</v>
      </c>
      <c r="N222" s="34" t="s">
        <v>71</v>
      </c>
      <c r="O222" s="33" t="n">
        <f>4771</f>
        <v>4771.0</v>
      </c>
      <c r="P222" s="34" t="s">
        <v>71</v>
      </c>
      <c r="Q222" s="33" t="n">
        <f>4827</f>
        <v>4827.0</v>
      </c>
      <c r="R222" s="34" t="s">
        <v>70</v>
      </c>
      <c r="S222" s="35" t="n">
        <f>4828.5</f>
        <v>4828.5</v>
      </c>
      <c r="T222" s="32" t="n">
        <f>30</f>
        <v>30.0</v>
      </c>
      <c r="U222" s="32" t="str">
        <f>"－"</f>
        <v>－</v>
      </c>
      <c r="V222" s="32" t="n">
        <f>144280</f>
        <v>144280.0</v>
      </c>
      <c r="W222" s="32" t="str">
        <f>"－"</f>
        <v>－</v>
      </c>
      <c r="X222" s="36" t="n">
        <f>2</f>
        <v>2.0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str">
        <f>"－"</f>
        <v>－</v>
      </c>
      <c r="L223" s="34"/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5" t="str">
        <f>"－"</f>
        <v>－</v>
      </c>
      <c r="T223" s="32" t="str">
        <f>"－"</f>
        <v>－</v>
      </c>
      <c r="U223" s="32" t="str">
        <f>"－"</f>
        <v>－</v>
      </c>
      <c r="V223" s="32" t="str">
        <f>"－"</f>
        <v>－</v>
      </c>
      <c r="W223" s="32" t="str">
        <f>"－"</f>
        <v>－</v>
      </c>
      <c r="X223" s="36" t="str">
        <f>"－"</f>
        <v>－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5035</f>
        <v>5035.0</v>
      </c>
      <c r="L225" s="34" t="s">
        <v>48</v>
      </c>
      <c r="M225" s="33" t="n">
        <f>5100</f>
        <v>5100.0</v>
      </c>
      <c r="N225" s="34" t="s">
        <v>212</v>
      </c>
      <c r="O225" s="33" t="n">
        <f>4909</f>
        <v>4909.0</v>
      </c>
      <c r="P225" s="34" t="s">
        <v>50</v>
      </c>
      <c r="Q225" s="33" t="n">
        <f>4992</f>
        <v>4992.0</v>
      </c>
      <c r="R225" s="34" t="s">
        <v>51</v>
      </c>
      <c r="S225" s="35" t="n">
        <f>4995.9</f>
        <v>4995.9</v>
      </c>
      <c r="T225" s="32" t="n">
        <f>83540</f>
        <v>83540.0</v>
      </c>
      <c r="U225" s="32" t="n">
        <f>50000</f>
        <v>50000.0</v>
      </c>
      <c r="V225" s="32" t="n">
        <f>416793870</f>
        <v>4.1679387E8</v>
      </c>
      <c r="W225" s="32" t="n">
        <f>247525000</f>
        <v>2.47525E8</v>
      </c>
      <c r="X225" s="36" t="n">
        <f>20</f>
        <v>20.0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949</f>
        <v>949.0</v>
      </c>
      <c r="L226" s="34" t="s">
        <v>48</v>
      </c>
      <c r="M226" s="33" t="n">
        <f>980</f>
        <v>980.0</v>
      </c>
      <c r="N226" s="34" t="s">
        <v>50</v>
      </c>
      <c r="O226" s="33" t="n">
        <f>926</f>
        <v>926.0</v>
      </c>
      <c r="P226" s="34" t="s">
        <v>72</v>
      </c>
      <c r="Q226" s="33" t="n">
        <f>945</f>
        <v>945.0</v>
      </c>
      <c r="R226" s="34" t="s">
        <v>51</v>
      </c>
      <c r="S226" s="35" t="n">
        <f>951.8</f>
        <v>951.8</v>
      </c>
      <c r="T226" s="32" t="n">
        <f>570054</f>
        <v>570054.0</v>
      </c>
      <c r="U226" s="32" t="n">
        <f>530000</f>
        <v>530000.0</v>
      </c>
      <c r="V226" s="32" t="n">
        <f>540150171</f>
        <v>5.40150171E8</v>
      </c>
      <c r="W226" s="32" t="n">
        <f>502334000</f>
        <v>5.02334E8</v>
      </c>
      <c r="X226" s="36" t="n">
        <f>20</f>
        <v>20.0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1150</f>
        <v>1150.0</v>
      </c>
      <c r="L227" s="34" t="s">
        <v>48</v>
      </c>
      <c r="M227" s="33" t="n">
        <f>1150</f>
        <v>1150.0</v>
      </c>
      <c r="N227" s="34" t="s">
        <v>48</v>
      </c>
      <c r="O227" s="33" t="n">
        <f>1088</f>
        <v>1088.0</v>
      </c>
      <c r="P227" s="34" t="s">
        <v>71</v>
      </c>
      <c r="Q227" s="33" t="n">
        <f>1096</f>
        <v>1096.0</v>
      </c>
      <c r="R227" s="34" t="s">
        <v>51</v>
      </c>
      <c r="S227" s="35" t="n">
        <f>1108.85</f>
        <v>1108.85</v>
      </c>
      <c r="T227" s="32" t="n">
        <f>54282</f>
        <v>54282.0</v>
      </c>
      <c r="U227" s="32" t="str">
        <f>"－"</f>
        <v>－</v>
      </c>
      <c r="V227" s="32" t="n">
        <f>61080196</f>
        <v>6.1080196E7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969</f>
        <v>969.0</v>
      </c>
      <c r="L228" s="34" t="s">
        <v>48</v>
      </c>
      <c r="M228" s="33" t="n">
        <f>1000</f>
        <v>1000.0</v>
      </c>
      <c r="N228" s="34" t="s">
        <v>72</v>
      </c>
      <c r="O228" s="33" t="n">
        <f>942</f>
        <v>942.0</v>
      </c>
      <c r="P228" s="34" t="s">
        <v>50</v>
      </c>
      <c r="Q228" s="33" t="n">
        <f>983</f>
        <v>983.0</v>
      </c>
      <c r="R228" s="34" t="s">
        <v>51</v>
      </c>
      <c r="S228" s="35" t="n">
        <f>970.1</f>
        <v>970.1</v>
      </c>
      <c r="T228" s="32" t="n">
        <f>70288</f>
        <v>70288.0</v>
      </c>
      <c r="U228" s="32" t="str">
        <f>"－"</f>
        <v>－</v>
      </c>
      <c r="V228" s="32" t="n">
        <f>68326982</f>
        <v>6.8326982E7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919</f>
        <v>919.0</v>
      </c>
      <c r="L229" s="34" t="s">
        <v>48</v>
      </c>
      <c r="M229" s="33" t="n">
        <f>929</f>
        <v>929.0</v>
      </c>
      <c r="N229" s="34" t="s">
        <v>49</v>
      </c>
      <c r="O229" s="33" t="n">
        <f>890</f>
        <v>890.0</v>
      </c>
      <c r="P229" s="34" t="s">
        <v>225</v>
      </c>
      <c r="Q229" s="33" t="n">
        <f>908</f>
        <v>908.0</v>
      </c>
      <c r="R229" s="34" t="s">
        <v>51</v>
      </c>
      <c r="S229" s="35" t="n">
        <f>908.2</f>
        <v>908.2</v>
      </c>
      <c r="T229" s="32" t="n">
        <f>43948</f>
        <v>43948.0</v>
      </c>
      <c r="U229" s="32" t="str">
        <f>"－"</f>
        <v>－</v>
      </c>
      <c r="V229" s="32" t="n">
        <f>40064188</f>
        <v>4.0064188E7</v>
      </c>
      <c r="W229" s="32" t="str">
        <f>"－"</f>
        <v>－</v>
      </c>
      <c r="X229" s="36" t="n">
        <f>20</f>
        <v>20.0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975</f>
        <v>975.0</v>
      </c>
      <c r="L230" s="34" t="s">
        <v>48</v>
      </c>
      <c r="M230" s="33" t="n">
        <f>999</f>
        <v>999.0</v>
      </c>
      <c r="N230" s="34" t="s">
        <v>72</v>
      </c>
      <c r="O230" s="33" t="n">
        <f>933</f>
        <v>933.0</v>
      </c>
      <c r="P230" s="34" t="s">
        <v>50</v>
      </c>
      <c r="Q230" s="33" t="n">
        <f>970</f>
        <v>970.0</v>
      </c>
      <c r="R230" s="34" t="s">
        <v>51</v>
      </c>
      <c r="S230" s="35" t="n">
        <f>962.05</f>
        <v>962.05</v>
      </c>
      <c r="T230" s="32" t="n">
        <f>40908</f>
        <v>40908.0</v>
      </c>
      <c r="U230" s="32" t="n">
        <f>1</f>
        <v>1.0</v>
      </c>
      <c r="V230" s="32" t="n">
        <f>39472171</f>
        <v>3.9472171E7</v>
      </c>
      <c r="W230" s="32" t="n">
        <f>963</f>
        <v>963.0</v>
      </c>
      <c r="X230" s="36" t="n">
        <f>20</f>
        <v>20.0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1495</f>
        <v>1495.0</v>
      </c>
      <c r="L231" s="34" t="s">
        <v>48</v>
      </c>
      <c r="M231" s="33" t="n">
        <f>1521</f>
        <v>1521.0</v>
      </c>
      <c r="N231" s="34" t="s">
        <v>72</v>
      </c>
      <c r="O231" s="33" t="n">
        <f>1438</f>
        <v>1438.0</v>
      </c>
      <c r="P231" s="34" t="s">
        <v>304</v>
      </c>
      <c r="Q231" s="33" t="n">
        <f>1495</f>
        <v>1495.0</v>
      </c>
      <c r="R231" s="34" t="s">
        <v>51</v>
      </c>
      <c r="S231" s="35" t="n">
        <f>1481.95</f>
        <v>1481.95</v>
      </c>
      <c r="T231" s="32" t="n">
        <f>191068</f>
        <v>191068.0</v>
      </c>
      <c r="U231" s="32" t="n">
        <f>30000</f>
        <v>30000.0</v>
      </c>
      <c r="V231" s="32" t="n">
        <f>282485794</f>
        <v>2.82485794E8</v>
      </c>
      <c r="W231" s="32" t="n">
        <f>43664520</f>
        <v>4.366452E7</v>
      </c>
      <c r="X231" s="36" t="n">
        <f>20</f>
        <v>20.0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145.6</f>
        <v>145.6</v>
      </c>
      <c r="L232" s="34" t="s">
        <v>48</v>
      </c>
      <c r="M232" s="33" t="n">
        <f>147</f>
        <v>147.0</v>
      </c>
      <c r="N232" s="34" t="s">
        <v>61</v>
      </c>
      <c r="O232" s="33" t="n">
        <f>128.4</f>
        <v>128.4</v>
      </c>
      <c r="P232" s="34" t="s">
        <v>51</v>
      </c>
      <c r="Q232" s="33" t="n">
        <f>128.5</f>
        <v>128.5</v>
      </c>
      <c r="R232" s="34" t="s">
        <v>51</v>
      </c>
      <c r="S232" s="35" t="n">
        <f>140.57</f>
        <v>140.57</v>
      </c>
      <c r="T232" s="32" t="n">
        <f>4638100</f>
        <v>4638100.0</v>
      </c>
      <c r="U232" s="32" t="n">
        <f>100000</f>
        <v>100000.0</v>
      </c>
      <c r="V232" s="32" t="n">
        <f>648936935</f>
        <v>6.48936935E8</v>
      </c>
      <c r="W232" s="32" t="n">
        <f>13797780</f>
        <v>1.379778E7</v>
      </c>
      <c r="X232" s="36" t="n">
        <f>20</f>
        <v>20.0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427.5</f>
        <v>427.5</v>
      </c>
      <c r="L233" s="34" t="s">
        <v>48</v>
      </c>
      <c r="M233" s="33" t="n">
        <f>427.5</f>
        <v>427.5</v>
      </c>
      <c r="N233" s="34" t="s">
        <v>48</v>
      </c>
      <c r="O233" s="33" t="n">
        <f>365</f>
        <v>365.0</v>
      </c>
      <c r="P233" s="34" t="s">
        <v>51</v>
      </c>
      <c r="Q233" s="33" t="n">
        <f>381.2</f>
        <v>381.2</v>
      </c>
      <c r="R233" s="34" t="s">
        <v>51</v>
      </c>
      <c r="S233" s="35" t="n">
        <f>399.85</f>
        <v>399.85</v>
      </c>
      <c r="T233" s="32" t="n">
        <f>1333240</f>
        <v>1333240.0</v>
      </c>
      <c r="U233" s="32" t="str">
        <f>"－"</f>
        <v>－</v>
      </c>
      <c r="V233" s="32" t="n">
        <f>507485384</f>
        <v>5.07485384E8</v>
      </c>
      <c r="W233" s="32" t="str">
        <f>"－"</f>
        <v>－</v>
      </c>
      <c r="X233" s="36" t="n">
        <f>20</f>
        <v>20.0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2885.5</f>
        <v>2885.5</v>
      </c>
      <c r="L234" s="34" t="s">
        <v>48</v>
      </c>
      <c r="M234" s="33" t="n">
        <f>2885.5</f>
        <v>2885.5</v>
      </c>
      <c r="N234" s="34" t="s">
        <v>48</v>
      </c>
      <c r="O234" s="33" t="n">
        <f>2643.5</f>
        <v>2643.5</v>
      </c>
      <c r="P234" s="34" t="s">
        <v>71</v>
      </c>
      <c r="Q234" s="33" t="n">
        <f>2693</f>
        <v>2693.0</v>
      </c>
      <c r="R234" s="34" t="s">
        <v>51</v>
      </c>
      <c r="S234" s="35" t="n">
        <f>2750.33</f>
        <v>2750.33</v>
      </c>
      <c r="T234" s="32" t="n">
        <f>123450</f>
        <v>123450.0</v>
      </c>
      <c r="U234" s="32" t="str">
        <f>"－"</f>
        <v>－</v>
      </c>
      <c r="V234" s="32" t="n">
        <f>337048305</f>
        <v>3.37048305E8</v>
      </c>
      <c r="W234" s="32" t="str">
        <f>"－"</f>
        <v>－</v>
      </c>
      <c r="X234" s="36" t="n">
        <f>20</f>
        <v>20.0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1276</f>
        <v>1276.0</v>
      </c>
      <c r="L235" s="34" t="s">
        <v>48</v>
      </c>
      <c r="M235" s="33" t="n">
        <f>1280</f>
        <v>1280.0</v>
      </c>
      <c r="N235" s="34" t="s">
        <v>48</v>
      </c>
      <c r="O235" s="33" t="n">
        <f>1204</f>
        <v>1204.0</v>
      </c>
      <c r="P235" s="34" t="s">
        <v>299</v>
      </c>
      <c r="Q235" s="33" t="n">
        <f>1222</f>
        <v>1222.0</v>
      </c>
      <c r="R235" s="34" t="s">
        <v>51</v>
      </c>
      <c r="S235" s="35" t="n">
        <f>1237.1</f>
        <v>1237.1</v>
      </c>
      <c r="T235" s="32" t="n">
        <f>1016651</f>
        <v>1016651.0</v>
      </c>
      <c r="U235" s="32" t="n">
        <f>400722</f>
        <v>400722.0</v>
      </c>
      <c r="V235" s="32" t="n">
        <f>1265970911</f>
        <v>1.265970911E9</v>
      </c>
      <c r="W235" s="32" t="n">
        <f>501338232</f>
        <v>5.01338232E8</v>
      </c>
      <c r="X235" s="36" t="n">
        <f>20</f>
        <v>20.0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86430</f>
        <v>86430.0</v>
      </c>
      <c r="L236" s="34" t="s">
        <v>48</v>
      </c>
      <c r="M236" s="33" t="n">
        <f>86560</f>
        <v>86560.0</v>
      </c>
      <c r="N236" s="34" t="s">
        <v>48</v>
      </c>
      <c r="O236" s="33" t="n">
        <f>73670</f>
        <v>73670.0</v>
      </c>
      <c r="P236" s="34" t="s">
        <v>51</v>
      </c>
      <c r="Q236" s="33" t="n">
        <f>73800</f>
        <v>73800.0</v>
      </c>
      <c r="R236" s="34" t="s">
        <v>51</v>
      </c>
      <c r="S236" s="35" t="n">
        <f>79114</f>
        <v>79114.0</v>
      </c>
      <c r="T236" s="32" t="n">
        <f>41643</f>
        <v>41643.0</v>
      </c>
      <c r="U236" s="32" t="str">
        <f>"－"</f>
        <v>－</v>
      </c>
      <c r="V236" s="32" t="n">
        <f>3264816780</f>
        <v>3.26481678E9</v>
      </c>
      <c r="W236" s="32" t="str">
        <f>"－"</f>
        <v>－</v>
      </c>
      <c r="X236" s="36" t="n">
        <f>20</f>
        <v>20.0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6786</f>
        <v>6786.0</v>
      </c>
      <c r="L237" s="34" t="s">
        <v>48</v>
      </c>
      <c r="M237" s="33" t="n">
        <f>7296</f>
        <v>7296.0</v>
      </c>
      <c r="N237" s="34" t="s">
        <v>51</v>
      </c>
      <c r="O237" s="33" t="n">
        <f>6762</f>
        <v>6762.0</v>
      </c>
      <c r="P237" s="34" t="s">
        <v>48</v>
      </c>
      <c r="Q237" s="33" t="n">
        <f>7292</f>
        <v>7292.0</v>
      </c>
      <c r="R237" s="34" t="s">
        <v>51</v>
      </c>
      <c r="S237" s="35" t="n">
        <f>7093.8</f>
        <v>7093.8</v>
      </c>
      <c r="T237" s="32" t="n">
        <f>64998</f>
        <v>64998.0</v>
      </c>
      <c r="U237" s="32" t="str">
        <f>"－"</f>
        <v>－</v>
      </c>
      <c r="V237" s="32" t="n">
        <f>461583980</f>
        <v>4.6158398E8</v>
      </c>
      <c r="W237" s="32" t="str">
        <f>"－"</f>
        <v>－</v>
      </c>
      <c r="X237" s="36" t="n">
        <f>20</f>
        <v>20.0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18690</f>
        <v>18690.0</v>
      </c>
      <c r="L238" s="34" t="s">
        <v>48</v>
      </c>
      <c r="M238" s="33" t="n">
        <f>18730</f>
        <v>18730.0</v>
      </c>
      <c r="N238" s="34" t="s">
        <v>48</v>
      </c>
      <c r="O238" s="33" t="n">
        <f>15970</f>
        <v>15970.0</v>
      </c>
      <c r="P238" s="34" t="s">
        <v>51</v>
      </c>
      <c r="Q238" s="33" t="n">
        <f>16040</f>
        <v>16040.0</v>
      </c>
      <c r="R238" s="34" t="s">
        <v>51</v>
      </c>
      <c r="S238" s="35" t="n">
        <f>17057.5</f>
        <v>17057.5</v>
      </c>
      <c r="T238" s="32" t="n">
        <f>150090</f>
        <v>150090.0</v>
      </c>
      <c r="U238" s="32" t="str">
        <f>"－"</f>
        <v>－</v>
      </c>
      <c r="V238" s="32" t="n">
        <f>2526944700</f>
        <v>2.5269447E9</v>
      </c>
      <c r="W238" s="32" t="str">
        <f>"－"</f>
        <v>－</v>
      </c>
      <c r="X238" s="36" t="n">
        <f>20</f>
        <v>20.0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1064</f>
        <v>1064.0</v>
      </c>
      <c r="L239" s="34" t="s">
        <v>48</v>
      </c>
      <c r="M239" s="33" t="n">
        <f>1064</f>
        <v>1064.0</v>
      </c>
      <c r="N239" s="34" t="s">
        <v>48</v>
      </c>
      <c r="O239" s="33" t="n">
        <f>951</f>
        <v>951.0</v>
      </c>
      <c r="P239" s="34" t="s">
        <v>50</v>
      </c>
      <c r="Q239" s="33" t="n">
        <f>965</f>
        <v>965.0</v>
      </c>
      <c r="R239" s="34" t="s">
        <v>51</v>
      </c>
      <c r="S239" s="35" t="n">
        <f>1014.9</f>
        <v>1014.9</v>
      </c>
      <c r="T239" s="32" t="n">
        <f>324138</f>
        <v>324138.0</v>
      </c>
      <c r="U239" s="32" t="str">
        <f>"－"</f>
        <v>－</v>
      </c>
      <c r="V239" s="32" t="n">
        <f>327505234</f>
        <v>3.27505234E8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6827</f>
        <v>6827.0</v>
      </c>
      <c r="L240" s="34" t="s">
        <v>48</v>
      </c>
      <c r="M240" s="33" t="n">
        <f>7581</f>
        <v>7581.0</v>
      </c>
      <c r="N240" s="34" t="s">
        <v>304</v>
      </c>
      <c r="O240" s="33" t="n">
        <f>6827</f>
        <v>6827.0</v>
      </c>
      <c r="P240" s="34" t="s">
        <v>48</v>
      </c>
      <c r="Q240" s="33" t="n">
        <f>7361</f>
        <v>7361.0</v>
      </c>
      <c r="R240" s="34" t="s">
        <v>51</v>
      </c>
      <c r="S240" s="35" t="n">
        <f>7165.05</f>
        <v>7165.05</v>
      </c>
      <c r="T240" s="32" t="n">
        <f>45900</f>
        <v>45900.0</v>
      </c>
      <c r="U240" s="32" t="str">
        <f>"－"</f>
        <v>－</v>
      </c>
      <c r="V240" s="32" t="n">
        <f>329890100</f>
        <v>3.298901E8</v>
      </c>
      <c r="W240" s="32" t="str">
        <f>"－"</f>
        <v>－</v>
      </c>
      <c r="X240" s="36" t="n">
        <f>20</f>
        <v>20.0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740.1</f>
        <v>740.1</v>
      </c>
      <c r="L241" s="34" t="s">
        <v>48</v>
      </c>
      <c r="M241" s="33" t="n">
        <f>740.1</f>
        <v>740.1</v>
      </c>
      <c r="N241" s="34" t="s">
        <v>48</v>
      </c>
      <c r="O241" s="33" t="n">
        <f>678</f>
        <v>678.0</v>
      </c>
      <c r="P241" s="34" t="s">
        <v>71</v>
      </c>
      <c r="Q241" s="33" t="n">
        <f>689.1</f>
        <v>689.1</v>
      </c>
      <c r="R241" s="34" t="s">
        <v>51</v>
      </c>
      <c r="S241" s="35" t="n">
        <f>704</f>
        <v>704.0</v>
      </c>
      <c r="T241" s="32" t="n">
        <f>610240</f>
        <v>610240.0</v>
      </c>
      <c r="U241" s="32" t="str">
        <f>"－"</f>
        <v>－</v>
      </c>
      <c r="V241" s="32" t="n">
        <f>425083578</f>
        <v>4.25083578E8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596</f>
        <v>596.0</v>
      </c>
      <c r="L242" s="34" t="s">
        <v>48</v>
      </c>
      <c r="M242" s="33" t="n">
        <f>596</f>
        <v>596.0</v>
      </c>
      <c r="N242" s="34" t="s">
        <v>48</v>
      </c>
      <c r="O242" s="33" t="n">
        <f>554</f>
        <v>554.0</v>
      </c>
      <c r="P242" s="34" t="s">
        <v>71</v>
      </c>
      <c r="Q242" s="33" t="n">
        <f>559.6</f>
        <v>559.6</v>
      </c>
      <c r="R242" s="34" t="s">
        <v>51</v>
      </c>
      <c r="S242" s="35" t="n">
        <f>570.82</f>
        <v>570.82</v>
      </c>
      <c r="T242" s="32" t="n">
        <f>536230</f>
        <v>536230.0</v>
      </c>
      <c r="U242" s="32" t="n">
        <f>355000</f>
        <v>355000.0</v>
      </c>
      <c r="V242" s="32" t="n">
        <f>303706853</f>
        <v>3.03706853E8</v>
      </c>
      <c r="W242" s="32" t="n">
        <f>200251867</f>
        <v>2.00251867E8</v>
      </c>
      <c r="X242" s="36" t="n">
        <f>20</f>
        <v>20.0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1726</f>
        <v>1726.0</v>
      </c>
      <c r="L243" s="34" t="s">
        <v>48</v>
      </c>
      <c r="M243" s="33" t="n">
        <f>1733</f>
        <v>1733.0</v>
      </c>
      <c r="N243" s="34" t="s">
        <v>48</v>
      </c>
      <c r="O243" s="33" t="n">
        <f>1492</f>
        <v>1492.0</v>
      </c>
      <c r="P243" s="34" t="s">
        <v>51</v>
      </c>
      <c r="Q243" s="33" t="n">
        <f>1500</f>
        <v>1500.0</v>
      </c>
      <c r="R243" s="34" t="s">
        <v>51</v>
      </c>
      <c r="S243" s="35" t="n">
        <f>1631.25</f>
        <v>1631.25</v>
      </c>
      <c r="T243" s="32" t="n">
        <f>3760888</f>
        <v>3760888.0</v>
      </c>
      <c r="U243" s="32" t="n">
        <f>200161</f>
        <v>200161.0</v>
      </c>
      <c r="V243" s="32" t="n">
        <f>6050354750</f>
        <v>6.05035475E9</v>
      </c>
      <c r="W243" s="32" t="n">
        <f>316956401</f>
        <v>3.16956401E8</v>
      </c>
      <c r="X243" s="36" t="n">
        <f>20</f>
        <v>20.0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2328</f>
        <v>2328.0</v>
      </c>
      <c r="L244" s="34" t="s">
        <v>48</v>
      </c>
      <c r="M244" s="33" t="n">
        <f>2330</f>
        <v>2330.0</v>
      </c>
      <c r="N244" s="34" t="s">
        <v>48</v>
      </c>
      <c r="O244" s="33" t="n">
        <f>2031</f>
        <v>2031.0</v>
      </c>
      <c r="P244" s="34" t="s">
        <v>50</v>
      </c>
      <c r="Q244" s="33" t="n">
        <f>2065</f>
        <v>2065.0</v>
      </c>
      <c r="R244" s="34" t="s">
        <v>51</v>
      </c>
      <c r="S244" s="35" t="n">
        <f>2189.85</f>
        <v>2189.85</v>
      </c>
      <c r="T244" s="32" t="n">
        <f>5861823</f>
        <v>5861823.0</v>
      </c>
      <c r="U244" s="32" t="n">
        <f>51832</f>
        <v>51832.0</v>
      </c>
      <c r="V244" s="32" t="n">
        <f>12765430500</f>
        <v>1.27654305E10</v>
      </c>
      <c r="W244" s="32" t="n">
        <f>115730971</f>
        <v>1.15730971E8</v>
      </c>
      <c r="X244" s="36" t="n">
        <f>20</f>
        <v>20.0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746.9</f>
        <v>746.9</v>
      </c>
      <c r="L245" s="34" t="s">
        <v>159</v>
      </c>
      <c r="M245" s="33" t="n">
        <f>772</f>
        <v>772.0</v>
      </c>
      <c r="N245" s="34" t="s">
        <v>212</v>
      </c>
      <c r="O245" s="33" t="n">
        <f>720.3</f>
        <v>720.3</v>
      </c>
      <c r="P245" s="34" t="s">
        <v>304</v>
      </c>
      <c r="Q245" s="33" t="n">
        <f>750.8</f>
        <v>750.8</v>
      </c>
      <c r="R245" s="34" t="s">
        <v>51</v>
      </c>
      <c r="S245" s="35" t="n">
        <f>737.14</f>
        <v>737.14</v>
      </c>
      <c r="T245" s="32" t="n">
        <f>4560</f>
        <v>4560.0</v>
      </c>
      <c r="U245" s="32" t="n">
        <f>20</f>
        <v>20.0</v>
      </c>
      <c r="V245" s="32" t="n">
        <f>3347149</f>
        <v>3347149.0</v>
      </c>
      <c r="W245" s="32" t="n">
        <f>14635</f>
        <v>14635.0</v>
      </c>
      <c r="X245" s="36" t="n">
        <f>16</f>
        <v>16.0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749.6</f>
        <v>749.6</v>
      </c>
      <c r="L246" s="34" t="s">
        <v>159</v>
      </c>
      <c r="M246" s="33" t="n">
        <f>818.7</f>
        <v>818.7</v>
      </c>
      <c r="N246" s="34" t="s">
        <v>212</v>
      </c>
      <c r="O246" s="33" t="n">
        <f>729.9</f>
        <v>729.9</v>
      </c>
      <c r="P246" s="34" t="s">
        <v>225</v>
      </c>
      <c r="Q246" s="33" t="n">
        <f>741.4</f>
        <v>741.4</v>
      </c>
      <c r="R246" s="34" t="s">
        <v>51</v>
      </c>
      <c r="S246" s="35" t="n">
        <f>735.35</f>
        <v>735.35</v>
      </c>
      <c r="T246" s="32" t="n">
        <f>304240</f>
        <v>304240.0</v>
      </c>
      <c r="U246" s="32" t="str">
        <f>"－"</f>
        <v>－</v>
      </c>
      <c r="V246" s="32" t="n">
        <f>222287027</f>
        <v>2.22287027E8</v>
      </c>
      <c r="W246" s="32" t="str">
        <f>"－"</f>
        <v>－</v>
      </c>
      <c r="X246" s="36" t="n">
        <f>11</f>
        <v>11.0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789</v>
      </c>
      <c r="F247" s="29" t="s">
        <v>790</v>
      </c>
      <c r="G247" s="30" t="s">
        <v>46</v>
      </c>
      <c r="H247" s="31"/>
      <c r="I247" s="31" t="s">
        <v>47</v>
      </c>
      <c r="J247" s="32" t="n">
        <v>1.0</v>
      </c>
      <c r="K247" s="33" t="n">
        <f>16980</f>
        <v>16980.0</v>
      </c>
      <c r="L247" s="34" t="s">
        <v>48</v>
      </c>
      <c r="M247" s="33" t="n">
        <f>16980</f>
        <v>16980.0</v>
      </c>
      <c r="N247" s="34" t="s">
        <v>48</v>
      </c>
      <c r="O247" s="33" t="n">
        <f>15260</f>
        <v>15260.0</v>
      </c>
      <c r="P247" s="34" t="s">
        <v>50</v>
      </c>
      <c r="Q247" s="33" t="n">
        <f>15805</f>
        <v>15805.0</v>
      </c>
      <c r="R247" s="34" t="s">
        <v>70</v>
      </c>
      <c r="S247" s="35" t="n">
        <f>15937.31</f>
        <v>15937.31</v>
      </c>
      <c r="T247" s="32" t="n">
        <f>183647</f>
        <v>183647.0</v>
      </c>
      <c r="U247" s="32" t="str">
        <f>"－"</f>
        <v>－</v>
      </c>
      <c r="V247" s="32" t="n">
        <f>2943500050</f>
        <v>2.94350005E9</v>
      </c>
      <c r="W247" s="32" t="str">
        <f>"－"</f>
        <v>－</v>
      </c>
      <c r="X247" s="36" t="n">
        <f>13</f>
        <v>13.0</v>
      </c>
    </row>
    <row r="248">
      <c r="A248" s="27" t="s">
        <v>42</v>
      </c>
      <c r="B248" s="27" t="s">
        <v>786</v>
      </c>
      <c r="C248" s="27" t="s">
        <v>787</v>
      </c>
      <c r="D248" s="27" t="s">
        <v>788</v>
      </c>
      <c r="E248" s="28" t="s">
        <v>789</v>
      </c>
      <c r="F248" s="29" t="s">
        <v>790</v>
      </c>
      <c r="G248" s="30" t="s">
        <v>46</v>
      </c>
      <c r="H248" s="31"/>
      <c r="I248" s="31" t="s">
        <v>47</v>
      </c>
      <c r="J248" s="32" t="n">
        <v>1.0</v>
      </c>
      <c r="K248" s="33" t="n">
        <f>1558</f>
        <v>1558.0</v>
      </c>
      <c r="L248" s="34" t="s">
        <v>155</v>
      </c>
      <c r="M248" s="33" t="n">
        <f>1632</f>
        <v>1632.0</v>
      </c>
      <c r="N248" s="34" t="s">
        <v>49</v>
      </c>
      <c r="O248" s="33" t="n">
        <f>1545</f>
        <v>1545.0</v>
      </c>
      <c r="P248" s="34" t="s">
        <v>51</v>
      </c>
      <c r="Q248" s="33" t="n">
        <f>1546</f>
        <v>1546.0</v>
      </c>
      <c r="R248" s="34" t="s">
        <v>51</v>
      </c>
      <c r="S248" s="35" t="n">
        <f>1601.71</f>
        <v>1601.71</v>
      </c>
      <c r="T248" s="32" t="n">
        <f>484367</f>
        <v>484367.0</v>
      </c>
      <c r="U248" s="32" t="n">
        <f>1</f>
        <v>1.0</v>
      </c>
      <c r="V248" s="32" t="n">
        <f>775259614</f>
        <v>7.75259614E8</v>
      </c>
      <c r="W248" s="32" t="n">
        <f>1611</f>
        <v>1611.0</v>
      </c>
      <c r="X248" s="36" t="n">
        <f>7</f>
        <v>7.0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789</v>
      </c>
      <c r="F249" s="29" t="s">
        <v>790</v>
      </c>
      <c r="G249" s="30" t="s">
        <v>46</v>
      </c>
      <c r="H249" s="31"/>
      <c r="I249" s="31" t="s">
        <v>47</v>
      </c>
      <c r="J249" s="32" t="n">
        <v>1.0</v>
      </c>
      <c r="K249" s="33" t="n">
        <f>45320</f>
        <v>45320.0</v>
      </c>
      <c r="L249" s="34" t="s">
        <v>48</v>
      </c>
      <c r="M249" s="33" t="n">
        <f>45350</f>
        <v>45350.0</v>
      </c>
      <c r="N249" s="34" t="s">
        <v>48</v>
      </c>
      <c r="O249" s="33" t="n">
        <f>41920</f>
        <v>41920.0</v>
      </c>
      <c r="P249" s="34" t="s">
        <v>71</v>
      </c>
      <c r="Q249" s="33" t="n">
        <f>42400</f>
        <v>42400.0</v>
      </c>
      <c r="R249" s="34" t="s">
        <v>70</v>
      </c>
      <c r="S249" s="35" t="n">
        <f>43187.69</f>
        <v>43187.69</v>
      </c>
      <c r="T249" s="32" t="n">
        <f>64974</f>
        <v>64974.0</v>
      </c>
      <c r="U249" s="32" t="n">
        <f>700</f>
        <v>700.0</v>
      </c>
      <c r="V249" s="32" t="n">
        <f>2820780350</f>
        <v>2.82078035E9</v>
      </c>
      <c r="W249" s="32" t="n">
        <f>30581000</f>
        <v>3.0581E7</v>
      </c>
      <c r="X249" s="36" t="n">
        <f>13</f>
        <v>13.0</v>
      </c>
    </row>
    <row r="250">
      <c r="A250" s="27" t="s">
        <v>42</v>
      </c>
      <c r="B250" s="27" t="s">
        <v>791</v>
      </c>
      <c r="C250" s="27" t="s">
        <v>792</v>
      </c>
      <c r="D250" s="27" t="s">
        <v>793</v>
      </c>
      <c r="E250" s="28" t="s">
        <v>789</v>
      </c>
      <c r="F250" s="29" t="s">
        <v>790</v>
      </c>
      <c r="G250" s="30" t="s">
        <v>46</v>
      </c>
      <c r="H250" s="31"/>
      <c r="I250" s="31" t="s">
        <v>47</v>
      </c>
      <c r="J250" s="32" t="n">
        <v>1.0</v>
      </c>
      <c r="K250" s="33" t="n">
        <f>2165</f>
        <v>2165.0</v>
      </c>
      <c r="L250" s="34" t="s">
        <v>155</v>
      </c>
      <c r="M250" s="33" t="n">
        <f>2203</f>
        <v>2203.0</v>
      </c>
      <c r="N250" s="34" t="s">
        <v>205</v>
      </c>
      <c r="O250" s="33" t="n">
        <f>2085</f>
        <v>2085.0</v>
      </c>
      <c r="P250" s="34" t="s">
        <v>51</v>
      </c>
      <c r="Q250" s="33" t="n">
        <f>2085</f>
        <v>2085.0</v>
      </c>
      <c r="R250" s="34" t="s">
        <v>51</v>
      </c>
      <c r="S250" s="35" t="n">
        <f>2149</f>
        <v>2149.0</v>
      </c>
      <c r="T250" s="32" t="n">
        <f>1950820</f>
        <v>1950820.0</v>
      </c>
      <c r="U250" s="32" t="n">
        <f>718115</f>
        <v>718115.0</v>
      </c>
      <c r="V250" s="32" t="n">
        <f>4138306076</f>
        <v>4.138306076E9</v>
      </c>
      <c r="W250" s="32" t="n">
        <f>1499375871</f>
        <v>1.499375871E9</v>
      </c>
      <c r="X250" s="36" t="n">
        <f>7</f>
        <v>7.0</v>
      </c>
    </row>
    <row r="251">
      <c r="A251" s="27" t="s">
        <v>42</v>
      </c>
      <c r="B251" s="27" t="s">
        <v>794</v>
      </c>
      <c r="C251" s="27" t="s">
        <v>795</v>
      </c>
      <c r="D251" s="27" t="s">
        <v>796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16660</f>
        <v>16660.0</v>
      </c>
      <c r="L251" s="34" t="s">
        <v>48</v>
      </c>
      <c r="M251" s="33" t="n">
        <f>19335</f>
        <v>19335.0</v>
      </c>
      <c r="N251" s="34" t="s">
        <v>71</v>
      </c>
      <c r="O251" s="33" t="n">
        <f>16610</f>
        <v>16610.0</v>
      </c>
      <c r="P251" s="34" t="s">
        <v>48</v>
      </c>
      <c r="Q251" s="33" t="n">
        <f>19155</f>
        <v>19155.0</v>
      </c>
      <c r="R251" s="34" t="s">
        <v>51</v>
      </c>
      <c r="S251" s="35" t="n">
        <f>18154.75</f>
        <v>18154.75</v>
      </c>
      <c r="T251" s="32" t="n">
        <f>158903</f>
        <v>158903.0</v>
      </c>
      <c r="U251" s="32" t="n">
        <f>91</f>
        <v>91.0</v>
      </c>
      <c r="V251" s="32" t="n">
        <f>2923111820</f>
        <v>2.92311182E9</v>
      </c>
      <c r="W251" s="32" t="n">
        <f>1667720</f>
        <v>1667720.0</v>
      </c>
      <c r="X251" s="36" t="n">
        <f>20</f>
        <v>20.0</v>
      </c>
    </row>
    <row r="252">
      <c r="A252" s="27" t="s">
        <v>42</v>
      </c>
      <c r="B252" s="27" t="s">
        <v>797</v>
      </c>
      <c r="C252" s="27" t="s">
        <v>798</v>
      </c>
      <c r="D252" s="27" t="s">
        <v>799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859</f>
        <v>859.0</v>
      </c>
      <c r="L252" s="34" t="s">
        <v>48</v>
      </c>
      <c r="M252" s="33" t="n">
        <f>874</f>
        <v>874.0</v>
      </c>
      <c r="N252" s="34" t="s">
        <v>66</v>
      </c>
      <c r="O252" s="33" t="n">
        <f>757</f>
        <v>757.0</v>
      </c>
      <c r="P252" s="34" t="s">
        <v>50</v>
      </c>
      <c r="Q252" s="33" t="n">
        <f>779</f>
        <v>779.0</v>
      </c>
      <c r="R252" s="34" t="s">
        <v>51</v>
      </c>
      <c r="S252" s="35" t="n">
        <f>822.9</f>
        <v>822.9</v>
      </c>
      <c r="T252" s="32" t="n">
        <f>312275</f>
        <v>312275.0</v>
      </c>
      <c r="U252" s="32" t="n">
        <f>39</f>
        <v>39.0</v>
      </c>
      <c r="V252" s="32" t="n">
        <f>254823622</f>
        <v>2.54823622E8</v>
      </c>
      <c r="W252" s="32" t="n">
        <f>31590</f>
        <v>31590.0</v>
      </c>
      <c r="X252" s="36" t="n">
        <f>20</f>
        <v>20.0</v>
      </c>
    </row>
    <row r="253">
      <c r="A253" s="27" t="s">
        <v>42</v>
      </c>
      <c r="B253" s="27" t="s">
        <v>800</v>
      </c>
      <c r="C253" s="27" t="s">
        <v>801</v>
      </c>
      <c r="D253" s="27" t="s">
        <v>802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244.7</f>
        <v>244.7</v>
      </c>
      <c r="L253" s="34" t="s">
        <v>48</v>
      </c>
      <c r="M253" s="33" t="n">
        <f>256.1</f>
        <v>256.1</v>
      </c>
      <c r="N253" s="34" t="s">
        <v>66</v>
      </c>
      <c r="O253" s="33" t="n">
        <f>233.6</f>
        <v>233.6</v>
      </c>
      <c r="P253" s="34" t="s">
        <v>50</v>
      </c>
      <c r="Q253" s="33" t="n">
        <f>237.5</f>
        <v>237.5</v>
      </c>
      <c r="R253" s="34" t="s">
        <v>51</v>
      </c>
      <c r="S253" s="35" t="n">
        <f>244.42</f>
        <v>244.42</v>
      </c>
      <c r="T253" s="32" t="n">
        <f>15590</f>
        <v>15590.0</v>
      </c>
      <c r="U253" s="32" t="n">
        <f>20</f>
        <v>20.0</v>
      </c>
      <c r="V253" s="32" t="n">
        <f>3799933</f>
        <v>3799933.0</v>
      </c>
      <c r="W253" s="32" t="n">
        <f>4837</f>
        <v>4837.0</v>
      </c>
      <c r="X253" s="36" t="n">
        <f>20</f>
        <v>20.0</v>
      </c>
    </row>
    <row r="254">
      <c r="A254" s="27" t="s">
        <v>42</v>
      </c>
      <c r="B254" s="27" t="s">
        <v>803</v>
      </c>
      <c r="C254" s="27" t="s">
        <v>804</v>
      </c>
      <c r="D254" s="27" t="s">
        <v>805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789.9</f>
        <v>789.9</v>
      </c>
      <c r="L254" s="34" t="s">
        <v>48</v>
      </c>
      <c r="M254" s="33" t="n">
        <f>819</f>
        <v>819.0</v>
      </c>
      <c r="N254" s="34" t="s">
        <v>72</v>
      </c>
      <c r="O254" s="33" t="n">
        <f>789.9</f>
        <v>789.9</v>
      </c>
      <c r="P254" s="34" t="s">
        <v>48</v>
      </c>
      <c r="Q254" s="33" t="n">
        <f>802</f>
        <v>802.0</v>
      </c>
      <c r="R254" s="34" t="s">
        <v>51</v>
      </c>
      <c r="S254" s="35" t="n">
        <f>805.61</f>
        <v>805.61</v>
      </c>
      <c r="T254" s="32" t="n">
        <f>1072630</f>
        <v>1072630.0</v>
      </c>
      <c r="U254" s="32" t="str">
        <f>"－"</f>
        <v>－</v>
      </c>
      <c r="V254" s="32" t="n">
        <f>864031281</f>
        <v>8.64031281E8</v>
      </c>
      <c r="W254" s="32" t="str">
        <f>"－"</f>
        <v>－</v>
      </c>
      <c r="X254" s="36" t="n">
        <f>20</f>
        <v>20.0</v>
      </c>
    </row>
    <row r="255">
      <c r="A255" s="27" t="s">
        <v>42</v>
      </c>
      <c r="B255" s="27" t="s">
        <v>806</v>
      </c>
      <c r="C255" s="27" t="s">
        <v>807</v>
      </c>
      <c r="D255" s="27" t="s">
        <v>808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1220</f>
        <v>1220.0</v>
      </c>
      <c r="L255" s="34" t="s">
        <v>48</v>
      </c>
      <c r="M255" s="33" t="n">
        <f>1245</f>
        <v>1245.0</v>
      </c>
      <c r="N255" s="34" t="s">
        <v>48</v>
      </c>
      <c r="O255" s="33" t="n">
        <f>1100</f>
        <v>1100.0</v>
      </c>
      <c r="P255" s="34" t="s">
        <v>71</v>
      </c>
      <c r="Q255" s="33" t="n">
        <f>1107</f>
        <v>1107.0</v>
      </c>
      <c r="R255" s="34" t="s">
        <v>51</v>
      </c>
      <c r="S255" s="35" t="n">
        <f>1150.8</f>
        <v>1150.8</v>
      </c>
      <c r="T255" s="32" t="n">
        <f>382669</f>
        <v>382669.0</v>
      </c>
      <c r="U255" s="32" t="n">
        <f>9</f>
        <v>9.0</v>
      </c>
      <c r="V255" s="32" t="n">
        <f>435993419</f>
        <v>4.35993419E8</v>
      </c>
      <c r="W255" s="32" t="n">
        <f>9881</f>
        <v>9881.0</v>
      </c>
      <c r="X255" s="36" t="n">
        <f>20</f>
        <v>20.0</v>
      </c>
    </row>
    <row r="256">
      <c r="A256" s="27" t="s">
        <v>42</v>
      </c>
      <c r="B256" s="27" t="s">
        <v>809</v>
      </c>
      <c r="C256" s="27" t="s">
        <v>810</v>
      </c>
      <c r="D256" s="27" t="s">
        <v>811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1234</f>
        <v>1234.0</v>
      </c>
      <c r="L256" s="34" t="s">
        <v>48</v>
      </c>
      <c r="M256" s="33" t="n">
        <f>1234</f>
        <v>1234.0</v>
      </c>
      <c r="N256" s="34" t="s">
        <v>48</v>
      </c>
      <c r="O256" s="33" t="n">
        <f>1175</f>
        <v>1175.0</v>
      </c>
      <c r="P256" s="34" t="s">
        <v>299</v>
      </c>
      <c r="Q256" s="33" t="n">
        <f>1189</f>
        <v>1189.0</v>
      </c>
      <c r="R256" s="34" t="s">
        <v>51</v>
      </c>
      <c r="S256" s="35" t="n">
        <f>1199.65</f>
        <v>1199.65</v>
      </c>
      <c r="T256" s="32" t="n">
        <f>279510</f>
        <v>279510.0</v>
      </c>
      <c r="U256" s="32" t="n">
        <f>19</f>
        <v>19.0</v>
      </c>
      <c r="V256" s="32" t="n">
        <f>336449523</f>
        <v>3.36449523E8</v>
      </c>
      <c r="W256" s="32" t="n">
        <f>22762</f>
        <v>22762.0</v>
      </c>
      <c r="X256" s="36" t="n">
        <f>20</f>
        <v>20.0</v>
      </c>
    </row>
    <row r="257">
      <c r="A257" s="27" t="s">
        <v>42</v>
      </c>
      <c r="B257" s="27" t="s">
        <v>812</v>
      </c>
      <c r="C257" s="27" t="s">
        <v>813</v>
      </c>
      <c r="D257" s="27" t="s">
        <v>814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990</f>
        <v>990.0</v>
      </c>
      <c r="L257" s="34" t="s">
        <v>48</v>
      </c>
      <c r="M257" s="33" t="n">
        <f>1011</f>
        <v>1011.0</v>
      </c>
      <c r="N257" s="34" t="s">
        <v>70</v>
      </c>
      <c r="O257" s="33" t="n">
        <f>925</f>
        <v>925.0</v>
      </c>
      <c r="P257" s="34" t="s">
        <v>50</v>
      </c>
      <c r="Q257" s="33" t="n">
        <f>935</f>
        <v>935.0</v>
      </c>
      <c r="R257" s="34" t="s">
        <v>51</v>
      </c>
      <c r="S257" s="35" t="n">
        <f>967.35</f>
        <v>967.35</v>
      </c>
      <c r="T257" s="32" t="n">
        <f>3021476</f>
        <v>3021476.0</v>
      </c>
      <c r="U257" s="32" t="str">
        <f>"－"</f>
        <v>－</v>
      </c>
      <c r="V257" s="32" t="n">
        <f>2916203393</f>
        <v>2.916203393E9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815</v>
      </c>
      <c r="C258" s="27" t="s">
        <v>816</v>
      </c>
      <c r="D258" s="27" t="s">
        <v>817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211.2</f>
        <v>211.2</v>
      </c>
      <c r="L258" s="34" t="s">
        <v>48</v>
      </c>
      <c r="M258" s="33" t="n">
        <f>211.4</f>
        <v>211.4</v>
      </c>
      <c r="N258" s="34" t="s">
        <v>62</v>
      </c>
      <c r="O258" s="33" t="n">
        <f>202.7</f>
        <v>202.7</v>
      </c>
      <c r="P258" s="34" t="s">
        <v>299</v>
      </c>
      <c r="Q258" s="33" t="n">
        <f>206.5</f>
        <v>206.5</v>
      </c>
      <c r="R258" s="34" t="s">
        <v>51</v>
      </c>
      <c r="S258" s="35" t="n">
        <f>206.14</f>
        <v>206.14</v>
      </c>
      <c r="T258" s="32" t="n">
        <f>7140930</f>
        <v>7140930.0</v>
      </c>
      <c r="U258" s="32" t="n">
        <f>1830</f>
        <v>1830.0</v>
      </c>
      <c r="V258" s="32" t="n">
        <f>1468630524</f>
        <v>1.468630524E9</v>
      </c>
      <c r="W258" s="32" t="n">
        <f>382613</f>
        <v>382613.0</v>
      </c>
      <c r="X258" s="36" t="n">
        <f>20</f>
        <v>20.0</v>
      </c>
    </row>
    <row r="259">
      <c r="A259" s="27" t="s">
        <v>42</v>
      </c>
      <c r="B259" s="27" t="s">
        <v>818</v>
      </c>
      <c r="C259" s="27" t="s">
        <v>819</v>
      </c>
      <c r="D259" s="27" t="s">
        <v>820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213.9</f>
        <v>213.9</v>
      </c>
      <c r="L259" s="34" t="s">
        <v>48</v>
      </c>
      <c r="M259" s="33" t="n">
        <f>213.9</f>
        <v>213.9</v>
      </c>
      <c r="N259" s="34" t="s">
        <v>48</v>
      </c>
      <c r="O259" s="33" t="n">
        <f>206.4</f>
        <v>206.4</v>
      </c>
      <c r="P259" s="34" t="s">
        <v>225</v>
      </c>
      <c r="Q259" s="33" t="n">
        <f>210</f>
        <v>210.0</v>
      </c>
      <c r="R259" s="34" t="s">
        <v>51</v>
      </c>
      <c r="S259" s="35" t="n">
        <f>209.71</f>
        <v>209.71</v>
      </c>
      <c r="T259" s="32" t="n">
        <f>893450</f>
        <v>893450.0</v>
      </c>
      <c r="U259" s="32" t="str">
        <f>"－"</f>
        <v>－</v>
      </c>
      <c r="V259" s="32" t="n">
        <f>187397972</f>
        <v>1.87397972E8</v>
      </c>
      <c r="W259" s="32" t="str">
        <f>"－"</f>
        <v>－</v>
      </c>
      <c r="X259" s="36" t="n">
        <f>20</f>
        <v>20.0</v>
      </c>
    </row>
    <row r="260">
      <c r="A260" s="27" t="s">
        <v>42</v>
      </c>
      <c r="B260" s="27" t="s">
        <v>821</v>
      </c>
      <c r="C260" s="27" t="s">
        <v>822</v>
      </c>
      <c r="D260" s="27" t="s">
        <v>823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215</f>
        <v>215.0</v>
      </c>
      <c r="L260" s="34" t="s">
        <v>48</v>
      </c>
      <c r="M260" s="33" t="n">
        <f>219.5</f>
        <v>219.5</v>
      </c>
      <c r="N260" s="34" t="s">
        <v>66</v>
      </c>
      <c r="O260" s="33" t="n">
        <f>207.3</f>
        <v>207.3</v>
      </c>
      <c r="P260" s="34" t="s">
        <v>299</v>
      </c>
      <c r="Q260" s="33" t="n">
        <f>210.6</f>
        <v>210.6</v>
      </c>
      <c r="R260" s="34" t="s">
        <v>51</v>
      </c>
      <c r="S260" s="35" t="n">
        <f>210.51</f>
        <v>210.51</v>
      </c>
      <c r="T260" s="32" t="n">
        <f>502100</f>
        <v>502100.0</v>
      </c>
      <c r="U260" s="32" t="n">
        <f>420</f>
        <v>420.0</v>
      </c>
      <c r="V260" s="32" t="n">
        <f>106338468</f>
        <v>1.06338468E8</v>
      </c>
      <c r="W260" s="32" t="n">
        <f>85620</f>
        <v>85620.0</v>
      </c>
      <c r="X260" s="36" t="n">
        <f>20</f>
        <v>20.0</v>
      </c>
    </row>
    <row r="261">
      <c r="A261" s="27" t="s">
        <v>42</v>
      </c>
      <c r="B261" s="27" t="s">
        <v>824</v>
      </c>
      <c r="C261" s="27" t="s">
        <v>825</v>
      </c>
      <c r="D261" s="27" t="s">
        <v>826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217.8</f>
        <v>217.8</v>
      </c>
      <c r="L261" s="34" t="s">
        <v>48</v>
      </c>
      <c r="M261" s="33" t="n">
        <f>219.5</f>
        <v>219.5</v>
      </c>
      <c r="N261" s="34" t="s">
        <v>62</v>
      </c>
      <c r="O261" s="33" t="n">
        <f>208.8</f>
        <v>208.8</v>
      </c>
      <c r="P261" s="34" t="s">
        <v>50</v>
      </c>
      <c r="Q261" s="33" t="n">
        <f>211.3</f>
        <v>211.3</v>
      </c>
      <c r="R261" s="34" t="s">
        <v>51</v>
      </c>
      <c r="S261" s="35" t="n">
        <f>213.18</f>
        <v>213.18</v>
      </c>
      <c r="T261" s="32" t="n">
        <f>1102450</f>
        <v>1102450.0</v>
      </c>
      <c r="U261" s="32" t="str">
        <f>"－"</f>
        <v>－</v>
      </c>
      <c r="V261" s="32" t="n">
        <f>235153457</f>
        <v>2.35153457E8</v>
      </c>
      <c r="W261" s="32" t="str">
        <f>"－"</f>
        <v>－</v>
      </c>
      <c r="X261" s="36" t="n">
        <f>20</f>
        <v>20.0</v>
      </c>
    </row>
    <row r="262">
      <c r="A262" s="27" t="s">
        <v>42</v>
      </c>
      <c r="B262" s="27" t="s">
        <v>827</v>
      </c>
      <c r="C262" s="27" t="s">
        <v>828</v>
      </c>
      <c r="D262" s="27" t="s">
        <v>829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195.5</f>
        <v>195.5</v>
      </c>
      <c r="L262" s="34" t="s">
        <v>48</v>
      </c>
      <c r="M262" s="33" t="n">
        <f>195.5</f>
        <v>195.5</v>
      </c>
      <c r="N262" s="34" t="s">
        <v>48</v>
      </c>
      <c r="O262" s="33" t="n">
        <f>189.2</f>
        <v>189.2</v>
      </c>
      <c r="P262" s="34" t="s">
        <v>304</v>
      </c>
      <c r="Q262" s="33" t="n">
        <f>192.3</f>
        <v>192.3</v>
      </c>
      <c r="R262" s="34" t="s">
        <v>51</v>
      </c>
      <c r="S262" s="35" t="n">
        <f>191.4</f>
        <v>191.4</v>
      </c>
      <c r="T262" s="32" t="n">
        <f>12156750</f>
        <v>1.215675E7</v>
      </c>
      <c r="U262" s="32" t="n">
        <f>10713110</f>
        <v>1.071311E7</v>
      </c>
      <c r="V262" s="32" t="n">
        <f>2305315758</f>
        <v>2.305315758E9</v>
      </c>
      <c r="W262" s="32" t="n">
        <f>2028334547</f>
        <v>2.028334547E9</v>
      </c>
      <c r="X262" s="36" t="n">
        <f>20</f>
        <v>20.0</v>
      </c>
    </row>
    <row r="263">
      <c r="A263" s="27" t="s">
        <v>42</v>
      </c>
      <c r="B263" s="27" t="s">
        <v>830</v>
      </c>
      <c r="C263" s="27" t="s">
        <v>831</v>
      </c>
      <c r="D263" s="27" t="s">
        <v>832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1804</f>
        <v>1804.0</v>
      </c>
      <c r="L263" s="34" t="s">
        <v>48</v>
      </c>
      <c r="M263" s="33" t="n">
        <f>1966</f>
        <v>1966.0</v>
      </c>
      <c r="N263" s="34" t="s">
        <v>66</v>
      </c>
      <c r="O263" s="33" t="n">
        <f>1746</f>
        <v>1746.0</v>
      </c>
      <c r="P263" s="34" t="s">
        <v>50</v>
      </c>
      <c r="Q263" s="33" t="n">
        <f>1886</f>
        <v>1886.0</v>
      </c>
      <c r="R263" s="34" t="s">
        <v>51</v>
      </c>
      <c r="S263" s="35" t="n">
        <f>1842.6</f>
        <v>1842.6</v>
      </c>
      <c r="T263" s="32" t="n">
        <f>1320408</f>
        <v>1320408.0</v>
      </c>
      <c r="U263" s="32" t="n">
        <f>190649</f>
        <v>190649.0</v>
      </c>
      <c r="V263" s="32" t="n">
        <f>2429712946</f>
        <v>2.429712946E9</v>
      </c>
      <c r="W263" s="32" t="n">
        <f>358742399</f>
        <v>3.58742399E8</v>
      </c>
      <c r="X263" s="36" t="n">
        <f>20</f>
        <v>20.0</v>
      </c>
    </row>
    <row r="264">
      <c r="A264" s="27" t="s">
        <v>42</v>
      </c>
      <c r="B264" s="27" t="s">
        <v>833</v>
      </c>
      <c r="C264" s="27" t="s">
        <v>834</v>
      </c>
      <c r="D264" s="27" t="s">
        <v>835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1031</f>
        <v>1031.0</v>
      </c>
      <c r="L264" s="34" t="s">
        <v>48</v>
      </c>
      <c r="M264" s="33" t="n">
        <f>1080</f>
        <v>1080.0</v>
      </c>
      <c r="N264" s="34" t="s">
        <v>72</v>
      </c>
      <c r="O264" s="33" t="n">
        <f>1011</f>
        <v>1011.0</v>
      </c>
      <c r="P264" s="34" t="s">
        <v>50</v>
      </c>
      <c r="Q264" s="33" t="n">
        <f>1016</f>
        <v>1016.0</v>
      </c>
      <c r="R264" s="34" t="s">
        <v>51</v>
      </c>
      <c r="S264" s="35" t="n">
        <f>1043.6</f>
        <v>1043.6</v>
      </c>
      <c r="T264" s="32" t="n">
        <f>14338</f>
        <v>14338.0</v>
      </c>
      <c r="U264" s="32" t="str">
        <f>"－"</f>
        <v>－</v>
      </c>
      <c r="V264" s="32" t="n">
        <f>14857838</f>
        <v>1.4857838E7</v>
      </c>
      <c r="W264" s="32" t="str">
        <f>"－"</f>
        <v>－</v>
      </c>
      <c r="X264" s="36" t="n">
        <f>20</f>
        <v>20.0</v>
      </c>
    </row>
    <row r="265">
      <c r="A265" s="27" t="s">
        <v>42</v>
      </c>
      <c r="B265" s="27" t="s">
        <v>836</v>
      </c>
      <c r="C265" s="27" t="s">
        <v>837</v>
      </c>
      <c r="D265" s="27" t="s">
        <v>838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1014</f>
        <v>1014.0</v>
      </c>
      <c r="L265" s="34" t="s">
        <v>48</v>
      </c>
      <c r="M265" s="33" t="n">
        <f>1064</f>
        <v>1064.0</v>
      </c>
      <c r="N265" s="34" t="s">
        <v>49</v>
      </c>
      <c r="O265" s="33" t="n">
        <f>1010</f>
        <v>1010.0</v>
      </c>
      <c r="P265" s="34" t="s">
        <v>50</v>
      </c>
      <c r="Q265" s="33" t="n">
        <f>1025</f>
        <v>1025.0</v>
      </c>
      <c r="R265" s="34" t="s">
        <v>51</v>
      </c>
      <c r="S265" s="35" t="n">
        <f>1036.4</f>
        <v>1036.4</v>
      </c>
      <c r="T265" s="32" t="n">
        <f>1292262</f>
        <v>1292262.0</v>
      </c>
      <c r="U265" s="32" t="n">
        <f>845700</f>
        <v>845700.0</v>
      </c>
      <c r="V265" s="32" t="n">
        <f>1320832275</f>
        <v>1.320832275E9</v>
      </c>
      <c r="W265" s="32" t="n">
        <f>861763031</f>
        <v>8.61763031E8</v>
      </c>
      <c r="X265" s="36" t="n">
        <f>20</f>
        <v>20.0</v>
      </c>
    </row>
    <row r="266">
      <c r="A266" s="27" t="s">
        <v>42</v>
      </c>
      <c r="B266" s="27" t="s">
        <v>839</v>
      </c>
      <c r="C266" s="27" t="s">
        <v>840</v>
      </c>
      <c r="D266" s="27" t="s">
        <v>841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483.5</f>
        <v>483.5</v>
      </c>
      <c r="L266" s="34" t="s">
        <v>48</v>
      </c>
      <c r="M266" s="33" t="n">
        <f>483.5</f>
        <v>483.5</v>
      </c>
      <c r="N266" s="34" t="s">
        <v>48</v>
      </c>
      <c r="O266" s="33" t="n">
        <f>475.2</f>
        <v>475.2</v>
      </c>
      <c r="P266" s="34" t="s">
        <v>49</v>
      </c>
      <c r="Q266" s="33" t="n">
        <f>478.8</f>
        <v>478.8</v>
      </c>
      <c r="R266" s="34" t="s">
        <v>51</v>
      </c>
      <c r="S266" s="35" t="n">
        <f>477.95</f>
        <v>477.95</v>
      </c>
      <c r="T266" s="32" t="n">
        <f>7158450</f>
        <v>7158450.0</v>
      </c>
      <c r="U266" s="32" t="n">
        <f>6821630</f>
        <v>6821630.0</v>
      </c>
      <c r="V266" s="32" t="n">
        <f>3423868493</f>
        <v>3.423868493E9</v>
      </c>
      <c r="W266" s="32" t="n">
        <f>3262996427</f>
        <v>3.262996427E9</v>
      </c>
      <c r="X266" s="36" t="n">
        <f>20</f>
        <v>20.0</v>
      </c>
    </row>
    <row r="267">
      <c r="A267" s="27" t="s">
        <v>42</v>
      </c>
      <c r="B267" s="27" t="s">
        <v>842</v>
      </c>
      <c r="C267" s="27" t="s">
        <v>843</v>
      </c>
      <c r="D267" s="27" t="s">
        <v>844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184.5</f>
        <v>184.5</v>
      </c>
      <c r="L267" s="34" t="s">
        <v>48</v>
      </c>
      <c r="M267" s="33" t="n">
        <f>186.6</f>
        <v>186.6</v>
      </c>
      <c r="N267" s="34" t="s">
        <v>62</v>
      </c>
      <c r="O267" s="33" t="n">
        <f>174.4</f>
        <v>174.4</v>
      </c>
      <c r="P267" s="34" t="s">
        <v>72</v>
      </c>
      <c r="Q267" s="33" t="n">
        <f>177.7</f>
        <v>177.7</v>
      </c>
      <c r="R267" s="34" t="s">
        <v>51</v>
      </c>
      <c r="S267" s="35" t="n">
        <f>178.52</f>
        <v>178.52</v>
      </c>
      <c r="T267" s="32" t="n">
        <f>1869940</f>
        <v>1869940.0</v>
      </c>
      <c r="U267" s="32" t="str">
        <f>"－"</f>
        <v>－</v>
      </c>
      <c r="V267" s="32" t="n">
        <f>334699854</f>
        <v>3.34699854E8</v>
      </c>
      <c r="W267" s="32" t="str">
        <f>"－"</f>
        <v>－</v>
      </c>
      <c r="X267" s="36" t="n">
        <f>20</f>
        <v>20.0</v>
      </c>
    </row>
    <row r="268">
      <c r="A268" s="27" t="s">
        <v>42</v>
      </c>
      <c r="B268" s="27" t="s">
        <v>845</v>
      </c>
      <c r="C268" s="27" t="s">
        <v>846</v>
      </c>
      <c r="D268" s="27" t="s">
        <v>847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171</f>
        <v>171.0</v>
      </c>
      <c r="L268" s="34" t="s">
        <v>48</v>
      </c>
      <c r="M268" s="33" t="n">
        <f>173.2</f>
        <v>173.2</v>
      </c>
      <c r="N268" s="34" t="s">
        <v>62</v>
      </c>
      <c r="O268" s="33" t="n">
        <f>159.2</f>
        <v>159.2</v>
      </c>
      <c r="P268" s="34" t="s">
        <v>85</v>
      </c>
      <c r="Q268" s="33" t="n">
        <f>164.8</f>
        <v>164.8</v>
      </c>
      <c r="R268" s="34" t="s">
        <v>51</v>
      </c>
      <c r="S268" s="35" t="n">
        <f>165.6</f>
        <v>165.6</v>
      </c>
      <c r="T268" s="32" t="n">
        <f>1700670</f>
        <v>1700670.0</v>
      </c>
      <c r="U268" s="32" t="str">
        <f>"－"</f>
        <v>－</v>
      </c>
      <c r="V268" s="32" t="n">
        <f>279902847</f>
        <v>2.79902847E8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848</v>
      </c>
      <c r="C269" s="27" t="s">
        <v>849</v>
      </c>
      <c r="D269" s="27" t="s">
        <v>850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885.6</f>
        <v>885.6</v>
      </c>
      <c r="L269" s="34" t="s">
        <v>48</v>
      </c>
      <c r="M269" s="33" t="n">
        <f>902.8</f>
        <v>902.8</v>
      </c>
      <c r="N269" s="34" t="s">
        <v>62</v>
      </c>
      <c r="O269" s="33" t="n">
        <f>867.2</f>
        <v>867.2</v>
      </c>
      <c r="P269" s="34" t="s">
        <v>299</v>
      </c>
      <c r="Q269" s="33" t="n">
        <f>877</f>
        <v>877.0</v>
      </c>
      <c r="R269" s="34" t="s">
        <v>51</v>
      </c>
      <c r="S269" s="35" t="n">
        <f>877.13</f>
        <v>877.13</v>
      </c>
      <c r="T269" s="32" t="n">
        <f>8401900</f>
        <v>8401900.0</v>
      </c>
      <c r="U269" s="32" t="n">
        <f>6505770</f>
        <v>6505770.0</v>
      </c>
      <c r="V269" s="32" t="n">
        <f>7344047599</f>
        <v>7.344047599E9</v>
      </c>
      <c r="W269" s="32" t="n">
        <f>5680872548</f>
        <v>5.680872548E9</v>
      </c>
      <c r="X269" s="36" t="n">
        <f>20</f>
        <v>20.0</v>
      </c>
    </row>
    <row r="270">
      <c r="A270" s="27" t="s">
        <v>42</v>
      </c>
      <c r="B270" s="27" t="s">
        <v>851</v>
      </c>
      <c r="C270" s="27" t="s">
        <v>852</v>
      </c>
      <c r="D270" s="27" t="s">
        <v>853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1089.5</f>
        <v>1089.5</v>
      </c>
      <c r="L270" s="34" t="s">
        <v>48</v>
      </c>
      <c r="M270" s="33" t="n">
        <f>1137.5</f>
        <v>1137.5</v>
      </c>
      <c r="N270" s="34" t="s">
        <v>159</v>
      </c>
      <c r="O270" s="33" t="n">
        <f>1051.5</f>
        <v>1051.5</v>
      </c>
      <c r="P270" s="34" t="s">
        <v>225</v>
      </c>
      <c r="Q270" s="33" t="n">
        <f>1075</f>
        <v>1075.0</v>
      </c>
      <c r="R270" s="34" t="s">
        <v>51</v>
      </c>
      <c r="S270" s="35" t="n">
        <f>1075.4</f>
        <v>1075.4</v>
      </c>
      <c r="T270" s="32" t="n">
        <f>4186680</f>
        <v>4186680.0</v>
      </c>
      <c r="U270" s="32" t="n">
        <f>2971330</f>
        <v>2971330.0</v>
      </c>
      <c r="V270" s="32" t="n">
        <f>4488108273</f>
        <v>4.488108273E9</v>
      </c>
      <c r="W270" s="32" t="n">
        <f>3183755963</f>
        <v>3.183755963E9</v>
      </c>
      <c r="X270" s="36" t="n">
        <f>20</f>
        <v>20.0</v>
      </c>
    </row>
    <row r="271">
      <c r="A271" s="27" t="s">
        <v>42</v>
      </c>
      <c r="B271" s="27" t="s">
        <v>854</v>
      </c>
      <c r="C271" s="27" t="s">
        <v>855</v>
      </c>
      <c r="D271" s="27" t="s">
        <v>856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774.2</f>
        <v>774.2</v>
      </c>
      <c r="L271" s="34" t="s">
        <v>48</v>
      </c>
      <c r="M271" s="33" t="n">
        <f>790</f>
        <v>790.0</v>
      </c>
      <c r="N271" s="34" t="s">
        <v>212</v>
      </c>
      <c r="O271" s="33" t="n">
        <f>755</f>
        <v>755.0</v>
      </c>
      <c r="P271" s="34" t="s">
        <v>212</v>
      </c>
      <c r="Q271" s="33" t="n">
        <f>759.9</f>
        <v>759.9</v>
      </c>
      <c r="R271" s="34" t="s">
        <v>51</v>
      </c>
      <c r="S271" s="35" t="n">
        <f>762.45</f>
        <v>762.45</v>
      </c>
      <c r="T271" s="32" t="n">
        <f>5052190</f>
        <v>5052190.0</v>
      </c>
      <c r="U271" s="32" t="n">
        <f>4675280</f>
        <v>4675280.0</v>
      </c>
      <c r="V271" s="32" t="n">
        <f>3826759022</f>
        <v>3.826759022E9</v>
      </c>
      <c r="W271" s="32" t="n">
        <f>3540729962</f>
        <v>3.540729962E9</v>
      </c>
      <c r="X271" s="36" t="n">
        <f>20</f>
        <v>20.0</v>
      </c>
    </row>
    <row r="272">
      <c r="A272" s="27" t="s">
        <v>42</v>
      </c>
      <c r="B272" s="27" t="s">
        <v>857</v>
      </c>
      <c r="C272" s="27" t="s">
        <v>858</v>
      </c>
      <c r="D272" s="27" t="s">
        <v>859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2647</f>
        <v>2647.0</v>
      </c>
      <c r="L272" s="34" t="s">
        <v>48</v>
      </c>
      <c r="M272" s="33" t="n">
        <f>2653</f>
        <v>2653.0</v>
      </c>
      <c r="N272" s="34" t="s">
        <v>48</v>
      </c>
      <c r="O272" s="33" t="n">
        <f>2415</f>
        <v>2415.0</v>
      </c>
      <c r="P272" s="34" t="s">
        <v>50</v>
      </c>
      <c r="Q272" s="33" t="n">
        <f>2451</f>
        <v>2451.0</v>
      </c>
      <c r="R272" s="34" t="s">
        <v>51</v>
      </c>
      <c r="S272" s="35" t="n">
        <f>2528.73</f>
        <v>2528.73</v>
      </c>
      <c r="T272" s="32" t="n">
        <f>2136390</f>
        <v>2136390.0</v>
      </c>
      <c r="U272" s="32" t="n">
        <f>1566160</f>
        <v>1566160.0</v>
      </c>
      <c r="V272" s="32" t="n">
        <f>5357406851</f>
        <v>5.357406851E9</v>
      </c>
      <c r="W272" s="32" t="n">
        <f>3918711411</f>
        <v>3.918711411E9</v>
      </c>
      <c r="X272" s="36" t="n">
        <f>20</f>
        <v>20.0</v>
      </c>
    </row>
    <row r="273">
      <c r="A273" s="27" t="s">
        <v>42</v>
      </c>
      <c r="B273" s="27" t="s">
        <v>860</v>
      </c>
      <c r="C273" s="27" t="s">
        <v>861</v>
      </c>
      <c r="D273" s="27" t="s">
        <v>862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1686.5</f>
        <v>1686.5</v>
      </c>
      <c r="L273" s="34" t="s">
        <v>48</v>
      </c>
      <c r="M273" s="33" t="n">
        <f>1691</f>
        <v>1691.0</v>
      </c>
      <c r="N273" s="34" t="s">
        <v>212</v>
      </c>
      <c r="O273" s="33" t="n">
        <f>1568.5</f>
        <v>1568.5</v>
      </c>
      <c r="P273" s="34" t="s">
        <v>51</v>
      </c>
      <c r="Q273" s="33" t="n">
        <f>1570</f>
        <v>1570.0</v>
      </c>
      <c r="R273" s="34" t="s">
        <v>51</v>
      </c>
      <c r="S273" s="35" t="n">
        <f>1615.55</f>
        <v>1615.55</v>
      </c>
      <c r="T273" s="32" t="n">
        <f>1284930</f>
        <v>1284930.0</v>
      </c>
      <c r="U273" s="32" t="n">
        <f>838780</f>
        <v>838780.0</v>
      </c>
      <c r="V273" s="32" t="n">
        <f>2067202413</f>
        <v>2.067202413E9</v>
      </c>
      <c r="W273" s="32" t="n">
        <f>1345595473</f>
        <v>1.345595473E9</v>
      </c>
      <c r="X273" s="36" t="n">
        <f>20</f>
        <v>20.0</v>
      </c>
    </row>
    <row r="274">
      <c r="A274" s="27" t="s">
        <v>42</v>
      </c>
      <c r="B274" s="27" t="s">
        <v>863</v>
      </c>
      <c r="C274" s="27" t="s">
        <v>864</v>
      </c>
      <c r="D274" s="27" t="s">
        <v>865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1440.5</f>
        <v>1440.5</v>
      </c>
      <c r="L274" s="34" t="s">
        <v>48</v>
      </c>
      <c r="M274" s="33" t="n">
        <f>1442.5</f>
        <v>1442.5</v>
      </c>
      <c r="N274" s="34" t="s">
        <v>48</v>
      </c>
      <c r="O274" s="33" t="n">
        <f>1336</f>
        <v>1336.0</v>
      </c>
      <c r="P274" s="34" t="s">
        <v>71</v>
      </c>
      <c r="Q274" s="33" t="n">
        <f>1362</f>
        <v>1362.0</v>
      </c>
      <c r="R274" s="34" t="s">
        <v>51</v>
      </c>
      <c r="S274" s="35" t="n">
        <f>1383.58</f>
        <v>1383.58</v>
      </c>
      <c r="T274" s="32" t="n">
        <f>715250</f>
        <v>715250.0</v>
      </c>
      <c r="U274" s="32" t="n">
        <f>261820</f>
        <v>261820.0</v>
      </c>
      <c r="V274" s="32" t="n">
        <f>988446120</f>
        <v>9.8844612E8</v>
      </c>
      <c r="W274" s="32" t="n">
        <f>358655645</f>
        <v>3.58655645E8</v>
      </c>
      <c r="X274" s="36" t="n">
        <f>20</f>
        <v>20.0</v>
      </c>
    </row>
    <row r="275">
      <c r="A275" s="27" t="s">
        <v>42</v>
      </c>
      <c r="B275" s="27" t="s">
        <v>866</v>
      </c>
      <c r="C275" s="27" t="s">
        <v>867</v>
      </c>
      <c r="D275" s="27" t="s">
        <v>868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519.2</f>
        <v>519.2</v>
      </c>
      <c r="L275" s="34" t="s">
        <v>48</v>
      </c>
      <c r="M275" s="33" t="n">
        <f>530</f>
        <v>530.0</v>
      </c>
      <c r="N275" s="34" t="s">
        <v>85</v>
      </c>
      <c r="O275" s="33" t="n">
        <f>488.8</f>
        <v>488.8</v>
      </c>
      <c r="P275" s="34" t="s">
        <v>50</v>
      </c>
      <c r="Q275" s="33" t="n">
        <f>509.8</f>
        <v>509.8</v>
      </c>
      <c r="R275" s="34" t="s">
        <v>51</v>
      </c>
      <c r="S275" s="35" t="n">
        <f>515.75</f>
        <v>515.75</v>
      </c>
      <c r="T275" s="32" t="n">
        <f>12514970</f>
        <v>1.251497E7</v>
      </c>
      <c r="U275" s="32" t="n">
        <f>90270</f>
        <v>90270.0</v>
      </c>
      <c r="V275" s="32" t="n">
        <f>6404199799</f>
        <v>6.404199799E9</v>
      </c>
      <c r="W275" s="32" t="n">
        <f>45782885</f>
        <v>4.5782885E7</v>
      </c>
      <c r="X275" s="36" t="n">
        <f>20</f>
        <v>20.0</v>
      </c>
    </row>
    <row r="276">
      <c r="A276" s="27" t="s">
        <v>42</v>
      </c>
      <c r="B276" s="27" t="s">
        <v>869</v>
      </c>
      <c r="C276" s="27" t="s">
        <v>870</v>
      </c>
      <c r="D276" s="27" t="s">
        <v>871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1027.5</f>
        <v>1027.5</v>
      </c>
      <c r="L276" s="34" t="s">
        <v>48</v>
      </c>
      <c r="M276" s="33" t="n">
        <f>1047</f>
        <v>1047.0</v>
      </c>
      <c r="N276" s="34" t="s">
        <v>72</v>
      </c>
      <c r="O276" s="33" t="n">
        <f>994.3</f>
        <v>994.3</v>
      </c>
      <c r="P276" s="34" t="s">
        <v>50</v>
      </c>
      <c r="Q276" s="33" t="n">
        <f>1023.5</f>
        <v>1023.5</v>
      </c>
      <c r="R276" s="34" t="s">
        <v>51</v>
      </c>
      <c r="S276" s="35" t="n">
        <f>1022.23</f>
        <v>1022.23</v>
      </c>
      <c r="T276" s="32" t="n">
        <f>260530</f>
        <v>260530.0</v>
      </c>
      <c r="U276" s="32" t="n">
        <f>183230</f>
        <v>183230.0</v>
      </c>
      <c r="V276" s="32" t="n">
        <f>269324770</f>
        <v>2.6932477E8</v>
      </c>
      <c r="W276" s="32" t="n">
        <f>190622506</f>
        <v>1.90622506E8</v>
      </c>
      <c r="X276" s="36" t="n">
        <f>20</f>
        <v>20.0</v>
      </c>
    </row>
    <row r="277">
      <c r="A277" s="27" t="s">
        <v>42</v>
      </c>
      <c r="B277" s="27" t="s">
        <v>872</v>
      </c>
      <c r="C277" s="27" t="s">
        <v>873</v>
      </c>
      <c r="D277" s="27" t="s">
        <v>874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1600</f>
        <v>1600.0</v>
      </c>
      <c r="L277" s="34" t="s">
        <v>48</v>
      </c>
      <c r="M277" s="33" t="n">
        <f>1633</f>
        <v>1633.0</v>
      </c>
      <c r="N277" s="34" t="s">
        <v>205</v>
      </c>
      <c r="O277" s="33" t="n">
        <f>1520</f>
        <v>1520.0</v>
      </c>
      <c r="P277" s="34" t="s">
        <v>50</v>
      </c>
      <c r="Q277" s="33" t="n">
        <f>1567</f>
        <v>1567.0</v>
      </c>
      <c r="R277" s="34" t="s">
        <v>51</v>
      </c>
      <c r="S277" s="35" t="n">
        <f>1594.8</f>
        <v>1594.8</v>
      </c>
      <c r="T277" s="32" t="n">
        <f>25094</f>
        <v>25094.0</v>
      </c>
      <c r="U277" s="32" t="str">
        <f>"－"</f>
        <v>－</v>
      </c>
      <c r="V277" s="32" t="n">
        <f>40152690</f>
        <v>4.015269E7</v>
      </c>
      <c r="W277" s="32" t="str">
        <f>"－"</f>
        <v>－</v>
      </c>
      <c r="X277" s="36" t="n">
        <f>20</f>
        <v>20.0</v>
      </c>
    </row>
    <row r="278">
      <c r="A278" s="27" t="s">
        <v>42</v>
      </c>
      <c r="B278" s="27" t="s">
        <v>875</v>
      </c>
      <c r="C278" s="27" t="s">
        <v>876</v>
      </c>
      <c r="D278" s="27" t="s">
        <v>877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1105</f>
        <v>1105.0</v>
      </c>
      <c r="L278" s="34" t="s">
        <v>48</v>
      </c>
      <c r="M278" s="33" t="n">
        <f>1109.5</f>
        <v>1109.5</v>
      </c>
      <c r="N278" s="34" t="s">
        <v>62</v>
      </c>
      <c r="O278" s="33" t="n">
        <f>1050</f>
        <v>1050.0</v>
      </c>
      <c r="P278" s="34" t="s">
        <v>225</v>
      </c>
      <c r="Q278" s="33" t="n">
        <f>1061</f>
        <v>1061.0</v>
      </c>
      <c r="R278" s="34" t="s">
        <v>51</v>
      </c>
      <c r="S278" s="35" t="n">
        <f>1077.53</f>
        <v>1077.53</v>
      </c>
      <c r="T278" s="32" t="n">
        <f>75830</f>
        <v>75830.0</v>
      </c>
      <c r="U278" s="32" t="n">
        <f>90</f>
        <v>90.0</v>
      </c>
      <c r="V278" s="32" t="n">
        <f>81981285</f>
        <v>8.1981285E7</v>
      </c>
      <c r="W278" s="32" t="n">
        <f>94680</f>
        <v>94680.0</v>
      </c>
      <c r="X278" s="36" t="n">
        <f>20</f>
        <v>20.0</v>
      </c>
    </row>
    <row r="279">
      <c r="A279" s="27" t="s">
        <v>42</v>
      </c>
      <c r="B279" s="27" t="s">
        <v>878</v>
      </c>
      <c r="C279" s="27" t="s">
        <v>879</v>
      </c>
      <c r="D279" s="27" t="s">
        <v>880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1433</f>
        <v>1433.0</v>
      </c>
      <c r="L279" s="34" t="s">
        <v>48</v>
      </c>
      <c r="M279" s="33" t="n">
        <f>1512</f>
        <v>1512.0</v>
      </c>
      <c r="N279" s="34" t="s">
        <v>48</v>
      </c>
      <c r="O279" s="33" t="n">
        <f>1390.5</f>
        <v>1390.5</v>
      </c>
      <c r="P279" s="34" t="s">
        <v>50</v>
      </c>
      <c r="Q279" s="33" t="n">
        <f>1450</f>
        <v>1450.0</v>
      </c>
      <c r="R279" s="34" t="s">
        <v>51</v>
      </c>
      <c r="S279" s="35" t="n">
        <f>1452.18</f>
        <v>1452.18</v>
      </c>
      <c r="T279" s="32" t="n">
        <f>70610</f>
        <v>70610.0</v>
      </c>
      <c r="U279" s="32" t="str">
        <f>"－"</f>
        <v>－</v>
      </c>
      <c r="V279" s="32" t="n">
        <f>102789765</f>
        <v>1.02789765E8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881</v>
      </c>
      <c r="C280" s="27" t="s">
        <v>882</v>
      </c>
      <c r="D280" s="27" t="s">
        <v>883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1771</f>
        <v>1771.0</v>
      </c>
      <c r="L280" s="34" t="s">
        <v>48</v>
      </c>
      <c r="M280" s="33" t="n">
        <f>1772</f>
        <v>1772.0</v>
      </c>
      <c r="N280" s="34" t="s">
        <v>48</v>
      </c>
      <c r="O280" s="33" t="n">
        <f>1639.5</f>
        <v>1639.5</v>
      </c>
      <c r="P280" s="34" t="s">
        <v>51</v>
      </c>
      <c r="Q280" s="33" t="n">
        <f>1641.5</f>
        <v>1641.5</v>
      </c>
      <c r="R280" s="34" t="s">
        <v>51</v>
      </c>
      <c r="S280" s="35" t="n">
        <f>1692.25</f>
        <v>1692.25</v>
      </c>
      <c r="T280" s="32" t="n">
        <f>5370200</f>
        <v>5370200.0</v>
      </c>
      <c r="U280" s="32" t="n">
        <f>4664020</f>
        <v>4664020.0</v>
      </c>
      <c r="V280" s="32" t="n">
        <f>9060110804</f>
        <v>9.060110804E9</v>
      </c>
      <c r="W280" s="32" t="n">
        <f>7861542634</f>
        <v>7.861542634E9</v>
      </c>
      <c r="X280" s="36" t="n">
        <f>20</f>
        <v>20.0</v>
      </c>
    </row>
    <row r="281">
      <c r="A281" s="27" t="s">
        <v>42</v>
      </c>
      <c r="B281" s="27" t="s">
        <v>884</v>
      </c>
      <c r="C281" s="27" t="s">
        <v>885</v>
      </c>
      <c r="D281" s="27" t="s">
        <v>886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5600</f>
        <v>5600.0</v>
      </c>
      <c r="L281" s="34" t="s">
        <v>48</v>
      </c>
      <c r="M281" s="33" t="n">
        <f>5630</f>
        <v>5630.0</v>
      </c>
      <c r="N281" s="34" t="s">
        <v>48</v>
      </c>
      <c r="O281" s="33" t="n">
        <f>5020</f>
        <v>5020.0</v>
      </c>
      <c r="P281" s="34" t="s">
        <v>51</v>
      </c>
      <c r="Q281" s="33" t="n">
        <f>5070</f>
        <v>5070.0</v>
      </c>
      <c r="R281" s="34" t="s">
        <v>51</v>
      </c>
      <c r="S281" s="35" t="n">
        <f>5337.5</f>
        <v>5337.5</v>
      </c>
      <c r="T281" s="32" t="n">
        <f>124372</f>
        <v>124372.0</v>
      </c>
      <c r="U281" s="32" t="str">
        <f>"－"</f>
        <v>－</v>
      </c>
      <c r="V281" s="32" t="n">
        <f>652615640</f>
        <v>6.5261564E8</v>
      </c>
      <c r="W281" s="32" t="str">
        <f>"－"</f>
        <v>－</v>
      </c>
      <c r="X281" s="36" t="n">
        <f>20</f>
        <v>20.0</v>
      </c>
    </row>
    <row r="282">
      <c r="A282" s="27" t="s">
        <v>42</v>
      </c>
      <c r="B282" s="27" t="s">
        <v>887</v>
      </c>
      <c r="C282" s="27" t="s">
        <v>888</v>
      </c>
      <c r="D282" s="27" t="s">
        <v>889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10.0</v>
      </c>
      <c r="K282" s="33" t="n">
        <f>2192</f>
        <v>2192.0</v>
      </c>
      <c r="L282" s="34" t="s">
        <v>225</v>
      </c>
      <c r="M282" s="33" t="n">
        <f>2520</f>
        <v>2520.0</v>
      </c>
      <c r="N282" s="34" t="s">
        <v>49</v>
      </c>
      <c r="O282" s="33" t="n">
        <f>2192</f>
        <v>2192.0</v>
      </c>
      <c r="P282" s="34" t="s">
        <v>225</v>
      </c>
      <c r="Q282" s="33" t="n">
        <f>2241</f>
        <v>2241.0</v>
      </c>
      <c r="R282" s="34" t="s">
        <v>51</v>
      </c>
      <c r="S282" s="35" t="n">
        <f>2254.06</f>
        <v>2254.06</v>
      </c>
      <c r="T282" s="32" t="n">
        <f>2240</f>
        <v>2240.0</v>
      </c>
      <c r="U282" s="32" t="str">
        <f>"－"</f>
        <v>－</v>
      </c>
      <c r="V282" s="32" t="n">
        <f>5083995</f>
        <v>5083995.0</v>
      </c>
      <c r="W282" s="32" t="str">
        <f>"－"</f>
        <v>－</v>
      </c>
      <c r="X282" s="36" t="n">
        <f>8</f>
        <v>8.0</v>
      </c>
    </row>
    <row r="283">
      <c r="A283" s="27" t="s">
        <v>42</v>
      </c>
      <c r="B283" s="27" t="s">
        <v>890</v>
      </c>
      <c r="C283" s="27" t="s">
        <v>891</v>
      </c>
      <c r="D283" s="27" t="s">
        <v>892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10.0</v>
      </c>
      <c r="K283" s="33" t="n">
        <f>2780.5</f>
        <v>2780.5</v>
      </c>
      <c r="L283" s="34" t="s">
        <v>48</v>
      </c>
      <c r="M283" s="33" t="n">
        <f>2864</f>
        <v>2864.0</v>
      </c>
      <c r="N283" s="34" t="s">
        <v>49</v>
      </c>
      <c r="O283" s="33" t="n">
        <f>2694</f>
        <v>2694.0</v>
      </c>
      <c r="P283" s="34" t="s">
        <v>50</v>
      </c>
      <c r="Q283" s="33" t="n">
        <f>2739</f>
        <v>2739.0</v>
      </c>
      <c r="R283" s="34" t="s">
        <v>51</v>
      </c>
      <c r="S283" s="35" t="n">
        <f>2796.41</f>
        <v>2796.41</v>
      </c>
      <c r="T283" s="32" t="n">
        <f>6346960</f>
        <v>6346960.0</v>
      </c>
      <c r="U283" s="32" t="n">
        <f>6056000</f>
        <v>6056000.0</v>
      </c>
      <c r="V283" s="32" t="n">
        <f>18001929338</f>
        <v>1.8001929338E10</v>
      </c>
      <c r="W283" s="32" t="n">
        <f>17179239858</f>
        <v>1.7179239858E10</v>
      </c>
      <c r="X283" s="36" t="n">
        <f>17</f>
        <v>17.0</v>
      </c>
    </row>
    <row r="284">
      <c r="A284" s="27" t="s">
        <v>42</v>
      </c>
      <c r="B284" s="27" t="s">
        <v>893</v>
      </c>
      <c r="C284" s="27" t="s">
        <v>894</v>
      </c>
      <c r="D284" s="27" t="s">
        <v>895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37760</f>
        <v>37760.0</v>
      </c>
      <c r="L284" s="34" t="s">
        <v>48</v>
      </c>
      <c r="M284" s="33" t="n">
        <f>38260</f>
        <v>38260.0</v>
      </c>
      <c r="N284" s="34" t="s">
        <v>49</v>
      </c>
      <c r="O284" s="33" t="n">
        <f>35960</f>
        <v>35960.0</v>
      </c>
      <c r="P284" s="34" t="s">
        <v>51</v>
      </c>
      <c r="Q284" s="33" t="n">
        <f>36060</f>
        <v>36060.0</v>
      </c>
      <c r="R284" s="34" t="s">
        <v>51</v>
      </c>
      <c r="S284" s="35" t="n">
        <f>37408.5</f>
        <v>37408.5</v>
      </c>
      <c r="T284" s="32" t="n">
        <f>68838</f>
        <v>68838.0</v>
      </c>
      <c r="U284" s="32" t="n">
        <f>22104</f>
        <v>22104.0</v>
      </c>
      <c r="V284" s="32" t="n">
        <f>2566931485</f>
        <v>2.566931485E9</v>
      </c>
      <c r="W284" s="32" t="n">
        <f>817046975</f>
        <v>8.17046975E8</v>
      </c>
      <c r="X284" s="36" t="n">
        <f>20</f>
        <v>20.0</v>
      </c>
    </row>
    <row r="285">
      <c r="A285" s="27" t="s">
        <v>42</v>
      </c>
      <c r="B285" s="27" t="s">
        <v>896</v>
      </c>
      <c r="C285" s="27" t="s">
        <v>897</v>
      </c>
      <c r="D285" s="27" t="s">
        <v>898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24955</f>
        <v>24955.0</v>
      </c>
      <c r="L285" s="34" t="s">
        <v>48</v>
      </c>
      <c r="M285" s="33" t="n">
        <f>26140</f>
        <v>26140.0</v>
      </c>
      <c r="N285" s="34" t="s">
        <v>85</v>
      </c>
      <c r="O285" s="33" t="n">
        <f>24020</f>
        <v>24020.0</v>
      </c>
      <c r="P285" s="34" t="s">
        <v>50</v>
      </c>
      <c r="Q285" s="33" t="n">
        <f>24670</f>
        <v>24670.0</v>
      </c>
      <c r="R285" s="34" t="s">
        <v>51</v>
      </c>
      <c r="S285" s="35" t="n">
        <f>25171.5</f>
        <v>25171.5</v>
      </c>
      <c r="T285" s="32" t="n">
        <f>2375</f>
        <v>2375.0</v>
      </c>
      <c r="U285" s="32" t="str">
        <f>"－"</f>
        <v>－</v>
      </c>
      <c r="V285" s="32" t="n">
        <f>60655615</f>
        <v>6.0655615E7</v>
      </c>
      <c r="W285" s="32" t="str">
        <f>"－"</f>
        <v>－</v>
      </c>
      <c r="X285" s="36" t="n">
        <f>10</f>
        <v>10.0</v>
      </c>
    </row>
    <row r="286">
      <c r="A286" s="27" t="s">
        <v>42</v>
      </c>
      <c r="B286" s="27" t="s">
        <v>899</v>
      </c>
      <c r="C286" s="27" t="s">
        <v>900</v>
      </c>
      <c r="D286" s="27" t="s">
        <v>901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10.0</v>
      </c>
      <c r="K286" s="33" t="n">
        <f>1037.5</f>
        <v>1037.5</v>
      </c>
      <c r="L286" s="34" t="s">
        <v>62</v>
      </c>
      <c r="M286" s="33" t="n">
        <f>1055</f>
        <v>1055.0</v>
      </c>
      <c r="N286" s="34" t="s">
        <v>72</v>
      </c>
      <c r="O286" s="33" t="n">
        <f>1005.5</f>
        <v>1005.5</v>
      </c>
      <c r="P286" s="34" t="s">
        <v>50</v>
      </c>
      <c r="Q286" s="33" t="n">
        <f>1033.5</f>
        <v>1033.5</v>
      </c>
      <c r="R286" s="34" t="s">
        <v>51</v>
      </c>
      <c r="S286" s="35" t="n">
        <f>1031.38</f>
        <v>1031.38</v>
      </c>
      <c r="T286" s="32" t="n">
        <f>143770</f>
        <v>143770.0</v>
      </c>
      <c r="U286" s="32" t="n">
        <f>135440</f>
        <v>135440.0</v>
      </c>
      <c r="V286" s="32" t="n">
        <f>149745305</f>
        <v>1.49745305E8</v>
      </c>
      <c r="W286" s="32" t="n">
        <f>141228320</f>
        <v>1.4122832E8</v>
      </c>
      <c r="X286" s="36" t="n">
        <f>12</f>
        <v>12.0</v>
      </c>
    </row>
    <row r="287">
      <c r="A287" s="27" t="s">
        <v>42</v>
      </c>
      <c r="B287" s="27" t="s">
        <v>902</v>
      </c>
      <c r="C287" s="27" t="s">
        <v>903</v>
      </c>
      <c r="D287" s="27" t="s">
        <v>904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1039</f>
        <v>1039.0</v>
      </c>
      <c r="L287" s="34" t="s">
        <v>48</v>
      </c>
      <c r="M287" s="33" t="n">
        <f>1044</f>
        <v>1044.0</v>
      </c>
      <c r="N287" s="34" t="s">
        <v>48</v>
      </c>
      <c r="O287" s="33" t="n">
        <f>988</f>
        <v>988.0</v>
      </c>
      <c r="P287" s="34" t="s">
        <v>50</v>
      </c>
      <c r="Q287" s="33" t="n">
        <f>1001</f>
        <v>1001.0</v>
      </c>
      <c r="R287" s="34" t="s">
        <v>51</v>
      </c>
      <c r="S287" s="35" t="n">
        <f>1017</f>
        <v>1017.0</v>
      </c>
      <c r="T287" s="32" t="n">
        <f>738779</f>
        <v>738779.0</v>
      </c>
      <c r="U287" s="32" t="n">
        <f>601501</f>
        <v>601501.0</v>
      </c>
      <c r="V287" s="32" t="n">
        <f>734688334</f>
        <v>7.34688334E8</v>
      </c>
      <c r="W287" s="32" t="n">
        <f>595505673</f>
        <v>5.95505673E8</v>
      </c>
      <c r="X287" s="36" t="n">
        <f>20</f>
        <v>20.0</v>
      </c>
    </row>
    <row r="288">
      <c r="A288" s="27" t="s">
        <v>42</v>
      </c>
      <c r="B288" s="27" t="s">
        <v>905</v>
      </c>
      <c r="C288" s="27" t="s">
        <v>906</v>
      </c>
      <c r="D288" s="27" t="s">
        <v>907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1648</f>
        <v>1648.0</v>
      </c>
      <c r="L288" s="34" t="s">
        <v>48</v>
      </c>
      <c r="M288" s="33" t="n">
        <f>1710</f>
        <v>1710.0</v>
      </c>
      <c r="N288" s="34" t="s">
        <v>51</v>
      </c>
      <c r="O288" s="33" t="n">
        <f>1620</f>
        <v>1620.0</v>
      </c>
      <c r="P288" s="34" t="s">
        <v>50</v>
      </c>
      <c r="Q288" s="33" t="n">
        <f>1643</f>
        <v>1643.0</v>
      </c>
      <c r="R288" s="34" t="s">
        <v>51</v>
      </c>
      <c r="S288" s="35" t="n">
        <f>1666.45</f>
        <v>1666.45</v>
      </c>
      <c r="T288" s="32" t="n">
        <f>7227091</f>
        <v>7227091.0</v>
      </c>
      <c r="U288" s="32" t="n">
        <f>7070427</f>
        <v>7070427.0</v>
      </c>
      <c r="V288" s="32" t="n">
        <f>12197268639</f>
        <v>1.2197268639E10</v>
      </c>
      <c r="W288" s="32" t="n">
        <f>11935555397</f>
        <v>1.1935555397E10</v>
      </c>
      <c r="X288" s="36" t="n">
        <f>20</f>
        <v>20.0</v>
      </c>
    </row>
    <row r="289">
      <c r="A289" s="27" t="s">
        <v>42</v>
      </c>
      <c r="B289" s="27" t="s">
        <v>908</v>
      </c>
      <c r="C289" s="27" t="s">
        <v>909</v>
      </c>
      <c r="D289" s="27" t="s">
        <v>910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14300</f>
        <v>14300.0</v>
      </c>
      <c r="L289" s="34" t="s">
        <v>48</v>
      </c>
      <c r="M289" s="33" t="n">
        <f>14670</f>
        <v>14670.0</v>
      </c>
      <c r="N289" s="34" t="s">
        <v>253</v>
      </c>
      <c r="O289" s="33" t="n">
        <f>13680</f>
        <v>13680.0</v>
      </c>
      <c r="P289" s="34" t="s">
        <v>50</v>
      </c>
      <c r="Q289" s="33" t="n">
        <f>13930</f>
        <v>13930.0</v>
      </c>
      <c r="R289" s="34" t="s">
        <v>51</v>
      </c>
      <c r="S289" s="35" t="n">
        <f>14199.75</f>
        <v>14199.75</v>
      </c>
      <c r="T289" s="32" t="n">
        <f>7134</f>
        <v>7134.0</v>
      </c>
      <c r="U289" s="32" t="str">
        <f>"－"</f>
        <v>－</v>
      </c>
      <c r="V289" s="32" t="n">
        <f>100667295</f>
        <v>1.00667295E8</v>
      </c>
      <c r="W289" s="32" t="str">
        <f>"－"</f>
        <v>－</v>
      </c>
      <c r="X289" s="36" t="n">
        <f>20</f>
        <v>20.0</v>
      </c>
    </row>
    <row r="290">
      <c r="A290" s="27" t="s">
        <v>42</v>
      </c>
      <c r="B290" s="27" t="s">
        <v>911</v>
      </c>
      <c r="C290" s="27" t="s">
        <v>912</v>
      </c>
      <c r="D290" s="27" t="s">
        <v>913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1817</f>
        <v>1817.0</v>
      </c>
      <c r="L290" s="34" t="s">
        <v>48</v>
      </c>
      <c r="M290" s="33" t="n">
        <f>1879</f>
        <v>1879.0</v>
      </c>
      <c r="N290" s="34" t="s">
        <v>85</v>
      </c>
      <c r="O290" s="33" t="n">
        <f>1772</f>
        <v>1772.0</v>
      </c>
      <c r="P290" s="34" t="s">
        <v>50</v>
      </c>
      <c r="Q290" s="33" t="n">
        <f>1830</f>
        <v>1830.0</v>
      </c>
      <c r="R290" s="34" t="s">
        <v>51</v>
      </c>
      <c r="S290" s="35" t="n">
        <f>1823.2</f>
        <v>1823.2</v>
      </c>
      <c r="T290" s="32" t="n">
        <f>1153270</f>
        <v>1153270.0</v>
      </c>
      <c r="U290" s="32" t="n">
        <f>596760</f>
        <v>596760.0</v>
      </c>
      <c r="V290" s="32" t="n">
        <f>2088639507</f>
        <v>2.088639507E9</v>
      </c>
      <c r="W290" s="32" t="n">
        <f>1062186144</f>
        <v>1.062186144E9</v>
      </c>
      <c r="X290" s="36" t="n">
        <f>20</f>
        <v>20.0</v>
      </c>
    </row>
    <row r="291">
      <c r="A291" s="27" t="s">
        <v>42</v>
      </c>
      <c r="B291" s="27" t="s">
        <v>914</v>
      </c>
      <c r="C291" s="27" t="s">
        <v>915</v>
      </c>
      <c r="D291" s="27" t="s">
        <v>916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1697.5</f>
        <v>1697.5</v>
      </c>
      <c r="L291" s="34" t="s">
        <v>48</v>
      </c>
      <c r="M291" s="33" t="n">
        <f>1742</f>
        <v>1742.0</v>
      </c>
      <c r="N291" s="34" t="s">
        <v>61</v>
      </c>
      <c r="O291" s="33" t="n">
        <f>1631</f>
        <v>1631.0</v>
      </c>
      <c r="P291" s="34" t="s">
        <v>62</v>
      </c>
      <c r="Q291" s="33" t="n">
        <f>1650</f>
        <v>1650.0</v>
      </c>
      <c r="R291" s="34" t="s">
        <v>51</v>
      </c>
      <c r="S291" s="35" t="n">
        <f>1688.23</f>
        <v>1688.23</v>
      </c>
      <c r="T291" s="32" t="n">
        <f>434070</f>
        <v>434070.0</v>
      </c>
      <c r="U291" s="32" t="n">
        <f>1000</f>
        <v>1000.0</v>
      </c>
      <c r="V291" s="32" t="n">
        <f>731751450</f>
        <v>7.3175145E8</v>
      </c>
      <c r="W291" s="32" t="n">
        <f>1675000</f>
        <v>1675000.0</v>
      </c>
      <c r="X291" s="36" t="n">
        <f>20</f>
        <v>20.0</v>
      </c>
    </row>
    <row r="292">
      <c r="A292" s="27" t="s">
        <v>42</v>
      </c>
      <c r="B292" s="27" t="s">
        <v>917</v>
      </c>
      <c r="C292" s="27" t="s">
        <v>918</v>
      </c>
      <c r="D292" s="27" t="s">
        <v>919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790.1</f>
        <v>790.1</v>
      </c>
      <c r="L292" s="34" t="s">
        <v>48</v>
      </c>
      <c r="M292" s="33" t="n">
        <f>793.4</f>
        <v>793.4</v>
      </c>
      <c r="N292" s="34" t="s">
        <v>62</v>
      </c>
      <c r="O292" s="33" t="n">
        <f>779.6</f>
        <v>779.6</v>
      </c>
      <c r="P292" s="34" t="s">
        <v>61</v>
      </c>
      <c r="Q292" s="33" t="n">
        <f>784</f>
        <v>784.0</v>
      </c>
      <c r="R292" s="34" t="s">
        <v>51</v>
      </c>
      <c r="S292" s="35" t="n">
        <f>783.49</f>
        <v>783.49</v>
      </c>
      <c r="T292" s="32" t="n">
        <f>27060</f>
        <v>27060.0</v>
      </c>
      <c r="U292" s="32" t="str">
        <f>"－"</f>
        <v>－</v>
      </c>
      <c r="V292" s="32" t="n">
        <f>21245407</f>
        <v>2.1245407E7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920</v>
      </c>
      <c r="C293" s="27" t="s">
        <v>921</v>
      </c>
      <c r="D293" s="27" t="s">
        <v>922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1753.5</f>
        <v>1753.5</v>
      </c>
      <c r="L293" s="34" t="s">
        <v>48</v>
      </c>
      <c r="M293" s="33" t="n">
        <f>1796.5</f>
        <v>1796.5</v>
      </c>
      <c r="N293" s="34" t="s">
        <v>51</v>
      </c>
      <c r="O293" s="33" t="n">
        <f>1699.5</f>
        <v>1699.5</v>
      </c>
      <c r="P293" s="34" t="s">
        <v>50</v>
      </c>
      <c r="Q293" s="33" t="n">
        <f>1754</f>
        <v>1754.0</v>
      </c>
      <c r="R293" s="34" t="s">
        <v>51</v>
      </c>
      <c r="S293" s="35" t="n">
        <f>1743.68</f>
        <v>1743.68</v>
      </c>
      <c r="T293" s="32" t="n">
        <f>293630</f>
        <v>293630.0</v>
      </c>
      <c r="U293" s="32" t="n">
        <f>103970</f>
        <v>103970.0</v>
      </c>
      <c r="V293" s="32" t="n">
        <f>511460685</f>
        <v>5.11460685E8</v>
      </c>
      <c r="W293" s="32" t="n">
        <f>180100690</f>
        <v>1.8010069E8</v>
      </c>
      <c r="X293" s="36" t="n">
        <f>20</f>
        <v>20.0</v>
      </c>
    </row>
    <row r="294">
      <c r="A294" s="27" t="s">
        <v>42</v>
      </c>
      <c r="B294" s="27" t="s">
        <v>923</v>
      </c>
      <c r="C294" s="27" t="s">
        <v>924</v>
      </c>
      <c r="D294" s="27" t="s">
        <v>925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1752.5</f>
        <v>1752.5</v>
      </c>
      <c r="L294" s="34" t="s">
        <v>48</v>
      </c>
      <c r="M294" s="33" t="n">
        <f>1790.5</f>
        <v>1790.5</v>
      </c>
      <c r="N294" s="34" t="s">
        <v>72</v>
      </c>
      <c r="O294" s="33" t="n">
        <f>1694.5</f>
        <v>1694.5</v>
      </c>
      <c r="P294" s="34" t="s">
        <v>50</v>
      </c>
      <c r="Q294" s="33" t="n">
        <f>1750</f>
        <v>1750.0</v>
      </c>
      <c r="R294" s="34" t="s">
        <v>51</v>
      </c>
      <c r="S294" s="35" t="n">
        <f>1748.23</f>
        <v>1748.23</v>
      </c>
      <c r="T294" s="32" t="n">
        <f>1711500</f>
        <v>1711500.0</v>
      </c>
      <c r="U294" s="32" t="n">
        <f>1304720</f>
        <v>1304720.0</v>
      </c>
      <c r="V294" s="32" t="n">
        <f>2960175228</f>
        <v>2.960175228E9</v>
      </c>
      <c r="W294" s="32" t="n">
        <f>2249989668</f>
        <v>2.249989668E9</v>
      </c>
      <c r="X294" s="36" t="n">
        <f>20</f>
        <v>20.0</v>
      </c>
    </row>
    <row r="295">
      <c r="A295" s="27" t="s">
        <v>42</v>
      </c>
      <c r="B295" s="27" t="s">
        <v>926</v>
      </c>
      <c r="C295" s="27" t="s">
        <v>927</v>
      </c>
      <c r="D295" s="27" t="s">
        <v>928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2750</f>
        <v>2750.0</v>
      </c>
      <c r="L295" s="34" t="s">
        <v>48</v>
      </c>
      <c r="M295" s="33" t="n">
        <f>2856.5</f>
        <v>2856.5</v>
      </c>
      <c r="N295" s="34" t="s">
        <v>49</v>
      </c>
      <c r="O295" s="33" t="n">
        <f>2654</f>
        <v>2654.0</v>
      </c>
      <c r="P295" s="34" t="s">
        <v>50</v>
      </c>
      <c r="Q295" s="33" t="n">
        <f>2728.5</f>
        <v>2728.5</v>
      </c>
      <c r="R295" s="34" t="s">
        <v>51</v>
      </c>
      <c r="S295" s="35" t="n">
        <f>2778.85</f>
        <v>2778.85</v>
      </c>
      <c r="T295" s="32" t="n">
        <f>377190</f>
        <v>377190.0</v>
      </c>
      <c r="U295" s="32" t="n">
        <f>335000</f>
        <v>335000.0</v>
      </c>
      <c r="V295" s="32" t="n">
        <f>1036114442</f>
        <v>1.036114442E9</v>
      </c>
      <c r="W295" s="32" t="n">
        <f>918791132</f>
        <v>9.18791132E8</v>
      </c>
      <c r="X295" s="36" t="n">
        <f>20</f>
        <v>20.0</v>
      </c>
    </row>
    <row r="296">
      <c r="A296" s="27" t="s">
        <v>42</v>
      </c>
      <c r="B296" s="27" t="s">
        <v>929</v>
      </c>
      <c r="C296" s="27" t="s">
        <v>930</v>
      </c>
      <c r="D296" s="27" t="s">
        <v>931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25840</f>
        <v>25840.0</v>
      </c>
      <c r="L296" s="34" t="s">
        <v>48</v>
      </c>
      <c r="M296" s="33" t="n">
        <f>25845</f>
        <v>25845.0</v>
      </c>
      <c r="N296" s="34" t="s">
        <v>48</v>
      </c>
      <c r="O296" s="33" t="n">
        <f>23410</f>
        <v>23410.0</v>
      </c>
      <c r="P296" s="34" t="s">
        <v>50</v>
      </c>
      <c r="Q296" s="33" t="n">
        <f>23750</f>
        <v>23750.0</v>
      </c>
      <c r="R296" s="34" t="s">
        <v>51</v>
      </c>
      <c r="S296" s="35" t="n">
        <f>24484.5</f>
        <v>24484.5</v>
      </c>
      <c r="T296" s="32" t="n">
        <f>903094</f>
        <v>903094.0</v>
      </c>
      <c r="U296" s="32" t="n">
        <f>97988</f>
        <v>97988.0</v>
      </c>
      <c r="V296" s="32" t="n">
        <f>22130860511</f>
        <v>2.2130860511E10</v>
      </c>
      <c r="W296" s="32" t="n">
        <f>2393774856</f>
        <v>2.393774856E9</v>
      </c>
      <c r="X296" s="36" t="n">
        <f>20</f>
        <v>20.0</v>
      </c>
    </row>
    <row r="297">
      <c r="A297" s="27" t="s">
        <v>42</v>
      </c>
      <c r="B297" s="27" t="s">
        <v>932</v>
      </c>
      <c r="C297" s="27" t="s">
        <v>933</v>
      </c>
      <c r="D297" s="27" t="s">
        <v>934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21425</f>
        <v>21425.0</v>
      </c>
      <c r="L297" s="34" t="s">
        <v>48</v>
      </c>
      <c r="M297" s="33" t="n">
        <f>21455</f>
        <v>21455.0</v>
      </c>
      <c r="N297" s="34" t="s">
        <v>48</v>
      </c>
      <c r="O297" s="33" t="n">
        <f>19820</f>
        <v>19820.0</v>
      </c>
      <c r="P297" s="34" t="s">
        <v>50</v>
      </c>
      <c r="Q297" s="33" t="n">
        <f>20145</f>
        <v>20145.0</v>
      </c>
      <c r="R297" s="34" t="s">
        <v>51</v>
      </c>
      <c r="S297" s="35" t="n">
        <f>20713</f>
        <v>20713.0</v>
      </c>
      <c r="T297" s="32" t="n">
        <f>312115</f>
        <v>312115.0</v>
      </c>
      <c r="U297" s="32" t="n">
        <f>1545</f>
        <v>1545.0</v>
      </c>
      <c r="V297" s="32" t="n">
        <f>6442135361</f>
        <v>6.442135361E9</v>
      </c>
      <c r="W297" s="32" t="n">
        <f>31458336</f>
        <v>3.1458336E7</v>
      </c>
      <c r="X297" s="36" t="n">
        <f>20</f>
        <v>20.0</v>
      </c>
    </row>
    <row r="298">
      <c r="A298" s="27" t="s">
        <v>42</v>
      </c>
      <c r="B298" s="27" t="s">
        <v>935</v>
      </c>
      <c r="C298" s="27" t="s">
        <v>936</v>
      </c>
      <c r="D298" s="27" t="s">
        <v>937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36880</f>
        <v>36880.0</v>
      </c>
      <c r="L298" s="34" t="s">
        <v>48</v>
      </c>
      <c r="M298" s="33" t="n">
        <f>37290</f>
        <v>37290.0</v>
      </c>
      <c r="N298" s="34" t="s">
        <v>70</v>
      </c>
      <c r="O298" s="33" t="n">
        <f>36050</f>
        <v>36050.0</v>
      </c>
      <c r="P298" s="34" t="s">
        <v>48</v>
      </c>
      <c r="Q298" s="33" t="n">
        <f>37290</f>
        <v>37290.0</v>
      </c>
      <c r="R298" s="34" t="s">
        <v>70</v>
      </c>
      <c r="S298" s="35" t="n">
        <f>36486.67</f>
        <v>36486.67</v>
      </c>
      <c r="T298" s="32" t="n">
        <f>28</f>
        <v>28.0</v>
      </c>
      <c r="U298" s="32" t="str">
        <f>"－"</f>
        <v>－</v>
      </c>
      <c r="V298" s="32" t="n">
        <f>1016320</f>
        <v>1016320.0</v>
      </c>
      <c r="W298" s="32" t="str">
        <f>"－"</f>
        <v>－</v>
      </c>
      <c r="X298" s="36" t="n">
        <f>3</f>
        <v>3.0</v>
      </c>
    </row>
    <row r="299">
      <c r="A299" s="27" t="s">
        <v>42</v>
      </c>
      <c r="B299" s="27" t="s">
        <v>938</v>
      </c>
      <c r="C299" s="27" t="s">
        <v>939</v>
      </c>
      <c r="D299" s="27" t="s">
        <v>940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2281</f>
        <v>2281.0</v>
      </c>
      <c r="L299" s="34" t="s">
        <v>48</v>
      </c>
      <c r="M299" s="33" t="n">
        <f>2288</f>
        <v>2288.0</v>
      </c>
      <c r="N299" s="34" t="s">
        <v>48</v>
      </c>
      <c r="O299" s="33" t="n">
        <f>2230</f>
        <v>2230.0</v>
      </c>
      <c r="P299" s="34" t="s">
        <v>304</v>
      </c>
      <c r="Q299" s="33" t="n">
        <f>2255</f>
        <v>2255.0</v>
      </c>
      <c r="R299" s="34" t="s">
        <v>51</v>
      </c>
      <c r="S299" s="35" t="n">
        <f>2248.95</f>
        <v>2248.95</v>
      </c>
      <c r="T299" s="32" t="n">
        <f>6088815</f>
        <v>6088815.0</v>
      </c>
      <c r="U299" s="32" t="n">
        <f>5796692</f>
        <v>5796692.0</v>
      </c>
      <c r="V299" s="32" t="n">
        <f>13684441264</f>
        <v>1.3684441264E10</v>
      </c>
      <c r="W299" s="32" t="n">
        <f>13027190740</f>
        <v>1.302719074E10</v>
      </c>
      <c r="X299" s="36" t="n">
        <f>20</f>
        <v>20.0</v>
      </c>
    </row>
    <row r="300">
      <c r="A300" s="27" t="s">
        <v>42</v>
      </c>
      <c r="B300" s="27" t="s">
        <v>941</v>
      </c>
      <c r="C300" s="27" t="s">
        <v>942</v>
      </c>
      <c r="D300" s="27" t="s">
        <v>943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3211</f>
        <v>3211.0</v>
      </c>
      <c r="L300" s="34" t="s">
        <v>48</v>
      </c>
      <c r="M300" s="33" t="n">
        <f>3218</f>
        <v>3218.0</v>
      </c>
      <c r="N300" s="34" t="s">
        <v>48</v>
      </c>
      <c r="O300" s="33" t="n">
        <f>3004</f>
        <v>3004.0</v>
      </c>
      <c r="P300" s="34" t="s">
        <v>71</v>
      </c>
      <c r="Q300" s="33" t="n">
        <f>3029</f>
        <v>3029.0</v>
      </c>
      <c r="R300" s="34" t="s">
        <v>51</v>
      </c>
      <c r="S300" s="35" t="n">
        <f>3093.8</f>
        <v>3093.8</v>
      </c>
      <c r="T300" s="32" t="n">
        <f>543390</f>
        <v>543390.0</v>
      </c>
      <c r="U300" s="32" t="n">
        <f>327230</f>
        <v>327230.0</v>
      </c>
      <c r="V300" s="32" t="n">
        <f>1669803032</f>
        <v>1.669803032E9</v>
      </c>
      <c r="W300" s="32" t="n">
        <f>998547422</f>
        <v>9.98547422E8</v>
      </c>
      <c r="X300" s="36" t="n">
        <f>20</f>
        <v>20.0</v>
      </c>
    </row>
    <row r="301">
      <c r="A301" s="27" t="s">
        <v>42</v>
      </c>
      <c r="B301" s="27" t="s">
        <v>944</v>
      </c>
      <c r="C301" s="27" t="s">
        <v>945</v>
      </c>
      <c r="D301" s="27" t="s">
        <v>946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331.2</f>
        <v>331.2</v>
      </c>
      <c r="L301" s="34" t="s">
        <v>48</v>
      </c>
      <c r="M301" s="33" t="n">
        <f>331.6</f>
        <v>331.6</v>
      </c>
      <c r="N301" s="34" t="s">
        <v>48</v>
      </c>
      <c r="O301" s="33" t="n">
        <f>306.8</f>
        <v>306.8</v>
      </c>
      <c r="P301" s="34" t="s">
        <v>51</v>
      </c>
      <c r="Q301" s="33" t="n">
        <f>307.2</f>
        <v>307.2</v>
      </c>
      <c r="R301" s="34" t="s">
        <v>51</v>
      </c>
      <c r="S301" s="35" t="n">
        <f>316.94</f>
        <v>316.94</v>
      </c>
      <c r="T301" s="32" t="n">
        <f>86095600</f>
        <v>8.60956E7</v>
      </c>
      <c r="U301" s="32" t="n">
        <f>59873330</f>
        <v>5.987333E7</v>
      </c>
      <c r="V301" s="32" t="n">
        <f>27108778082</f>
        <v>2.7108778082E10</v>
      </c>
      <c r="W301" s="32" t="n">
        <f>18765287618</f>
        <v>1.8765287618E10</v>
      </c>
      <c r="X301" s="36" t="n">
        <f>20</f>
        <v>20.0</v>
      </c>
    </row>
    <row r="302">
      <c r="A302" s="27" t="s">
        <v>42</v>
      </c>
      <c r="B302" s="27" t="s">
        <v>947</v>
      </c>
      <c r="C302" s="27" t="s">
        <v>948</v>
      </c>
      <c r="D302" s="27" t="s">
        <v>949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2780</f>
        <v>2780.0</v>
      </c>
      <c r="L302" s="34" t="s">
        <v>48</v>
      </c>
      <c r="M302" s="33" t="n">
        <f>2870</f>
        <v>2870.0</v>
      </c>
      <c r="N302" s="34" t="s">
        <v>155</v>
      </c>
      <c r="O302" s="33" t="n">
        <f>2735</f>
        <v>2735.0</v>
      </c>
      <c r="P302" s="34" t="s">
        <v>50</v>
      </c>
      <c r="Q302" s="33" t="n">
        <f>2806</f>
        <v>2806.0</v>
      </c>
      <c r="R302" s="34" t="s">
        <v>51</v>
      </c>
      <c r="S302" s="35" t="n">
        <f>2813.15</f>
        <v>2813.15</v>
      </c>
      <c r="T302" s="32" t="n">
        <f>594460</f>
        <v>594460.0</v>
      </c>
      <c r="U302" s="32" t="n">
        <f>348338</f>
        <v>348338.0</v>
      </c>
      <c r="V302" s="32" t="n">
        <f>1670704659</f>
        <v>1.670704659E9</v>
      </c>
      <c r="W302" s="32" t="n">
        <f>976451664</f>
        <v>9.76451664E8</v>
      </c>
      <c r="X302" s="36" t="n">
        <f>20</f>
        <v>20.0</v>
      </c>
    </row>
    <row r="303">
      <c r="A303" s="27" t="s">
        <v>42</v>
      </c>
      <c r="B303" s="27" t="s">
        <v>950</v>
      </c>
      <c r="C303" s="27" t="s">
        <v>951</v>
      </c>
      <c r="D303" s="27" t="s">
        <v>952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873</f>
        <v>873.0</v>
      </c>
      <c r="L303" s="34" t="s">
        <v>48</v>
      </c>
      <c r="M303" s="33" t="n">
        <f>873</f>
        <v>873.0</v>
      </c>
      <c r="N303" s="34" t="s">
        <v>48</v>
      </c>
      <c r="O303" s="33" t="n">
        <f>813</f>
        <v>813.0</v>
      </c>
      <c r="P303" s="34" t="s">
        <v>50</v>
      </c>
      <c r="Q303" s="33" t="n">
        <f>840</f>
        <v>840.0</v>
      </c>
      <c r="R303" s="34" t="s">
        <v>51</v>
      </c>
      <c r="S303" s="35" t="n">
        <f>837.95</f>
        <v>837.95</v>
      </c>
      <c r="T303" s="32" t="n">
        <f>134778</f>
        <v>134778.0</v>
      </c>
      <c r="U303" s="32" t="n">
        <f>91</f>
        <v>91.0</v>
      </c>
      <c r="V303" s="32" t="n">
        <f>113464580</f>
        <v>1.1346458E8</v>
      </c>
      <c r="W303" s="32" t="n">
        <f>75408</f>
        <v>75408.0</v>
      </c>
      <c r="X303" s="36" t="n">
        <f>20</f>
        <v>20.0</v>
      </c>
    </row>
    <row r="304">
      <c r="A304" s="27" t="s">
        <v>42</v>
      </c>
      <c r="B304" s="27" t="s">
        <v>953</v>
      </c>
      <c r="C304" s="27" t="s">
        <v>954</v>
      </c>
      <c r="D304" s="27" t="s">
        <v>955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962</f>
        <v>962.0</v>
      </c>
      <c r="L304" s="34" t="s">
        <v>48</v>
      </c>
      <c r="M304" s="33" t="n">
        <f>982</f>
        <v>982.0</v>
      </c>
      <c r="N304" s="34" t="s">
        <v>72</v>
      </c>
      <c r="O304" s="33" t="n">
        <f>925.4</f>
        <v>925.4</v>
      </c>
      <c r="P304" s="34" t="s">
        <v>50</v>
      </c>
      <c r="Q304" s="33" t="n">
        <f>935.5</f>
        <v>935.5</v>
      </c>
      <c r="R304" s="34" t="s">
        <v>51</v>
      </c>
      <c r="S304" s="35" t="n">
        <f>956.48</f>
        <v>956.48</v>
      </c>
      <c r="T304" s="32" t="n">
        <f>28620</f>
        <v>28620.0</v>
      </c>
      <c r="U304" s="32" t="n">
        <f>130</f>
        <v>130.0</v>
      </c>
      <c r="V304" s="32" t="n">
        <f>27182251</f>
        <v>2.7182251E7</v>
      </c>
      <c r="W304" s="32" t="n">
        <f>124508</f>
        <v>124508.0</v>
      </c>
      <c r="X304" s="36" t="n">
        <f>20</f>
        <v>20.0</v>
      </c>
    </row>
    <row r="305">
      <c r="A305" s="27" t="s">
        <v>42</v>
      </c>
      <c r="B305" s="27" t="s">
        <v>956</v>
      </c>
      <c r="C305" s="27" t="s">
        <v>957</v>
      </c>
      <c r="D305" s="27" t="s">
        <v>958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360.5</f>
        <v>360.5</v>
      </c>
      <c r="L305" s="34" t="s">
        <v>48</v>
      </c>
      <c r="M305" s="33" t="n">
        <f>379</f>
        <v>379.0</v>
      </c>
      <c r="N305" s="34" t="s">
        <v>51</v>
      </c>
      <c r="O305" s="33" t="n">
        <f>333.1</f>
        <v>333.1</v>
      </c>
      <c r="P305" s="34" t="s">
        <v>51</v>
      </c>
      <c r="Q305" s="33" t="n">
        <f>353</f>
        <v>353.0</v>
      </c>
      <c r="R305" s="34" t="s">
        <v>51</v>
      </c>
      <c r="S305" s="35" t="n">
        <f>360.35</f>
        <v>360.35</v>
      </c>
      <c r="T305" s="32" t="n">
        <f>5340</f>
        <v>5340.0</v>
      </c>
      <c r="U305" s="32" t="str">
        <f>"－"</f>
        <v>－</v>
      </c>
      <c r="V305" s="32" t="n">
        <f>1912942</f>
        <v>1912942.0</v>
      </c>
      <c r="W305" s="32" t="str">
        <f>"－"</f>
        <v>－</v>
      </c>
      <c r="X305" s="36" t="n">
        <f>17</f>
        <v>17.0</v>
      </c>
    </row>
    <row r="306">
      <c r="A306" s="27" t="s">
        <v>42</v>
      </c>
      <c r="B306" s="27" t="s">
        <v>959</v>
      </c>
      <c r="C306" s="27" t="s">
        <v>960</v>
      </c>
      <c r="D306" s="27" t="s">
        <v>961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5404</f>
        <v>5404.0</v>
      </c>
      <c r="L306" s="34" t="s">
        <v>48</v>
      </c>
      <c r="M306" s="33" t="n">
        <f>5412</f>
        <v>5412.0</v>
      </c>
      <c r="N306" s="34" t="s">
        <v>48</v>
      </c>
      <c r="O306" s="33" t="n">
        <f>4812</f>
        <v>4812.0</v>
      </c>
      <c r="P306" s="34" t="s">
        <v>50</v>
      </c>
      <c r="Q306" s="33" t="n">
        <f>4871</f>
        <v>4871.0</v>
      </c>
      <c r="R306" s="34" t="s">
        <v>51</v>
      </c>
      <c r="S306" s="35" t="n">
        <f>5102.75</f>
        <v>5102.75</v>
      </c>
      <c r="T306" s="32" t="n">
        <f>715030</f>
        <v>715030.0</v>
      </c>
      <c r="U306" s="32" t="str">
        <f>"－"</f>
        <v>－</v>
      </c>
      <c r="V306" s="32" t="n">
        <f>3631841070</f>
        <v>3.63184107E9</v>
      </c>
      <c r="W306" s="32" t="str">
        <f>"－"</f>
        <v>－</v>
      </c>
      <c r="X306" s="36" t="n">
        <f>20</f>
        <v>20.0</v>
      </c>
    </row>
    <row r="307">
      <c r="A307" s="27" t="s">
        <v>42</v>
      </c>
      <c r="B307" s="27" t="s">
        <v>962</v>
      </c>
      <c r="C307" s="27" t="s">
        <v>963</v>
      </c>
      <c r="D307" s="27" t="s">
        <v>964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3216</f>
        <v>3216.0</v>
      </c>
      <c r="L307" s="34" t="s">
        <v>48</v>
      </c>
      <c r="M307" s="33" t="n">
        <f>3220</f>
        <v>3220.0</v>
      </c>
      <c r="N307" s="34" t="s">
        <v>48</v>
      </c>
      <c r="O307" s="33" t="n">
        <f>2915</f>
        <v>2915.0</v>
      </c>
      <c r="P307" s="34" t="s">
        <v>51</v>
      </c>
      <c r="Q307" s="33" t="n">
        <f>2928</f>
        <v>2928.0</v>
      </c>
      <c r="R307" s="34" t="s">
        <v>51</v>
      </c>
      <c r="S307" s="35" t="n">
        <f>3059.23</f>
        <v>3059.23</v>
      </c>
      <c r="T307" s="32" t="n">
        <f>1548340</f>
        <v>1548340.0</v>
      </c>
      <c r="U307" s="32" t="n">
        <f>67430</f>
        <v>67430.0</v>
      </c>
      <c r="V307" s="32" t="n">
        <f>4768221563</f>
        <v>4.768221563E9</v>
      </c>
      <c r="W307" s="32" t="n">
        <f>211583503</f>
        <v>2.11583503E8</v>
      </c>
      <c r="X307" s="36" t="n">
        <f>20</f>
        <v>20.0</v>
      </c>
    </row>
    <row r="308">
      <c r="A308" s="27" t="s">
        <v>42</v>
      </c>
      <c r="B308" s="27" t="s">
        <v>965</v>
      </c>
      <c r="C308" s="27" t="s">
        <v>966</v>
      </c>
      <c r="D308" s="27" t="s">
        <v>967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2060</f>
        <v>2060.0</v>
      </c>
      <c r="L308" s="34" t="s">
        <v>48</v>
      </c>
      <c r="M308" s="33" t="n">
        <f>2127</f>
        <v>2127.0</v>
      </c>
      <c r="N308" s="34" t="s">
        <v>66</v>
      </c>
      <c r="O308" s="33" t="n">
        <f>1951</f>
        <v>1951.0</v>
      </c>
      <c r="P308" s="34" t="s">
        <v>50</v>
      </c>
      <c r="Q308" s="33" t="n">
        <f>1998</f>
        <v>1998.0</v>
      </c>
      <c r="R308" s="34" t="s">
        <v>51</v>
      </c>
      <c r="S308" s="35" t="n">
        <f>2062.8</f>
        <v>2062.8</v>
      </c>
      <c r="T308" s="32" t="n">
        <f>17719</f>
        <v>17719.0</v>
      </c>
      <c r="U308" s="32" t="str">
        <f>"－"</f>
        <v>－</v>
      </c>
      <c r="V308" s="32" t="n">
        <f>36388499</f>
        <v>3.6388499E7</v>
      </c>
      <c r="W308" s="32" t="str">
        <f>"－"</f>
        <v>－</v>
      </c>
      <c r="X308" s="36" t="n">
        <f>20</f>
        <v>20.0</v>
      </c>
    </row>
    <row r="309">
      <c r="A309" s="27" t="s">
        <v>42</v>
      </c>
      <c r="B309" s="27" t="s">
        <v>968</v>
      </c>
      <c r="C309" s="27" t="s">
        <v>969</v>
      </c>
      <c r="D309" s="27" t="s">
        <v>970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1900</f>
        <v>1900.0</v>
      </c>
      <c r="L309" s="34" t="s">
        <v>48</v>
      </c>
      <c r="M309" s="33" t="n">
        <f>1980</f>
        <v>1980.0</v>
      </c>
      <c r="N309" s="34" t="s">
        <v>66</v>
      </c>
      <c r="O309" s="33" t="n">
        <f>1871</f>
        <v>1871.0</v>
      </c>
      <c r="P309" s="34" t="s">
        <v>50</v>
      </c>
      <c r="Q309" s="33" t="n">
        <f>1940</f>
        <v>1940.0</v>
      </c>
      <c r="R309" s="34" t="s">
        <v>51</v>
      </c>
      <c r="S309" s="35" t="n">
        <f>1927.3</f>
        <v>1927.3</v>
      </c>
      <c r="T309" s="32" t="n">
        <f>9241</f>
        <v>9241.0</v>
      </c>
      <c r="U309" s="32" t="str">
        <f>"－"</f>
        <v>－</v>
      </c>
      <c r="V309" s="32" t="n">
        <f>17878904</f>
        <v>1.7878904E7</v>
      </c>
      <c r="W309" s="32" t="str">
        <f>"－"</f>
        <v>－</v>
      </c>
      <c r="X309" s="36" t="n">
        <f>20</f>
        <v>20.0</v>
      </c>
    </row>
    <row r="310">
      <c r="A310" s="27" t="s">
        <v>42</v>
      </c>
      <c r="B310" s="27" t="s">
        <v>971</v>
      </c>
      <c r="C310" s="27" t="s">
        <v>972</v>
      </c>
      <c r="D310" s="27" t="s">
        <v>973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346.5</f>
        <v>346.5</v>
      </c>
      <c r="L310" s="34" t="s">
        <v>48</v>
      </c>
      <c r="M310" s="33" t="n">
        <f>349.7</f>
        <v>349.7</v>
      </c>
      <c r="N310" s="34" t="s">
        <v>85</v>
      </c>
      <c r="O310" s="33" t="n">
        <f>339.2</f>
        <v>339.2</v>
      </c>
      <c r="P310" s="34" t="s">
        <v>50</v>
      </c>
      <c r="Q310" s="33" t="n">
        <f>344.9</f>
        <v>344.9</v>
      </c>
      <c r="R310" s="34" t="s">
        <v>51</v>
      </c>
      <c r="S310" s="35" t="n">
        <f>344.66</f>
        <v>344.66</v>
      </c>
      <c r="T310" s="32" t="n">
        <f>11529830</f>
        <v>1.152983E7</v>
      </c>
      <c r="U310" s="32" t="n">
        <f>9259590</f>
        <v>9259590.0</v>
      </c>
      <c r="V310" s="32" t="n">
        <f>3934019434</f>
        <v>3.934019434E9</v>
      </c>
      <c r="W310" s="32" t="n">
        <f>3153003110</f>
        <v>3.15300311E9</v>
      </c>
      <c r="X310" s="36" t="n">
        <f>20</f>
        <v>20.0</v>
      </c>
    </row>
    <row r="311">
      <c r="A311" s="27" t="s">
        <v>42</v>
      </c>
      <c r="B311" s="27" t="s">
        <v>974</v>
      </c>
      <c r="C311" s="27" t="s">
        <v>975</v>
      </c>
      <c r="D311" s="27" t="s">
        <v>976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1172</f>
        <v>1172.0</v>
      </c>
      <c r="L311" s="34" t="s">
        <v>48</v>
      </c>
      <c r="M311" s="33" t="n">
        <f>1189</f>
        <v>1189.0</v>
      </c>
      <c r="N311" s="34" t="s">
        <v>62</v>
      </c>
      <c r="O311" s="33" t="n">
        <f>1132</f>
        <v>1132.0</v>
      </c>
      <c r="P311" s="34" t="s">
        <v>85</v>
      </c>
      <c r="Q311" s="33" t="n">
        <f>1159</f>
        <v>1159.0</v>
      </c>
      <c r="R311" s="34" t="s">
        <v>51</v>
      </c>
      <c r="S311" s="35" t="n">
        <f>1155.35</f>
        <v>1155.35</v>
      </c>
      <c r="T311" s="32" t="n">
        <f>15215491</f>
        <v>1.5215491E7</v>
      </c>
      <c r="U311" s="32" t="n">
        <f>112038</f>
        <v>112038.0</v>
      </c>
      <c r="V311" s="32" t="n">
        <f>17636645959</f>
        <v>1.7636645959E10</v>
      </c>
      <c r="W311" s="32" t="n">
        <f>129581301</f>
        <v>1.29581301E8</v>
      </c>
      <c r="X311" s="36" t="n">
        <f>20</f>
        <v>20.0</v>
      </c>
    </row>
    <row r="312">
      <c r="A312" s="27" t="s">
        <v>42</v>
      </c>
      <c r="B312" s="27" t="s">
        <v>977</v>
      </c>
      <c r="C312" s="27" t="s">
        <v>978</v>
      </c>
      <c r="D312" s="27" t="s">
        <v>979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1742</f>
        <v>1742.0</v>
      </c>
      <c r="L312" s="34" t="s">
        <v>48</v>
      </c>
      <c r="M312" s="33" t="n">
        <f>1749</f>
        <v>1749.0</v>
      </c>
      <c r="N312" s="34" t="s">
        <v>303</v>
      </c>
      <c r="O312" s="33" t="n">
        <f>1710</f>
        <v>1710.0</v>
      </c>
      <c r="P312" s="34" t="s">
        <v>71</v>
      </c>
      <c r="Q312" s="33" t="n">
        <f>1729</f>
        <v>1729.0</v>
      </c>
      <c r="R312" s="34" t="s">
        <v>51</v>
      </c>
      <c r="S312" s="35" t="n">
        <f>1731.9</f>
        <v>1731.9</v>
      </c>
      <c r="T312" s="32" t="n">
        <f>56489</f>
        <v>56489.0</v>
      </c>
      <c r="U312" s="32" t="str">
        <f>"－"</f>
        <v>－</v>
      </c>
      <c r="V312" s="32" t="n">
        <f>97583713</f>
        <v>9.7583713E7</v>
      </c>
      <c r="W312" s="32" t="str">
        <f>"－"</f>
        <v>－</v>
      </c>
      <c r="X312" s="36" t="n">
        <f>20</f>
        <v>20.0</v>
      </c>
    </row>
    <row r="313">
      <c r="A313" s="27" t="s">
        <v>42</v>
      </c>
      <c r="B313" s="27" t="s">
        <v>980</v>
      </c>
      <c r="C313" s="27" t="s">
        <v>981</v>
      </c>
      <c r="D313" s="27" t="s">
        <v>982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2100</f>
        <v>2100.0</v>
      </c>
      <c r="L313" s="34" t="s">
        <v>48</v>
      </c>
      <c r="M313" s="33" t="n">
        <f>2100</f>
        <v>2100.0</v>
      </c>
      <c r="N313" s="34" t="s">
        <v>48</v>
      </c>
      <c r="O313" s="33" t="n">
        <f>2050</f>
        <v>2050.0</v>
      </c>
      <c r="P313" s="34" t="s">
        <v>70</v>
      </c>
      <c r="Q313" s="33" t="n">
        <f>2065</f>
        <v>2065.0</v>
      </c>
      <c r="R313" s="34" t="s">
        <v>51</v>
      </c>
      <c r="S313" s="35" t="n">
        <f>2070.05</f>
        <v>2070.05</v>
      </c>
      <c r="T313" s="32" t="n">
        <f>1897409</f>
        <v>1897409.0</v>
      </c>
      <c r="U313" s="32" t="n">
        <f>1884000</f>
        <v>1884000.0</v>
      </c>
      <c r="V313" s="32" t="n">
        <f>3910005784</f>
        <v>3.910005784E9</v>
      </c>
      <c r="W313" s="32" t="n">
        <f>3882170400</f>
        <v>3.8821704E9</v>
      </c>
      <c r="X313" s="36" t="n">
        <f>20</f>
        <v>20.0</v>
      </c>
    </row>
    <row r="314">
      <c r="A314" s="27" t="s">
        <v>42</v>
      </c>
      <c r="B314" s="27" t="s">
        <v>983</v>
      </c>
      <c r="C314" s="27" t="s">
        <v>984</v>
      </c>
      <c r="D314" s="27" t="s">
        <v>985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3785</f>
        <v>3785.0</v>
      </c>
      <c r="L314" s="34" t="s">
        <v>48</v>
      </c>
      <c r="M314" s="33" t="n">
        <f>3835</f>
        <v>3835.0</v>
      </c>
      <c r="N314" s="34" t="s">
        <v>49</v>
      </c>
      <c r="O314" s="33" t="n">
        <f>3600</f>
        <v>3600.0</v>
      </c>
      <c r="P314" s="34" t="s">
        <v>51</v>
      </c>
      <c r="Q314" s="33" t="n">
        <f>3615</f>
        <v>3615.0</v>
      </c>
      <c r="R314" s="34" t="s">
        <v>51</v>
      </c>
      <c r="S314" s="35" t="n">
        <f>3751.5</f>
        <v>3751.5</v>
      </c>
      <c r="T314" s="32" t="n">
        <f>779177</f>
        <v>779177.0</v>
      </c>
      <c r="U314" s="32" t="n">
        <f>173555</f>
        <v>173555.0</v>
      </c>
      <c r="V314" s="32" t="n">
        <f>2919780993</f>
        <v>2.919780993E9</v>
      </c>
      <c r="W314" s="32" t="n">
        <f>655378468</f>
        <v>6.55378468E8</v>
      </c>
      <c r="X314" s="36" t="n">
        <f>20</f>
        <v>20.0</v>
      </c>
    </row>
    <row r="315">
      <c r="A315" s="27" t="s">
        <v>42</v>
      </c>
      <c r="B315" s="27" t="s">
        <v>986</v>
      </c>
      <c r="C315" s="27" t="s">
        <v>987</v>
      </c>
      <c r="D315" s="27" t="s">
        <v>988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2718</f>
        <v>2718.0</v>
      </c>
      <c r="L315" s="34" t="s">
        <v>48</v>
      </c>
      <c r="M315" s="33" t="n">
        <f>2828</f>
        <v>2828.0</v>
      </c>
      <c r="N315" s="34" t="s">
        <v>49</v>
      </c>
      <c r="O315" s="33" t="n">
        <f>2628</f>
        <v>2628.0</v>
      </c>
      <c r="P315" s="34" t="s">
        <v>50</v>
      </c>
      <c r="Q315" s="33" t="n">
        <f>2750</f>
        <v>2750.0</v>
      </c>
      <c r="R315" s="34" t="s">
        <v>51</v>
      </c>
      <c r="S315" s="35" t="n">
        <f>2758.2</f>
        <v>2758.2</v>
      </c>
      <c r="T315" s="32" t="n">
        <f>667799</f>
        <v>667799.0</v>
      </c>
      <c r="U315" s="32" t="n">
        <f>369251</f>
        <v>369251.0</v>
      </c>
      <c r="V315" s="32" t="n">
        <f>1813152867</f>
        <v>1.813152867E9</v>
      </c>
      <c r="W315" s="32" t="n">
        <f>997590346</f>
        <v>9.97590346E8</v>
      </c>
      <c r="X315" s="36" t="n">
        <f>20</f>
        <v>20.0</v>
      </c>
    </row>
    <row r="316">
      <c r="A316" s="27" t="s">
        <v>42</v>
      </c>
      <c r="B316" s="27" t="s">
        <v>989</v>
      </c>
      <c r="C316" s="27" t="s">
        <v>990</v>
      </c>
      <c r="D316" s="27" t="s">
        <v>991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2597</f>
        <v>2597.0</v>
      </c>
      <c r="L316" s="34" t="s">
        <v>48</v>
      </c>
      <c r="M316" s="33" t="n">
        <f>2620</f>
        <v>2620.0</v>
      </c>
      <c r="N316" s="34" t="s">
        <v>72</v>
      </c>
      <c r="O316" s="33" t="n">
        <f>2392</f>
        <v>2392.0</v>
      </c>
      <c r="P316" s="34" t="s">
        <v>50</v>
      </c>
      <c r="Q316" s="33" t="n">
        <f>2479</f>
        <v>2479.0</v>
      </c>
      <c r="R316" s="34" t="s">
        <v>51</v>
      </c>
      <c r="S316" s="35" t="n">
        <f>2515.35</f>
        <v>2515.35</v>
      </c>
      <c r="T316" s="32" t="n">
        <f>20319</f>
        <v>20319.0</v>
      </c>
      <c r="U316" s="32" t="str">
        <f>"－"</f>
        <v>－</v>
      </c>
      <c r="V316" s="32" t="n">
        <f>51009498</f>
        <v>5.1009498E7</v>
      </c>
      <c r="W316" s="32" t="str">
        <f>"－"</f>
        <v>－</v>
      </c>
      <c r="X316" s="36" t="n">
        <f>20</f>
        <v>20.0</v>
      </c>
    </row>
    <row r="317">
      <c r="A317" s="27" t="s">
        <v>42</v>
      </c>
      <c r="B317" s="27" t="s">
        <v>992</v>
      </c>
      <c r="C317" s="27" t="s">
        <v>993</v>
      </c>
      <c r="D317" s="27" t="s">
        <v>994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1443</f>
        <v>1443.0</v>
      </c>
      <c r="L317" s="34" t="s">
        <v>48</v>
      </c>
      <c r="M317" s="33" t="n">
        <f>1515</f>
        <v>1515.0</v>
      </c>
      <c r="N317" s="34" t="s">
        <v>72</v>
      </c>
      <c r="O317" s="33" t="n">
        <f>1384</f>
        <v>1384.0</v>
      </c>
      <c r="P317" s="34" t="s">
        <v>50</v>
      </c>
      <c r="Q317" s="33" t="n">
        <f>1424</f>
        <v>1424.0</v>
      </c>
      <c r="R317" s="34" t="s">
        <v>51</v>
      </c>
      <c r="S317" s="35" t="n">
        <f>1444.7</f>
        <v>1444.7</v>
      </c>
      <c r="T317" s="32" t="n">
        <f>19054</f>
        <v>19054.0</v>
      </c>
      <c r="U317" s="32" t="str">
        <f>"－"</f>
        <v>－</v>
      </c>
      <c r="V317" s="32" t="n">
        <f>27439047</f>
        <v>2.7439047E7</v>
      </c>
      <c r="W317" s="32" t="str">
        <f>"－"</f>
        <v>－</v>
      </c>
      <c r="X317" s="36" t="n">
        <f>20</f>
        <v>20.0</v>
      </c>
    </row>
    <row r="318">
      <c r="A318" s="27" t="s">
        <v>42</v>
      </c>
      <c r="B318" s="27" t="s">
        <v>995</v>
      </c>
      <c r="C318" s="27" t="s">
        <v>996</v>
      </c>
      <c r="D318" s="27" t="s">
        <v>997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2172</f>
        <v>2172.0</v>
      </c>
      <c r="L318" s="34" t="s">
        <v>48</v>
      </c>
      <c r="M318" s="33" t="n">
        <f>2239</f>
        <v>2239.0</v>
      </c>
      <c r="N318" s="34" t="s">
        <v>303</v>
      </c>
      <c r="O318" s="33" t="n">
        <f>2004</f>
        <v>2004.0</v>
      </c>
      <c r="P318" s="34" t="s">
        <v>51</v>
      </c>
      <c r="Q318" s="33" t="n">
        <f>2035</f>
        <v>2035.0</v>
      </c>
      <c r="R318" s="34" t="s">
        <v>51</v>
      </c>
      <c r="S318" s="35" t="n">
        <f>2128.1</f>
        <v>2128.1</v>
      </c>
      <c r="T318" s="32" t="n">
        <f>272815</f>
        <v>272815.0</v>
      </c>
      <c r="U318" s="32" t="str">
        <f>"－"</f>
        <v>－</v>
      </c>
      <c r="V318" s="32" t="n">
        <f>582884511</f>
        <v>5.82884511E8</v>
      </c>
      <c r="W318" s="32" t="str">
        <f>"－"</f>
        <v>－</v>
      </c>
      <c r="X318" s="36" t="n">
        <f>20</f>
        <v>20.0</v>
      </c>
    </row>
    <row r="319">
      <c r="A319" s="27" t="s">
        <v>42</v>
      </c>
      <c r="B319" s="27" t="s">
        <v>998</v>
      </c>
      <c r="C319" s="27" t="s">
        <v>999</v>
      </c>
      <c r="D319" s="27" t="s">
        <v>1000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2930</f>
        <v>2930.0</v>
      </c>
      <c r="L319" s="34" t="s">
        <v>48</v>
      </c>
      <c r="M319" s="33" t="n">
        <f>3135</f>
        <v>3135.0</v>
      </c>
      <c r="N319" s="34" t="s">
        <v>155</v>
      </c>
      <c r="O319" s="33" t="n">
        <f>2801</f>
        <v>2801.0</v>
      </c>
      <c r="P319" s="34" t="s">
        <v>62</v>
      </c>
      <c r="Q319" s="33" t="n">
        <f>2866</f>
        <v>2866.0</v>
      </c>
      <c r="R319" s="34" t="s">
        <v>51</v>
      </c>
      <c r="S319" s="35" t="n">
        <f>2939</f>
        <v>2939.0</v>
      </c>
      <c r="T319" s="32" t="n">
        <f>34178</f>
        <v>34178.0</v>
      </c>
      <c r="U319" s="32" t="str">
        <f>"－"</f>
        <v>－</v>
      </c>
      <c r="V319" s="32" t="n">
        <f>100069292</f>
        <v>1.00069292E8</v>
      </c>
      <c r="W319" s="32" t="str">
        <f>"－"</f>
        <v>－</v>
      </c>
      <c r="X319" s="36" t="n">
        <f>20</f>
        <v>20.0</v>
      </c>
    </row>
    <row r="320">
      <c r="A320" s="27" t="s">
        <v>42</v>
      </c>
      <c r="B320" s="27" t="s">
        <v>1001</v>
      </c>
      <c r="C320" s="27" t="s">
        <v>1002</v>
      </c>
      <c r="D320" s="27" t="s">
        <v>1003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13155</f>
        <v>13155.0</v>
      </c>
      <c r="L320" s="34" t="s">
        <v>48</v>
      </c>
      <c r="M320" s="33" t="n">
        <f>13175</f>
        <v>13175.0</v>
      </c>
      <c r="N320" s="34" t="s">
        <v>48</v>
      </c>
      <c r="O320" s="33" t="n">
        <f>12180</f>
        <v>12180.0</v>
      </c>
      <c r="P320" s="34" t="s">
        <v>51</v>
      </c>
      <c r="Q320" s="33" t="n">
        <f>12180</f>
        <v>12180.0</v>
      </c>
      <c r="R320" s="34" t="s">
        <v>51</v>
      </c>
      <c r="S320" s="35" t="n">
        <f>12595.25</f>
        <v>12595.25</v>
      </c>
      <c r="T320" s="32" t="n">
        <f>712152</f>
        <v>712152.0</v>
      </c>
      <c r="U320" s="32" t="n">
        <f>463415</f>
        <v>463415.0</v>
      </c>
      <c r="V320" s="32" t="n">
        <f>9072714491</f>
        <v>9.072714491E9</v>
      </c>
      <c r="W320" s="32" t="n">
        <f>5959958081</f>
        <v>5.959958081E9</v>
      </c>
      <c r="X320" s="36" t="n">
        <f>20</f>
        <v>20.0</v>
      </c>
    </row>
    <row r="321">
      <c r="A321" s="27" t="s">
        <v>42</v>
      </c>
      <c r="B321" s="27" t="s">
        <v>1004</v>
      </c>
      <c r="C321" s="27" t="s">
        <v>1005</v>
      </c>
      <c r="D321" s="27" t="s">
        <v>1006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22615</f>
        <v>22615.0</v>
      </c>
      <c r="L321" s="34" t="s">
        <v>48</v>
      </c>
      <c r="M321" s="33" t="n">
        <f>22645</f>
        <v>22645.0</v>
      </c>
      <c r="N321" s="34" t="s">
        <v>48</v>
      </c>
      <c r="O321" s="33" t="n">
        <f>20095</f>
        <v>20095.0</v>
      </c>
      <c r="P321" s="34" t="s">
        <v>50</v>
      </c>
      <c r="Q321" s="33" t="n">
        <f>20325</f>
        <v>20325.0</v>
      </c>
      <c r="R321" s="34" t="s">
        <v>51</v>
      </c>
      <c r="S321" s="35" t="n">
        <f>21301</f>
        <v>21301.0</v>
      </c>
      <c r="T321" s="32" t="n">
        <f>333677</f>
        <v>333677.0</v>
      </c>
      <c r="U321" s="32" t="n">
        <f>68</f>
        <v>68.0</v>
      </c>
      <c r="V321" s="32" t="n">
        <f>7065615045</f>
        <v>7.065615045E9</v>
      </c>
      <c r="W321" s="32" t="n">
        <f>1398170</f>
        <v>1398170.0</v>
      </c>
      <c r="X321" s="36" t="n">
        <f>20</f>
        <v>20.0</v>
      </c>
    </row>
    <row r="322">
      <c r="A322" s="27" t="s">
        <v>42</v>
      </c>
      <c r="B322" s="27" t="s">
        <v>1007</v>
      </c>
      <c r="C322" s="27" t="s">
        <v>1008</v>
      </c>
      <c r="D322" s="27" t="s">
        <v>1009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13420</f>
        <v>13420.0</v>
      </c>
      <c r="L322" s="34" t="s">
        <v>48</v>
      </c>
      <c r="M322" s="33" t="n">
        <f>13440</f>
        <v>13440.0</v>
      </c>
      <c r="N322" s="34" t="s">
        <v>48</v>
      </c>
      <c r="O322" s="33" t="n">
        <f>12165</f>
        <v>12165.0</v>
      </c>
      <c r="P322" s="34" t="s">
        <v>51</v>
      </c>
      <c r="Q322" s="33" t="n">
        <f>12185</f>
        <v>12185.0</v>
      </c>
      <c r="R322" s="34" t="s">
        <v>51</v>
      </c>
      <c r="S322" s="35" t="n">
        <f>12760.5</f>
        <v>12760.5</v>
      </c>
      <c r="T322" s="32" t="n">
        <f>392694</f>
        <v>392694.0</v>
      </c>
      <c r="U322" s="32" t="n">
        <f>200642</f>
        <v>200642.0</v>
      </c>
      <c r="V322" s="32" t="n">
        <f>5032918221</f>
        <v>5.032918221E9</v>
      </c>
      <c r="W322" s="32" t="n">
        <f>2584064391</f>
        <v>2.584064391E9</v>
      </c>
      <c r="X322" s="36" t="n">
        <f>20</f>
        <v>20.0</v>
      </c>
    </row>
    <row r="323">
      <c r="A323" s="27" t="s">
        <v>42</v>
      </c>
      <c r="B323" s="27" t="s">
        <v>1010</v>
      </c>
      <c r="C323" s="27" t="s">
        <v>1011</v>
      </c>
      <c r="D323" s="27" t="s">
        <v>1012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416.1</f>
        <v>416.1</v>
      </c>
      <c r="L323" s="34" t="s">
        <v>48</v>
      </c>
      <c r="M323" s="33" t="n">
        <f>416.1</f>
        <v>416.1</v>
      </c>
      <c r="N323" s="34" t="s">
        <v>48</v>
      </c>
      <c r="O323" s="33" t="n">
        <f>374.8</f>
        <v>374.8</v>
      </c>
      <c r="P323" s="34" t="s">
        <v>50</v>
      </c>
      <c r="Q323" s="33" t="n">
        <f>380</f>
        <v>380.0</v>
      </c>
      <c r="R323" s="34" t="s">
        <v>51</v>
      </c>
      <c r="S323" s="35" t="n">
        <f>392.64</f>
        <v>392.64</v>
      </c>
      <c r="T323" s="32" t="n">
        <f>6397830</f>
        <v>6397830.0</v>
      </c>
      <c r="U323" s="32" t="n">
        <f>580000</f>
        <v>580000.0</v>
      </c>
      <c r="V323" s="32" t="n">
        <f>2505227066</f>
        <v>2.505227066E9</v>
      </c>
      <c r="W323" s="32" t="n">
        <f>223878370</f>
        <v>2.2387837E8</v>
      </c>
      <c r="X323" s="36" t="n">
        <f>20</f>
        <v>20.0</v>
      </c>
    </row>
    <row r="324">
      <c r="A324" s="27" t="s">
        <v>42</v>
      </c>
      <c r="B324" s="27" t="s">
        <v>1013</v>
      </c>
      <c r="C324" s="27" t="s">
        <v>1014</v>
      </c>
      <c r="D324" s="27" t="s">
        <v>1015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10.0</v>
      </c>
      <c r="K324" s="33" t="n">
        <f>2601</f>
        <v>2601.0</v>
      </c>
      <c r="L324" s="34" t="s">
        <v>48</v>
      </c>
      <c r="M324" s="33" t="n">
        <f>2602</f>
        <v>2602.0</v>
      </c>
      <c r="N324" s="34" t="s">
        <v>48</v>
      </c>
      <c r="O324" s="33" t="n">
        <f>2394.5</f>
        <v>2394.5</v>
      </c>
      <c r="P324" s="34" t="s">
        <v>51</v>
      </c>
      <c r="Q324" s="33" t="n">
        <f>2399.5</f>
        <v>2399.5</v>
      </c>
      <c r="R324" s="34" t="s">
        <v>51</v>
      </c>
      <c r="S324" s="35" t="n">
        <f>2475.3</f>
        <v>2475.3</v>
      </c>
      <c r="T324" s="32" t="n">
        <f>3678230</f>
        <v>3678230.0</v>
      </c>
      <c r="U324" s="32" t="n">
        <f>2765400</f>
        <v>2765400.0</v>
      </c>
      <c r="V324" s="32" t="n">
        <f>8954721733</f>
        <v>8.954721733E9</v>
      </c>
      <c r="W324" s="32" t="n">
        <f>6701480998</f>
        <v>6.701480998E9</v>
      </c>
      <c r="X324" s="36" t="n">
        <f>20</f>
        <v>20.0</v>
      </c>
    </row>
    <row r="325">
      <c r="A325" s="27" t="s">
        <v>42</v>
      </c>
      <c r="B325" s="27" t="s">
        <v>1016</v>
      </c>
      <c r="C325" s="27" t="s">
        <v>1017</v>
      </c>
      <c r="D325" s="27" t="s">
        <v>1018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10.0</v>
      </c>
      <c r="K325" s="33" t="n">
        <f>4238</f>
        <v>4238.0</v>
      </c>
      <c r="L325" s="34" t="s">
        <v>48</v>
      </c>
      <c r="M325" s="33" t="n">
        <f>4238</f>
        <v>4238.0</v>
      </c>
      <c r="N325" s="34" t="s">
        <v>48</v>
      </c>
      <c r="O325" s="33" t="n">
        <f>3836</f>
        <v>3836.0</v>
      </c>
      <c r="P325" s="34" t="s">
        <v>71</v>
      </c>
      <c r="Q325" s="33" t="n">
        <f>3877</f>
        <v>3877.0</v>
      </c>
      <c r="R325" s="34" t="s">
        <v>51</v>
      </c>
      <c r="S325" s="35" t="n">
        <f>3989.25</f>
        <v>3989.25</v>
      </c>
      <c r="T325" s="32" t="n">
        <f>18460</f>
        <v>18460.0</v>
      </c>
      <c r="U325" s="32" t="n">
        <f>10</f>
        <v>10.0</v>
      </c>
      <c r="V325" s="32" t="n">
        <f>73220510</f>
        <v>7.322051E7</v>
      </c>
      <c r="W325" s="32" t="n">
        <f>40550</f>
        <v>40550.0</v>
      </c>
      <c r="X325" s="36" t="n">
        <f>20</f>
        <v>20.0</v>
      </c>
    </row>
    <row r="326">
      <c r="A326" s="27" t="s">
        <v>42</v>
      </c>
      <c r="B326" s="27" t="s">
        <v>1019</v>
      </c>
      <c r="C326" s="27" t="s">
        <v>1020</v>
      </c>
      <c r="D326" s="27" t="s">
        <v>1021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3315</f>
        <v>3315.0</v>
      </c>
      <c r="L326" s="34" t="s">
        <v>48</v>
      </c>
      <c r="M326" s="33" t="n">
        <f>3355</f>
        <v>3355.0</v>
      </c>
      <c r="N326" s="34" t="s">
        <v>155</v>
      </c>
      <c r="O326" s="33" t="n">
        <f>3125</f>
        <v>3125.0</v>
      </c>
      <c r="P326" s="34" t="s">
        <v>50</v>
      </c>
      <c r="Q326" s="33" t="n">
        <f>3155</f>
        <v>3155.0</v>
      </c>
      <c r="R326" s="34" t="s">
        <v>51</v>
      </c>
      <c r="S326" s="35" t="n">
        <f>3263.42</f>
        <v>3263.42</v>
      </c>
      <c r="T326" s="32" t="n">
        <f>4636</f>
        <v>4636.0</v>
      </c>
      <c r="U326" s="32" t="str">
        <f>"－"</f>
        <v>－</v>
      </c>
      <c r="V326" s="32" t="n">
        <f>15038875</f>
        <v>1.5038875E7</v>
      </c>
      <c r="W326" s="32" t="str">
        <f>"－"</f>
        <v>－</v>
      </c>
      <c r="X326" s="36" t="n">
        <f>19</f>
        <v>19.0</v>
      </c>
    </row>
    <row r="327">
      <c r="A327" s="27" t="s">
        <v>42</v>
      </c>
      <c r="B327" s="27" t="s">
        <v>1022</v>
      </c>
      <c r="C327" s="27" t="s">
        <v>1023</v>
      </c>
      <c r="D327" s="27" t="s">
        <v>1024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1450</f>
        <v>1450.0</v>
      </c>
      <c r="L327" s="34" t="s">
        <v>48</v>
      </c>
      <c r="M327" s="33" t="n">
        <f>1494</f>
        <v>1494.0</v>
      </c>
      <c r="N327" s="34" t="s">
        <v>70</v>
      </c>
      <c r="O327" s="33" t="n">
        <f>1402</f>
        <v>1402.0</v>
      </c>
      <c r="P327" s="34" t="s">
        <v>51</v>
      </c>
      <c r="Q327" s="33" t="n">
        <f>1440</f>
        <v>1440.0</v>
      </c>
      <c r="R327" s="34" t="s">
        <v>51</v>
      </c>
      <c r="S327" s="35" t="n">
        <f>1463.4</f>
        <v>1463.4</v>
      </c>
      <c r="T327" s="32" t="n">
        <f>74587</f>
        <v>74587.0</v>
      </c>
      <c r="U327" s="32" t="n">
        <f>100</f>
        <v>100.0</v>
      </c>
      <c r="V327" s="32" t="n">
        <f>108441512</f>
        <v>1.08441512E8</v>
      </c>
      <c r="W327" s="32" t="n">
        <f>144790</f>
        <v>144790.0</v>
      </c>
      <c r="X327" s="36" t="n">
        <f>20</f>
        <v>20.0</v>
      </c>
    </row>
    <row r="328">
      <c r="A328" s="27" t="s">
        <v>42</v>
      </c>
      <c r="B328" s="27" t="s">
        <v>1025</v>
      </c>
      <c r="C328" s="27" t="s">
        <v>1026</v>
      </c>
      <c r="D328" s="27" t="s">
        <v>1027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2038</f>
        <v>2038.0</v>
      </c>
      <c r="L328" s="34" t="s">
        <v>48</v>
      </c>
      <c r="M328" s="33" t="n">
        <f>2076</f>
        <v>2076.0</v>
      </c>
      <c r="N328" s="34" t="s">
        <v>70</v>
      </c>
      <c r="O328" s="33" t="n">
        <f>1943</f>
        <v>1943.0</v>
      </c>
      <c r="P328" s="34" t="s">
        <v>51</v>
      </c>
      <c r="Q328" s="33" t="n">
        <f>1945</f>
        <v>1945.0</v>
      </c>
      <c r="R328" s="34" t="s">
        <v>51</v>
      </c>
      <c r="S328" s="35" t="n">
        <f>2007.4</f>
        <v>2007.4</v>
      </c>
      <c r="T328" s="32" t="n">
        <f>75670</f>
        <v>75670.0</v>
      </c>
      <c r="U328" s="32" t="n">
        <f>10</f>
        <v>10.0</v>
      </c>
      <c r="V328" s="32" t="n">
        <f>151210955</f>
        <v>1.51210955E8</v>
      </c>
      <c r="W328" s="32" t="n">
        <f>20509</f>
        <v>20509.0</v>
      </c>
      <c r="X328" s="36" t="n">
        <f>20</f>
        <v>20.0</v>
      </c>
    </row>
    <row r="329">
      <c r="A329" s="27" t="s">
        <v>42</v>
      </c>
      <c r="B329" s="27" t="s">
        <v>1028</v>
      </c>
      <c r="C329" s="27" t="s">
        <v>1029</v>
      </c>
      <c r="D329" s="27" t="s">
        <v>1030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1611</f>
        <v>1611.0</v>
      </c>
      <c r="L329" s="34" t="s">
        <v>48</v>
      </c>
      <c r="M329" s="33" t="n">
        <f>1650</f>
        <v>1650.0</v>
      </c>
      <c r="N329" s="34" t="s">
        <v>155</v>
      </c>
      <c r="O329" s="33" t="n">
        <f>1570</f>
        <v>1570.0</v>
      </c>
      <c r="P329" s="34" t="s">
        <v>50</v>
      </c>
      <c r="Q329" s="33" t="n">
        <f>1609</f>
        <v>1609.0</v>
      </c>
      <c r="R329" s="34" t="s">
        <v>51</v>
      </c>
      <c r="S329" s="35" t="n">
        <f>1617.6</f>
        <v>1617.6</v>
      </c>
      <c r="T329" s="32" t="n">
        <f>17458</f>
        <v>17458.0</v>
      </c>
      <c r="U329" s="32" t="str">
        <f>"－"</f>
        <v>－</v>
      </c>
      <c r="V329" s="32" t="n">
        <f>27963975</f>
        <v>2.7963975E7</v>
      </c>
      <c r="W329" s="32" t="str">
        <f>"－"</f>
        <v>－</v>
      </c>
      <c r="X329" s="36" t="n">
        <f>20</f>
        <v>20.0</v>
      </c>
    </row>
    <row r="330">
      <c r="A330" s="27" t="s">
        <v>42</v>
      </c>
      <c r="B330" s="27" t="s">
        <v>1031</v>
      </c>
      <c r="C330" s="27" t="s">
        <v>1032</v>
      </c>
      <c r="D330" s="27" t="s">
        <v>1033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4015</f>
        <v>4015.0</v>
      </c>
      <c r="L330" s="34" t="s">
        <v>48</v>
      </c>
      <c r="M330" s="33" t="n">
        <f>4085</f>
        <v>4085.0</v>
      </c>
      <c r="N330" s="34" t="s">
        <v>49</v>
      </c>
      <c r="O330" s="33" t="n">
        <f>3605</f>
        <v>3605.0</v>
      </c>
      <c r="P330" s="34" t="s">
        <v>50</v>
      </c>
      <c r="Q330" s="33" t="n">
        <f>3895</f>
        <v>3895.0</v>
      </c>
      <c r="R330" s="34" t="s">
        <v>51</v>
      </c>
      <c r="S330" s="35" t="n">
        <f>3896.5</f>
        <v>3896.5</v>
      </c>
      <c r="T330" s="32" t="n">
        <f>178664</f>
        <v>178664.0</v>
      </c>
      <c r="U330" s="32" t="n">
        <f>1921</f>
        <v>1921.0</v>
      </c>
      <c r="V330" s="32" t="n">
        <f>692234025</f>
        <v>6.92234025E8</v>
      </c>
      <c r="W330" s="32" t="n">
        <f>7574190</f>
        <v>7574190.0</v>
      </c>
      <c r="X330" s="36" t="n">
        <f>20</f>
        <v>20.0</v>
      </c>
    </row>
    <row r="331">
      <c r="A331" s="27" t="s">
        <v>42</v>
      </c>
      <c r="B331" s="27" t="s">
        <v>1034</v>
      </c>
      <c r="C331" s="27" t="s">
        <v>1035</v>
      </c>
      <c r="D331" s="27" t="s">
        <v>1036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3255</f>
        <v>3255.0</v>
      </c>
      <c r="L331" s="34" t="s">
        <v>48</v>
      </c>
      <c r="M331" s="33" t="n">
        <f>3365</f>
        <v>3365.0</v>
      </c>
      <c r="N331" s="34" t="s">
        <v>49</v>
      </c>
      <c r="O331" s="33" t="n">
        <f>3090</f>
        <v>3090.0</v>
      </c>
      <c r="P331" s="34" t="s">
        <v>50</v>
      </c>
      <c r="Q331" s="33" t="n">
        <f>3165</f>
        <v>3165.0</v>
      </c>
      <c r="R331" s="34" t="s">
        <v>51</v>
      </c>
      <c r="S331" s="35" t="n">
        <f>3253.75</f>
        <v>3253.75</v>
      </c>
      <c r="T331" s="32" t="n">
        <f>3310119</f>
        <v>3310119.0</v>
      </c>
      <c r="U331" s="32" t="n">
        <f>950050</f>
        <v>950050.0</v>
      </c>
      <c r="V331" s="32" t="n">
        <f>10935169705</f>
        <v>1.0935169705E10</v>
      </c>
      <c r="W331" s="32" t="n">
        <f>3135360895</f>
        <v>3.135360895E9</v>
      </c>
      <c r="X331" s="36" t="n">
        <f>20</f>
        <v>20.0</v>
      </c>
    </row>
    <row r="332">
      <c r="A332" s="27" t="s">
        <v>42</v>
      </c>
      <c r="B332" s="27" t="s">
        <v>1037</v>
      </c>
      <c r="C332" s="27" t="s">
        <v>1038</v>
      </c>
      <c r="D332" s="27" t="s">
        <v>1039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35570</f>
        <v>35570.0</v>
      </c>
      <c r="L332" s="34" t="s">
        <v>48</v>
      </c>
      <c r="M332" s="33" t="n">
        <f>37560</f>
        <v>37560.0</v>
      </c>
      <c r="N332" s="34" t="s">
        <v>155</v>
      </c>
      <c r="O332" s="33" t="n">
        <f>34760</f>
        <v>34760.0</v>
      </c>
      <c r="P332" s="34" t="s">
        <v>50</v>
      </c>
      <c r="Q332" s="33" t="n">
        <f>35670</f>
        <v>35670.0</v>
      </c>
      <c r="R332" s="34" t="s">
        <v>51</v>
      </c>
      <c r="S332" s="35" t="n">
        <f>36318.24</f>
        <v>36318.24</v>
      </c>
      <c r="T332" s="32" t="n">
        <f>34</f>
        <v>34.0</v>
      </c>
      <c r="U332" s="32" t="str">
        <f>"－"</f>
        <v>－</v>
      </c>
      <c r="V332" s="32" t="n">
        <f>1222580</f>
        <v>1222580.0</v>
      </c>
      <c r="W332" s="32" t="str">
        <f>"－"</f>
        <v>－</v>
      </c>
      <c r="X332" s="36" t="n">
        <f>17</f>
        <v>17.0</v>
      </c>
    </row>
    <row r="333">
      <c r="A333" s="27" t="s">
        <v>42</v>
      </c>
      <c r="B333" s="27" t="s">
        <v>1040</v>
      </c>
      <c r="C333" s="27" t="s">
        <v>1041</v>
      </c>
      <c r="D333" s="27" t="s">
        <v>1042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2793</f>
        <v>2793.0</v>
      </c>
      <c r="L333" s="34" t="s">
        <v>48</v>
      </c>
      <c r="M333" s="33" t="n">
        <f>2911</f>
        <v>2911.0</v>
      </c>
      <c r="N333" s="34" t="s">
        <v>66</v>
      </c>
      <c r="O333" s="33" t="n">
        <f>2725</f>
        <v>2725.0</v>
      </c>
      <c r="P333" s="34" t="s">
        <v>50</v>
      </c>
      <c r="Q333" s="33" t="n">
        <f>2779</f>
        <v>2779.0</v>
      </c>
      <c r="R333" s="34" t="s">
        <v>51</v>
      </c>
      <c r="S333" s="35" t="n">
        <f>2848.61</f>
        <v>2848.61</v>
      </c>
      <c r="T333" s="32" t="n">
        <f>8551</f>
        <v>8551.0</v>
      </c>
      <c r="U333" s="32" t="str">
        <f>"－"</f>
        <v>－</v>
      </c>
      <c r="V333" s="32" t="n">
        <f>24586161</f>
        <v>2.4586161E7</v>
      </c>
      <c r="W333" s="32" t="str">
        <f>"－"</f>
        <v>－</v>
      </c>
      <c r="X333" s="36" t="n">
        <f>18</f>
        <v>18.0</v>
      </c>
    </row>
    <row r="334">
      <c r="A334" s="27" t="s">
        <v>42</v>
      </c>
      <c r="B334" s="27" t="s">
        <v>1043</v>
      </c>
      <c r="C334" s="27" t="s">
        <v>1044</v>
      </c>
      <c r="D334" s="27" t="s">
        <v>1045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1777</f>
        <v>1777.0</v>
      </c>
      <c r="L334" s="34" t="s">
        <v>48</v>
      </c>
      <c r="M334" s="33" t="n">
        <f>1802</f>
        <v>1802.0</v>
      </c>
      <c r="N334" s="34" t="s">
        <v>61</v>
      </c>
      <c r="O334" s="33" t="n">
        <f>1555</f>
        <v>1555.0</v>
      </c>
      <c r="P334" s="34" t="s">
        <v>51</v>
      </c>
      <c r="Q334" s="33" t="n">
        <f>1561</f>
        <v>1561.0</v>
      </c>
      <c r="R334" s="34" t="s">
        <v>51</v>
      </c>
      <c r="S334" s="35" t="n">
        <f>1714.6</f>
        <v>1714.6</v>
      </c>
      <c r="T334" s="32" t="n">
        <f>10069734</f>
        <v>1.0069734E7</v>
      </c>
      <c r="U334" s="32" t="n">
        <f>792255</f>
        <v>792255.0</v>
      </c>
      <c r="V334" s="32" t="n">
        <f>17126860617</f>
        <v>1.7126860617E10</v>
      </c>
      <c r="W334" s="32" t="n">
        <f>1358904649</f>
        <v>1.358904649E9</v>
      </c>
      <c r="X334" s="36" t="n">
        <f>20</f>
        <v>20.0</v>
      </c>
    </row>
    <row r="335">
      <c r="A335" s="27" t="s">
        <v>42</v>
      </c>
      <c r="B335" s="27" t="s">
        <v>1046</v>
      </c>
      <c r="C335" s="27" t="s">
        <v>1047</v>
      </c>
      <c r="D335" s="27" t="s">
        <v>1048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2526</f>
        <v>2526.0</v>
      </c>
      <c r="L335" s="34" t="s">
        <v>48</v>
      </c>
      <c r="M335" s="33" t="n">
        <f>2700</f>
        <v>2700.0</v>
      </c>
      <c r="N335" s="34" t="s">
        <v>85</v>
      </c>
      <c r="O335" s="33" t="n">
        <f>2380</f>
        <v>2380.0</v>
      </c>
      <c r="P335" s="34" t="s">
        <v>50</v>
      </c>
      <c r="Q335" s="33" t="n">
        <f>2518</f>
        <v>2518.0</v>
      </c>
      <c r="R335" s="34" t="s">
        <v>51</v>
      </c>
      <c r="S335" s="35" t="n">
        <f>2516.6</f>
        <v>2516.6</v>
      </c>
      <c r="T335" s="32" t="n">
        <f>21755</f>
        <v>21755.0</v>
      </c>
      <c r="U335" s="32" t="str">
        <f>"－"</f>
        <v>－</v>
      </c>
      <c r="V335" s="32" t="n">
        <f>54168398</f>
        <v>5.4168398E7</v>
      </c>
      <c r="W335" s="32" t="str">
        <f>"－"</f>
        <v>－</v>
      </c>
      <c r="X335" s="36" t="n">
        <f>20</f>
        <v>20.0</v>
      </c>
    </row>
    <row r="336">
      <c r="A336" s="27" t="s">
        <v>42</v>
      </c>
      <c r="B336" s="27" t="s">
        <v>1049</v>
      </c>
      <c r="C336" s="27" t="s">
        <v>1050</v>
      </c>
      <c r="D336" s="27" t="s">
        <v>1051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1619</f>
        <v>1619.0</v>
      </c>
      <c r="L336" s="34" t="s">
        <v>48</v>
      </c>
      <c r="M336" s="33" t="n">
        <f>1727</f>
        <v>1727.0</v>
      </c>
      <c r="N336" s="34" t="s">
        <v>49</v>
      </c>
      <c r="O336" s="33" t="n">
        <f>1593</f>
        <v>1593.0</v>
      </c>
      <c r="P336" s="34" t="s">
        <v>62</v>
      </c>
      <c r="Q336" s="33" t="n">
        <f>1627</f>
        <v>1627.0</v>
      </c>
      <c r="R336" s="34" t="s">
        <v>51</v>
      </c>
      <c r="S336" s="35" t="n">
        <f>1661.4</f>
        <v>1661.4</v>
      </c>
      <c r="T336" s="32" t="n">
        <f>8234</f>
        <v>8234.0</v>
      </c>
      <c r="U336" s="32" t="str">
        <f>"－"</f>
        <v>－</v>
      </c>
      <c r="V336" s="32" t="n">
        <f>13752037</f>
        <v>1.3752037E7</v>
      </c>
      <c r="W336" s="32" t="str">
        <f>"－"</f>
        <v>－</v>
      </c>
      <c r="X336" s="36" t="n">
        <f>20</f>
        <v>20.0</v>
      </c>
    </row>
    <row r="337">
      <c r="A337" s="27" t="s">
        <v>42</v>
      </c>
      <c r="B337" s="27" t="s">
        <v>1052</v>
      </c>
      <c r="C337" s="27" t="s">
        <v>1053</v>
      </c>
      <c r="D337" s="27" t="s">
        <v>1054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5657</f>
        <v>5657.0</v>
      </c>
      <c r="L337" s="34" t="s">
        <v>48</v>
      </c>
      <c r="M337" s="33" t="n">
        <f>5832</f>
        <v>5832.0</v>
      </c>
      <c r="N337" s="34" t="s">
        <v>303</v>
      </c>
      <c r="O337" s="33" t="n">
        <f>5499</f>
        <v>5499.0</v>
      </c>
      <c r="P337" s="34" t="s">
        <v>225</v>
      </c>
      <c r="Q337" s="33" t="n">
        <f>5605</f>
        <v>5605.0</v>
      </c>
      <c r="R337" s="34" t="s">
        <v>51</v>
      </c>
      <c r="S337" s="35" t="n">
        <f>5580.94</f>
        <v>5580.94</v>
      </c>
      <c r="T337" s="32" t="n">
        <f>182170</f>
        <v>182170.0</v>
      </c>
      <c r="U337" s="32" t="n">
        <f>180000</f>
        <v>180000.0</v>
      </c>
      <c r="V337" s="32" t="n">
        <f>1010570714</f>
        <v>1.010570714E9</v>
      </c>
      <c r="W337" s="32" t="n">
        <f>998442684</f>
        <v>9.98442684E8</v>
      </c>
      <c r="X337" s="36" t="n">
        <f>17</f>
        <v>17.0</v>
      </c>
    </row>
    <row r="338">
      <c r="A338" s="27" t="s">
        <v>42</v>
      </c>
      <c r="B338" s="27" t="s">
        <v>1055</v>
      </c>
      <c r="C338" s="27" t="s">
        <v>1056</v>
      </c>
      <c r="D338" s="27" t="s">
        <v>1057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10.0</v>
      </c>
      <c r="K338" s="33" t="n">
        <f>3609</f>
        <v>3609.0</v>
      </c>
      <c r="L338" s="34" t="s">
        <v>48</v>
      </c>
      <c r="M338" s="33" t="n">
        <f>3670</f>
        <v>3670.0</v>
      </c>
      <c r="N338" s="34" t="s">
        <v>159</v>
      </c>
      <c r="O338" s="33" t="n">
        <f>3542</f>
        <v>3542.0</v>
      </c>
      <c r="P338" s="34" t="s">
        <v>51</v>
      </c>
      <c r="Q338" s="33" t="n">
        <f>3599</f>
        <v>3599.0</v>
      </c>
      <c r="R338" s="34" t="s">
        <v>51</v>
      </c>
      <c r="S338" s="35" t="n">
        <f>3584.26</f>
        <v>3584.26</v>
      </c>
      <c r="T338" s="32" t="n">
        <f>177100</f>
        <v>177100.0</v>
      </c>
      <c r="U338" s="32" t="n">
        <f>168760</f>
        <v>168760.0</v>
      </c>
      <c r="V338" s="32" t="n">
        <f>634870075</f>
        <v>6.34870075E8</v>
      </c>
      <c r="W338" s="32" t="n">
        <f>604871105</f>
        <v>6.04871105E8</v>
      </c>
      <c r="X338" s="36" t="n">
        <f>19</f>
        <v>19.0</v>
      </c>
    </row>
    <row r="339">
      <c r="A339" s="27" t="s">
        <v>42</v>
      </c>
      <c r="B339" s="27" t="s">
        <v>1058</v>
      </c>
      <c r="C339" s="27" t="s">
        <v>1059</v>
      </c>
      <c r="D339" s="27" t="s">
        <v>1060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10.0</v>
      </c>
      <c r="K339" s="33" t="n">
        <f>615.1</f>
        <v>615.1</v>
      </c>
      <c r="L339" s="34" t="s">
        <v>48</v>
      </c>
      <c r="M339" s="33" t="n">
        <f>625.9</f>
        <v>625.9</v>
      </c>
      <c r="N339" s="34" t="s">
        <v>159</v>
      </c>
      <c r="O339" s="33" t="n">
        <f>610.7</f>
        <v>610.7</v>
      </c>
      <c r="P339" s="34" t="s">
        <v>212</v>
      </c>
      <c r="Q339" s="33" t="n">
        <f>617.4</f>
        <v>617.4</v>
      </c>
      <c r="R339" s="34" t="s">
        <v>51</v>
      </c>
      <c r="S339" s="35" t="n">
        <f>614.36</f>
        <v>614.36</v>
      </c>
      <c r="T339" s="32" t="n">
        <f>165370</f>
        <v>165370.0</v>
      </c>
      <c r="U339" s="32" t="n">
        <f>79000</f>
        <v>79000.0</v>
      </c>
      <c r="V339" s="32" t="n">
        <f>101457840</f>
        <v>1.0145784E8</v>
      </c>
      <c r="W339" s="32" t="n">
        <f>48526800</f>
        <v>4.85268E7</v>
      </c>
      <c r="X339" s="36" t="n">
        <f>19</f>
        <v>19.0</v>
      </c>
    </row>
    <row r="340">
      <c r="A340" s="27" t="s">
        <v>42</v>
      </c>
      <c r="B340" s="27" t="s">
        <v>1061</v>
      </c>
      <c r="C340" s="27" t="s">
        <v>1062</v>
      </c>
      <c r="D340" s="27" t="s">
        <v>1063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9785</f>
        <v>9785.0</v>
      </c>
      <c r="L340" s="34" t="s">
        <v>48</v>
      </c>
      <c r="M340" s="33" t="n">
        <f>9899</f>
        <v>9899.0</v>
      </c>
      <c r="N340" s="34" t="s">
        <v>85</v>
      </c>
      <c r="O340" s="33" t="n">
        <f>9353</f>
        <v>9353.0</v>
      </c>
      <c r="P340" s="34" t="s">
        <v>299</v>
      </c>
      <c r="Q340" s="33" t="n">
        <f>9630</f>
        <v>9630.0</v>
      </c>
      <c r="R340" s="34" t="s">
        <v>51</v>
      </c>
      <c r="S340" s="35" t="n">
        <f>9602.25</f>
        <v>9602.25</v>
      </c>
      <c r="T340" s="32" t="n">
        <f>15144</f>
        <v>15144.0</v>
      </c>
      <c r="U340" s="32" t="n">
        <f>4</f>
        <v>4.0</v>
      </c>
      <c r="V340" s="32" t="n">
        <f>145342577</f>
        <v>1.45342577E8</v>
      </c>
      <c r="W340" s="32" t="n">
        <f>38361</f>
        <v>38361.0</v>
      </c>
      <c r="X340" s="36" t="n">
        <f>20</f>
        <v>20.0</v>
      </c>
    </row>
    <row r="341">
      <c r="A341" s="27" t="s">
        <v>42</v>
      </c>
      <c r="B341" s="27" t="s">
        <v>1064</v>
      </c>
      <c r="C341" s="27" t="s">
        <v>1065</v>
      </c>
      <c r="D341" s="27" t="s">
        <v>1066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985</f>
        <v>985.0</v>
      </c>
      <c r="L341" s="34" t="s">
        <v>48</v>
      </c>
      <c r="M341" s="33" t="n">
        <f>985</f>
        <v>985.0</v>
      </c>
      <c r="N341" s="34" t="s">
        <v>48</v>
      </c>
      <c r="O341" s="33" t="n">
        <f>834</f>
        <v>834.0</v>
      </c>
      <c r="P341" s="34" t="s">
        <v>51</v>
      </c>
      <c r="Q341" s="33" t="n">
        <f>837</f>
        <v>837.0</v>
      </c>
      <c r="R341" s="34" t="s">
        <v>51</v>
      </c>
      <c r="S341" s="35" t="n">
        <f>926.15</f>
        <v>926.15</v>
      </c>
      <c r="T341" s="32" t="n">
        <f>1402888</f>
        <v>1402888.0</v>
      </c>
      <c r="U341" s="32" t="n">
        <f>211000</f>
        <v>211000.0</v>
      </c>
      <c r="V341" s="32" t="n">
        <f>1254829287</f>
        <v>1.254829287E9</v>
      </c>
      <c r="W341" s="32" t="n">
        <f>196181172</f>
        <v>1.96181172E8</v>
      </c>
      <c r="X341" s="36" t="n">
        <f>20</f>
        <v>20.0</v>
      </c>
    </row>
    <row r="342">
      <c r="A342" s="27" t="s">
        <v>42</v>
      </c>
      <c r="B342" s="27" t="s">
        <v>1067</v>
      </c>
      <c r="C342" s="27" t="s">
        <v>1068</v>
      </c>
      <c r="D342" s="27" t="s">
        <v>1069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2824</f>
        <v>2824.0</v>
      </c>
      <c r="L342" s="34" t="s">
        <v>48</v>
      </c>
      <c r="M342" s="33" t="n">
        <f>2957</f>
        <v>2957.0</v>
      </c>
      <c r="N342" s="34" t="s">
        <v>303</v>
      </c>
      <c r="O342" s="33" t="n">
        <f>2644</f>
        <v>2644.0</v>
      </c>
      <c r="P342" s="34" t="s">
        <v>50</v>
      </c>
      <c r="Q342" s="33" t="n">
        <f>2796</f>
        <v>2796.0</v>
      </c>
      <c r="R342" s="34" t="s">
        <v>51</v>
      </c>
      <c r="S342" s="35" t="n">
        <f>2816.95</f>
        <v>2816.95</v>
      </c>
      <c r="T342" s="32" t="n">
        <f>5683</f>
        <v>5683.0</v>
      </c>
      <c r="U342" s="32" t="str">
        <f>"－"</f>
        <v>－</v>
      </c>
      <c r="V342" s="32" t="n">
        <f>16144027</f>
        <v>1.6144027E7</v>
      </c>
      <c r="W342" s="32" t="str">
        <f>"－"</f>
        <v>－</v>
      </c>
      <c r="X342" s="36" t="n">
        <f>20</f>
        <v>20.0</v>
      </c>
    </row>
    <row r="343">
      <c r="A343" s="27" t="s">
        <v>42</v>
      </c>
      <c r="B343" s="27" t="s">
        <v>1070</v>
      </c>
      <c r="C343" s="27" t="s">
        <v>1071</v>
      </c>
      <c r="D343" s="27" t="s">
        <v>1072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2223</f>
        <v>2223.0</v>
      </c>
      <c r="L343" s="34" t="s">
        <v>48</v>
      </c>
      <c r="M343" s="33" t="n">
        <f>2337</f>
        <v>2337.0</v>
      </c>
      <c r="N343" s="34" t="s">
        <v>66</v>
      </c>
      <c r="O343" s="33" t="n">
        <f>2136</f>
        <v>2136.0</v>
      </c>
      <c r="P343" s="34" t="s">
        <v>50</v>
      </c>
      <c r="Q343" s="33" t="n">
        <f>2238</f>
        <v>2238.0</v>
      </c>
      <c r="R343" s="34" t="s">
        <v>51</v>
      </c>
      <c r="S343" s="35" t="n">
        <f>2245.65</f>
        <v>2245.65</v>
      </c>
      <c r="T343" s="32" t="n">
        <f>10061</f>
        <v>10061.0</v>
      </c>
      <c r="U343" s="32" t="n">
        <f>2</f>
        <v>2.0</v>
      </c>
      <c r="V343" s="32" t="n">
        <f>22718339</f>
        <v>2.2718339E7</v>
      </c>
      <c r="W343" s="32" t="n">
        <f>4452</f>
        <v>4452.0</v>
      </c>
      <c r="X343" s="36" t="n">
        <f>20</f>
        <v>20.0</v>
      </c>
    </row>
    <row r="344">
      <c r="A344" s="27" t="s">
        <v>42</v>
      </c>
      <c r="B344" s="27" t="s">
        <v>1073</v>
      </c>
      <c r="C344" s="27" t="s">
        <v>1074</v>
      </c>
      <c r="D344" s="27" t="s">
        <v>1075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8419</f>
        <v>8419.0</v>
      </c>
      <c r="L344" s="34" t="s">
        <v>48</v>
      </c>
      <c r="M344" s="33" t="n">
        <f>8424</f>
        <v>8424.0</v>
      </c>
      <c r="N344" s="34" t="s">
        <v>85</v>
      </c>
      <c r="O344" s="33" t="n">
        <f>8228</f>
        <v>8228.0</v>
      </c>
      <c r="P344" s="34" t="s">
        <v>225</v>
      </c>
      <c r="Q344" s="33" t="n">
        <f>8397</f>
        <v>8397.0</v>
      </c>
      <c r="R344" s="34" t="s">
        <v>51</v>
      </c>
      <c r="S344" s="35" t="n">
        <f>8332.88</f>
        <v>8332.88</v>
      </c>
      <c r="T344" s="32" t="n">
        <f>15164</f>
        <v>15164.0</v>
      </c>
      <c r="U344" s="32" t="str">
        <f>"－"</f>
        <v>－</v>
      </c>
      <c r="V344" s="32" t="n">
        <f>127600366</f>
        <v>1.27600366E8</v>
      </c>
      <c r="W344" s="32" t="str">
        <f>"－"</f>
        <v>－</v>
      </c>
      <c r="X344" s="36" t="n">
        <f>17</f>
        <v>17.0</v>
      </c>
    </row>
    <row r="345">
      <c r="A345" s="27" t="s">
        <v>42</v>
      </c>
      <c r="B345" s="27" t="s">
        <v>1076</v>
      </c>
      <c r="C345" s="27" t="s">
        <v>1077</v>
      </c>
      <c r="D345" s="27" t="s">
        <v>1078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5366</f>
        <v>5366.0</v>
      </c>
      <c r="L345" s="34" t="s">
        <v>48</v>
      </c>
      <c r="M345" s="33" t="n">
        <f>5480</f>
        <v>5480.0</v>
      </c>
      <c r="N345" s="34" t="s">
        <v>50</v>
      </c>
      <c r="O345" s="33" t="n">
        <f>5329</f>
        <v>5329.0</v>
      </c>
      <c r="P345" s="34" t="s">
        <v>49</v>
      </c>
      <c r="Q345" s="33" t="n">
        <f>5387</f>
        <v>5387.0</v>
      </c>
      <c r="R345" s="34" t="s">
        <v>51</v>
      </c>
      <c r="S345" s="35" t="n">
        <f>5361.25</f>
        <v>5361.25</v>
      </c>
      <c r="T345" s="32" t="n">
        <f>982456</f>
        <v>982456.0</v>
      </c>
      <c r="U345" s="32" t="n">
        <f>875000</f>
        <v>875000.0</v>
      </c>
      <c r="V345" s="32" t="n">
        <f>5274812962</f>
        <v>5.274812962E9</v>
      </c>
      <c r="W345" s="32" t="n">
        <f>4694760455</f>
        <v>4.694760455E9</v>
      </c>
      <c r="X345" s="36" t="n">
        <f>20</f>
        <v>20.0</v>
      </c>
    </row>
    <row r="346">
      <c r="A346" s="27" t="s">
        <v>42</v>
      </c>
      <c r="B346" s="27" t="s">
        <v>1079</v>
      </c>
      <c r="C346" s="27" t="s">
        <v>1080</v>
      </c>
      <c r="D346" s="27" t="s">
        <v>1081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1000</f>
        <v>1000.0</v>
      </c>
      <c r="L346" s="34" t="s">
        <v>48</v>
      </c>
      <c r="M346" s="33" t="n">
        <f>1000</f>
        <v>1000.0</v>
      </c>
      <c r="N346" s="34" t="s">
        <v>48</v>
      </c>
      <c r="O346" s="33" t="n">
        <f>904</f>
        <v>904.0</v>
      </c>
      <c r="P346" s="34" t="s">
        <v>51</v>
      </c>
      <c r="Q346" s="33" t="n">
        <f>907</f>
        <v>907.0</v>
      </c>
      <c r="R346" s="34" t="s">
        <v>51</v>
      </c>
      <c r="S346" s="35" t="n">
        <f>949.8</f>
        <v>949.8</v>
      </c>
      <c r="T346" s="32" t="n">
        <f>575673</f>
        <v>575673.0</v>
      </c>
      <c r="U346" s="32" t="str">
        <f>"－"</f>
        <v>－</v>
      </c>
      <c r="V346" s="32" t="n">
        <f>540963320</f>
        <v>5.4096332E8</v>
      </c>
      <c r="W346" s="32" t="str">
        <f>"－"</f>
        <v>－</v>
      </c>
      <c r="X346" s="36" t="n">
        <f>20</f>
        <v>20.0</v>
      </c>
    </row>
    <row r="347">
      <c r="A347" s="27" t="s">
        <v>42</v>
      </c>
      <c r="B347" s="27" t="s">
        <v>1082</v>
      </c>
      <c r="C347" s="27" t="s">
        <v>1083</v>
      </c>
      <c r="D347" s="27" t="s">
        <v>1084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1822</f>
        <v>1822.0</v>
      </c>
      <c r="L347" s="34" t="s">
        <v>48</v>
      </c>
      <c r="M347" s="33" t="n">
        <f>1823</f>
        <v>1823.0</v>
      </c>
      <c r="N347" s="34" t="s">
        <v>48</v>
      </c>
      <c r="O347" s="33" t="n">
        <f>1615</f>
        <v>1615.0</v>
      </c>
      <c r="P347" s="34" t="s">
        <v>50</v>
      </c>
      <c r="Q347" s="33" t="n">
        <f>1637</f>
        <v>1637.0</v>
      </c>
      <c r="R347" s="34" t="s">
        <v>51</v>
      </c>
      <c r="S347" s="35" t="n">
        <f>1716.35</f>
        <v>1716.35</v>
      </c>
      <c r="T347" s="32" t="n">
        <f>2729578</f>
        <v>2729578.0</v>
      </c>
      <c r="U347" s="32" t="n">
        <f>61635</f>
        <v>61635.0</v>
      </c>
      <c r="V347" s="32" t="n">
        <f>4630142740</f>
        <v>4.63014274E9</v>
      </c>
      <c r="W347" s="32" t="n">
        <f>103021258</f>
        <v>1.03021258E8</v>
      </c>
      <c r="X347" s="36" t="n">
        <f>20</f>
        <v>20.0</v>
      </c>
    </row>
    <row r="348">
      <c r="A348" s="27" t="s">
        <v>42</v>
      </c>
      <c r="B348" s="27" t="s">
        <v>1085</v>
      </c>
      <c r="C348" s="27" t="s">
        <v>1086</v>
      </c>
      <c r="D348" s="27" t="s">
        <v>1087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1265</f>
        <v>1265.0</v>
      </c>
      <c r="L348" s="34" t="s">
        <v>48</v>
      </c>
      <c r="M348" s="33" t="n">
        <f>1267</f>
        <v>1267.0</v>
      </c>
      <c r="N348" s="34" t="s">
        <v>48</v>
      </c>
      <c r="O348" s="33" t="n">
        <f>1141</f>
        <v>1141.0</v>
      </c>
      <c r="P348" s="34" t="s">
        <v>51</v>
      </c>
      <c r="Q348" s="33" t="n">
        <f>1206</f>
        <v>1206.0</v>
      </c>
      <c r="R348" s="34" t="s">
        <v>51</v>
      </c>
      <c r="S348" s="35" t="n">
        <f>1201.35</f>
        <v>1201.35</v>
      </c>
      <c r="T348" s="32" t="n">
        <f>3307593</f>
        <v>3307593.0</v>
      </c>
      <c r="U348" s="32" t="str">
        <f>"－"</f>
        <v>－</v>
      </c>
      <c r="V348" s="32" t="n">
        <f>3995232354</f>
        <v>3.995232354E9</v>
      </c>
      <c r="W348" s="32" t="str">
        <f>"－"</f>
        <v>－</v>
      </c>
      <c r="X348" s="36" t="n">
        <f>20</f>
        <v>20.0</v>
      </c>
    </row>
    <row r="349">
      <c r="A349" s="27" t="s">
        <v>42</v>
      </c>
      <c r="B349" s="27" t="s">
        <v>1088</v>
      </c>
      <c r="C349" s="27" t="s">
        <v>1089</v>
      </c>
      <c r="D349" s="27" t="s">
        <v>1090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17730</f>
        <v>17730.0</v>
      </c>
      <c r="L349" s="34" t="s">
        <v>48</v>
      </c>
      <c r="M349" s="33" t="n">
        <f>19440</f>
        <v>19440.0</v>
      </c>
      <c r="N349" s="34" t="s">
        <v>51</v>
      </c>
      <c r="O349" s="33" t="n">
        <f>17695</f>
        <v>17695.0</v>
      </c>
      <c r="P349" s="34" t="s">
        <v>48</v>
      </c>
      <c r="Q349" s="33" t="n">
        <f>19395</f>
        <v>19395.0</v>
      </c>
      <c r="R349" s="34" t="s">
        <v>51</v>
      </c>
      <c r="S349" s="35" t="n">
        <f>18613</f>
        <v>18613.0</v>
      </c>
      <c r="T349" s="32" t="n">
        <f>167634</f>
        <v>167634.0</v>
      </c>
      <c r="U349" s="32" t="n">
        <f>3667</f>
        <v>3667.0</v>
      </c>
      <c r="V349" s="32" t="n">
        <f>3140967801</f>
        <v>3.140967801E9</v>
      </c>
      <c r="W349" s="32" t="n">
        <f>68603276</f>
        <v>6.8603276E7</v>
      </c>
      <c r="X349" s="36" t="n">
        <f>20</f>
        <v>20.0</v>
      </c>
    </row>
    <row r="350">
      <c r="A350" s="27" t="s">
        <v>42</v>
      </c>
      <c r="B350" s="27" t="s">
        <v>1091</v>
      </c>
      <c r="C350" s="27" t="s">
        <v>1092</v>
      </c>
      <c r="D350" s="27" t="s">
        <v>1093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4014</f>
        <v>4014.0</v>
      </c>
      <c r="L350" s="34" t="s">
        <v>48</v>
      </c>
      <c r="M350" s="33" t="n">
        <f>4016</f>
        <v>4016.0</v>
      </c>
      <c r="N350" s="34" t="s">
        <v>155</v>
      </c>
      <c r="O350" s="33" t="n">
        <f>3934</f>
        <v>3934.0</v>
      </c>
      <c r="P350" s="34" t="s">
        <v>212</v>
      </c>
      <c r="Q350" s="33" t="n">
        <f>4006</f>
        <v>4006.0</v>
      </c>
      <c r="R350" s="34" t="s">
        <v>51</v>
      </c>
      <c r="S350" s="35" t="n">
        <f>3982.71</f>
        <v>3982.71</v>
      </c>
      <c r="T350" s="32" t="n">
        <f>7940</f>
        <v>7940.0</v>
      </c>
      <c r="U350" s="32" t="n">
        <f>4990</f>
        <v>4990.0</v>
      </c>
      <c r="V350" s="32" t="n">
        <f>31556440</f>
        <v>3.155644E7</v>
      </c>
      <c r="W350" s="32" t="n">
        <f>19825380</f>
        <v>1.982538E7</v>
      </c>
      <c r="X350" s="36" t="n">
        <f>14</f>
        <v>14.0</v>
      </c>
    </row>
    <row r="351">
      <c r="A351" s="27" t="s">
        <v>42</v>
      </c>
      <c r="B351" s="27" t="s">
        <v>1094</v>
      </c>
      <c r="C351" s="27" t="s">
        <v>1095</v>
      </c>
      <c r="D351" s="27" t="s">
        <v>1096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4898</f>
        <v>4898.0</v>
      </c>
      <c r="L351" s="34" t="s">
        <v>48</v>
      </c>
      <c r="M351" s="33" t="n">
        <f>4948</f>
        <v>4948.0</v>
      </c>
      <c r="N351" s="34" t="s">
        <v>49</v>
      </c>
      <c r="O351" s="33" t="n">
        <f>4778</f>
        <v>4778.0</v>
      </c>
      <c r="P351" s="34" t="s">
        <v>50</v>
      </c>
      <c r="Q351" s="33" t="n">
        <f>4864</f>
        <v>4864.0</v>
      </c>
      <c r="R351" s="34" t="s">
        <v>51</v>
      </c>
      <c r="S351" s="35" t="n">
        <f>4870.55</f>
        <v>4870.55</v>
      </c>
      <c r="T351" s="32" t="n">
        <f>66600</f>
        <v>66600.0</v>
      </c>
      <c r="U351" s="32" t="n">
        <f>21780</f>
        <v>21780.0</v>
      </c>
      <c r="V351" s="32" t="n">
        <f>323930400</f>
        <v>3.239304E8</v>
      </c>
      <c r="W351" s="32" t="n">
        <f>105313810</f>
        <v>1.0531381E8</v>
      </c>
      <c r="X351" s="36" t="n">
        <f>20</f>
        <v>20.0</v>
      </c>
    </row>
    <row r="352">
      <c r="A352" s="27" t="s">
        <v>42</v>
      </c>
      <c r="B352" s="27" t="s">
        <v>1097</v>
      </c>
      <c r="C352" s="27" t="s">
        <v>1098</v>
      </c>
      <c r="D352" s="27" t="s">
        <v>1099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10.0</v>
      </c>
      <c r="K352" s="33" t="n">
        <f>2638</f>
        <v>2638.0</v>
      </c>
      <c r="L352" s="34" t="s">
        <v>48</v>
      </c>
      <c r="M352" s="33" t="n">
        <f>2644.5</f>
        <v>2644.5</v>
      </c>
      <c r="N352" s="34" t="s">
        <v>48</v>
      </c>
      <c r="O352" s="33" t="n">
        <f>2391.5</f>
        <v>2391.5</v>
      </c>
      <c r="P352" s="34" t="s">
        <v>51</v>
      </c>
      <c r="Q352" s="33" t="n">
        <f>2399.5</f>
        <v>2399.5</v>
      </c>
      <c r="R352" s="34" t="s">
        <v>51</v>
      </c>
      <c r="S352" s="35" t="n">
        <f>2511.23</f>
        <v>2511.23</v>
      </c>
      <c r="T352" s="32" t="n">
        <f>1211090</f>
        <v>1211090.0</v>
      </c>
      <c r="U352" s="32" t="n">
        <f>233660</f>
        <v>233660.0</v>
      </c>
      <c r="V352" s="32" t="n">
        <f>3053193651</f>
        <v>3.053193651E9</v>
      </c>
      <c r="W352" s="32" t="n">
        <f>597196311</f>
        <v>5.97196311E8</v>
      </c>
      <c r="X352" s="36" t="n">
        <f>20</f>
        <v>20.0</v>
      </c>
    </row>
    <row r="353">
      <c r="A353" s="27" t="s">
        <v>42</v>
      </c>
      <c r="B353" s="27" t="s">
        <v>1100</v>
      </c>
      <c r="C353" s="27" t="s">
        <v>1101</v>
      </c>
      <c r="D353" s="27" t="s">
        <v>1102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10.0</v>
      </c>
      <c r="K353" s="33" t="n">
        <f>2223</f>
        <v>2223.0</v>
      </c>
      <c r="L353" s="34" t="s">
        <v>48</v>
      </c>
      <c r="M353" s="33" t="n">
        <f>2223</f>
        <v>2223.0</v>
      </c>
      <c r="N353" s="34" t="s">
        <v>48</v>
      </c>
      <c r="O353" s="33" t="n">
        <f>2075</f>
        <v>2075.0</v>
      </c>
      <c r="P353" s="34" t="s">
        <v>71</v>
      </c>
      <c r="Q353" s="33" t="n">
        <f>2094.5</f>
        <v>2094.5</v>
      </c>
      <c r="R353" s="34" t="s">
        <v>51</v>
      </c>
      <c r="S353" s="35" t="n">
        <f>2135.68</f>
        <v>2135.68</v>
      </c>
      <c r="T353" s="32" t="n">
        <f>214270</f>
        <v>214270.0</v>
      </c>
      <c r="U353" s="32" t="n">
        <f>1010</f>
        <v>1010.0</v>
      </c>
      <c r="V353" s="32" t="n">
        <f>457908920</f>
        <v>4.5790892E8</v>
      </c>
      <c r="W353" s="32" t="n">
        <f>2155300</f>
        <v>2155300.0</v>
      </c>
      <c r="X353" s="36" t="n">
        <f>20</f>
        <v>20.0</v>
      </c>
    </row>
    <row r="354">
      <c r="A354" s="27" t="s">
        <v>42</v>
      </c>
      <c r="B354" s="27" t="s">
        <v>1103</v>
      </c>
      <c r="C354" s="27" t="s">
        <v>1104</v>
      </c>
      <c r="D354" s="27" t="s">
        <v>1105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1858</f>
        <v>1858.0</v>
      </c>
      <c r="L354" s="34" t="s">
        <v>48</v>
      </c>
      <c r="M354" s="33" t="n">
        <f>1920</f>
        <v>1920.0</v>
      </c>
      <c r="N354" s="34" t="s">
        <v>159</v>
      </c>
      <c r="O354" s="33" t="n">
        <f>1786</f>
        <v>1786.0</v>
      </c>
      <c r="P354" s="34" t="s">
        <v>50</v>
      </c>
      <c r="Q354" s="33" t="n">
        <f>1815</f>
        <v>1815.0</v>
      </c>
      <c r="R354" s="34" t="s">
        <v>51</v>
      </c>
      <c r="S354" s="35" t="n">
        <f>1859.8</f>
        <v>1859.8</v>
      </c>
      <c r="T354" s="32" t="n">
        <f>699</f>
        <v>699.0</v>
      </c>
      <c r="U354" s="32" t="n">
        <f>10</f>
        <v>10.0</v>
      </c>
      <c r="V354" s="32" t="n">
        <f>1277026</f>
        <v>1277026.0</v>
      </c>
      <c r="W354" s="32" t="n">
        <f>18600</f>
        <v>18600.0</v>
      </c>
      <c r="X354" s="36" t="n">
        <f>20</f>
        <v>20.0</v>
      </c>
    </row>
    <row r="355">
      <c r="A355" s="27" t="s">
        <v>42</v>
      </c>
      <c r="B355" s="27" t="s">
        <v>1106</v>
      </c>
      <c r="C355" s="27" t="s">
        <v>1107</v>
      </c>
      <c r="D355" s="27" t="s">
        <v>1108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2091</f>
        <v>2091.0</v>
      </c>
      <c r="L355" s="34" t="s">
        <v>48</v>
      </c>
      <c r="M355" s="33" t="n">
        <f>2178</f>
        <v>2178.0</v>
      </c>
      <c r="N355" s="34" t="s">
        <v>205</v>
      </c>
      <c r="O355" s="33" t="n">
        <f>2000</f>
        <v>2000.0</v>
      </c>
      <c r="P355" s="34" t="s">
        <v>50</v>
      </c>
      <c r="Q355" s="33" t="n">
        <f>2045</f>
        <v>2045.0</v>
      </c>
      <c r="R355" s="34" t="s">
        <v>51</v>
      </c>
      <c r="S355" s="35" t="n">
        <f>2088.32</f>
        <v>2088.32</v>
      </c>
      <c r="T355" s="32" t="n">
        <f>4698851</f>
        <v>4698851.0</v>
      </c>
      <c r="U355" s="32" t="n">
        <f>4697400</f>
        <v>4697400.0</v>
      </c>
      <c r="V355" s="32" t="n">
        <f>9947386528</f>
        <v>9.947386528E9</v>
      </c>
      <c r="W355" s="32" t="n">
        <f>9944365321</f>
        <v>9.944365321E9</v>
      </c>
      <c r="X355" s="36" t="n">
        <f>19</f>
        <v>19.0</v>
      </c>
    </row>
    <row r="356">
      <c r="A356" s="27" t="s">
        <v>42</v>
      </c>
      <c r="B356" s="27" t="s">
        <v>1109</v>
      </c>
      <c r="C356" s="27" t="s">
        <v>1110</v>
      </c>
      <c r="D356" s="27" t="s">
        <v>1111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4395</f>
        <v>4395.0</v>
      </c>
      <c r="L356" s="34" t="s">
        <v>48</v>
      </c>
      <c r="M356" s="33" t="n">
        <f>4580</f>
        <v>4580.0</v>
      </c>
      <c r="N356" s="34" t="s">
        <v>72</v>
      </c>
      <c r="O356" s="33" t="n">
        <f>4310</f>
        <v>4310.0</v>
      </c>
      <c r="P356" s="34" t="s">
        <v>304</v>
      </c>
      <c r="Q356" s="33" t="n">
        <f>4385</f>
        <v>4385.0</v>
      </c>
      <c r="R356" s="34" t="s">
        <v>51</v>
      </c>
      <c r="S356" s="35" t="n">
        <f>4422.5</f>
        <v>4422.5</v>
      </c>
      <c r="T356" s="32" t="n">
        <f>61509</f>
        <v>61509.0</v>
      </c>
      <c r="U356" s="32" t="n">
        <f>25000</f>
        <v>25000.0</v>
      </c>
      <c r="V356" s="32" t="n">
        <f>272312472</f>
        <v>2.72312472E8</v>
      </c>
      <c r="W356" s="32" t="n">
        <f>110658967</f>
        <v>1.10658967E8</v>
      </c>
      <c r="X356" s="36" t="n">
        <f>20</f>
        <v>20.0</v>
      </c>
    </row>
    <row r="357">
      <c r="A357" s="27" t="s">
        <v>42</v>
      </c>
      <c r="B357" s="27" t="s">
        <v>1112</v>
      </c>
      <c r="C357" s="27" t="s">
        <v>1113</v>
      </c>
      <c r="D357" s="27" t="s">
        <v>1114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1964.5</f>
        <v>1964.5</v>
      </c>
      <c r="L357" s="34" t="s">
        <v>48</v>
      </c>
      <c r="M357" s="33" t="n">
        <f>2003</f>
        <v>2003.0</v>
      </c>
      <c r="N357" s="34" t="s">
        <v>66</v>
      </c>
      <c r="O357" s="33" t="n">
        <f>1871</f>
        <v>1871.0</v>
      </c>
      <c r="P357" s="34" t="s">
        <v>50</v>
      </c>
      <c r="Q357" s="33" t="n">
        <f>1901.5</f>
        <v>1901.5</v>
      </c>
      <c r="R357" s="34" t="s">
        <v>51</v>
      </c>
      <c r="S357" s="35" t="n">
        <f>1957.38</f>
        <v>1957.38</v>
      </c>
      <c r="T357" s="32" t="n">
        <f>31350</f>
        <v>31350.0</v>
      </c>
      <c r="U357" s="32" t="n">
        <f>130</f>
        <v>130.0</v>
      </c>
      <c r="V357" s="32" t="n">
        <f>61486654</f>
        <v>6.1486654E7</v>
      </c>
      <c r="W357" s="32" t="n">
        <f>252484</f>
        <v>252484.0</v>
      </c>
      <c r="X357" s="36" t="n">
        <f>20</f>
        <v>20.0</v>
      </c>
    </row>
    <row r="358">
      <c r="A358" s="27" t="s">
        <v>42</v>
      </c>
      <c r="B358" s="27" t="s">
        <v>1115</v>
      </c>
      <c r="C358" s="27" t="s">
        <v>1116</v>
      </c>
      <c r="D358" s="27" t="s">
        <v>1117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269.9</f>
        <v>269.9</v>
      </c>
      <c r="L358" s="34" t="s">
        <v>48</v>
      </c>
      <c r="M358" s="33" t="n">
        <f>282.9</f>
        <v>282.9</v>
      </c>
      <c r="N358" s="34" t="s">
        <v>66</v>
      </c>
      <c r="O358" s="33" t="n">
        <f>260</f>
        <v>260.0</v>
      </c>
      <c r="P358" s="34" t="s">
        <v>304</v>
      </c>
      <c r="Q358" s="33" t="n">
        <f>271.5</f>
        <v>271.5</v>
      </c>
      <c r="R358" s="34" t="s">
        <v>51</v>
      </c>
      <c r="S358" s="35" t="n">
        <f>274.08</f>
        <v>274.08</v>
      </c>
      <c r="T358" s="32" t="n">
        <f>114580</f>
        <v>114580.0</v>
      </c>
      <c r="U358" s="32" t="str">
        <f>"－"</f>
        <v>－</v>
      </c>
      <c r="V358" s="32" t="n">
        <f>30451204</f>
        <v>3.0451204E7</v>
      </c>
      <c r="W358" s="32" t="str">
        <f>"－"</f>
        <v>－</v>
      </c>
      <c r="X358" s="36" t="n">
        <f>17</f>
        <v>17.0</v>
      </c>
    </row>
    <row r="359">
      <c r="A359" s="27" t="s">
        <v>42</v>
      </c>
      <c r="B359" s="27" t="s">
        <v>1118</v>
      </c>
      <c r="C359" s="27" t="s">
        <v>1119</v>
      </c>
      <c r="D359" s="27" t="s">
        <v>1120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10.0</v>
      </c>
      <c r="K359" s="33" t="n">
        <f>173.7</f>
        <v>173.7</v>
      </c>
      <c r="L359" s="34" t="s">
        <v>48</v>
      </c>
      <c r="M359" s="33" t="n">
        <f>173.7</f>
        <v>173.7</v>
      </c>
      <c r="N359" s="34" t="s">
        <v>48</v>
      </c>
      <c r="O359" s="33" t="n">
        <f>162.4</f>
        <v>162.4</v>
      </c>
      <c r="P359" s="34" t="s">
        <v>50</v>
      </c>
      <c r="Q359" s="33" t="n">
        <f>168.2</f>
        <v>168.2</v>
      </c>
      <c r="R359" s="34" t="s">
        <v>51</v>
      </c>
      <c r="S359" s="35" t="n">
        <f>167.07</f>
        <v>167.07</v>
      </c>
      <c r="T359" s="32" t="n">
        <f>259240</f>
        <v>259240.0</v>
      </c>
      <c r="U359" s="32" t="n">
        <f>21680</f>
        <v>21680.0</v>
      </c>
      <c r="V359" s="32" t="n">
        <f>42692128</f>
        <v>4.2692128E7</v>
      </c>
      <c r="W359" s="32" t="n">
        <f>3674690</f>
        <v>3674690.0</v>
      </c>
      <c r="X359" s="36" t="n">
        <f>20</f>
        <v>20.0</v>
      </c>
    </row>
    <row r="360">
      <c r="A360" s="27" t="s">
        <v>42</v>
      </c>
      <c r="B360" s="27" t="s">
        <v>1121</v>
      </c>
      <c r="C360" s="27" t="s">
        <v>1122</v>
      </c>
      <c r="D360" s="27" t="s">
        <v>1123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681.9</f>
        <v>681.9</v>
      </c>
      <c r="L360" s="34" t="s">
        <v>159</v>
      </c>
      <c r="M360" s="33" t="n">
        <f>681.9</f>
        <v>681.9</v>
      </c>
      <c r="N360" s="34" t="s">
        <v>159</v>
      </c>
      <c r="O360" s="33" t="n">
        <f>631.4</f>
        <v>631.4</v>
      </c>
      <c r="P360" s="34" t="s">
        <v>303</v>
      </c>
      <c r="Q360" s="33" t="n">
        <f>648.7</f>
        <v>648.7</v>
      </c>
      <c r="R360" s="34" t="s">
        <v>51</v>
      </c>
      <c r="S360" s="35" t="n">
        <f>650.49</f>
        <v>650.49</v>
      </c>
      <c r="T360" s="32" t="n">
        <f>11390</f>
        <v>11390.0</v>
      </c>
      <c r="U360" s="32" t="n">
        <f>20</f>
        <v>20.0</v>
      </c>
      <c r="V360" s="32" t="n">
        <f>7374854</f>
        <v>7374854.0</v>
      </c>
      <c r="W360" s="32" t="n">
        <f>12972</f>
        <v>12972.0</v>
      </c>
      <c r="X360" s="36" t="n">
        <f>13</f>
        <v>13.0</v>
      </c>
    </row>
    <row r="361">
      <c r="A361" s="27" t="s">
        <v>42</v>
      </c>
      <c r="B361" s="27" t="s">
        <v>1124</v>
      </c>
      <c r="C361" s="27" t="s">
        <v>1125</v>
      </c>
      <c r="D361" s="27" t="s">
        <v>1126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1575</f>
        <v>1575.0</v>
      </c>
      <c r="L361" s="34" t="s">
        <v>48</v>
      </c>
      <c r="M361" s="33" t="n">
        <f>1604</f>
        <v>1604.0</v>
      </c>
      <c r="N361" s="34" t="s">
        <v>159</v>
      </c>
      <c r="O361" s="33" t="n">
        <f>1450</f>
        <v>1450.0</v>
      </c>
      <c r="P361" s="34" t="s">
        <v>50</v>
      </c>
      <c r="Q361" s="33" t="n">
        <f>1462</f>
        <v>1462.0</v>
      </c>
      <c r="R361" s="34" t="s">
        <v>51</v>
      </c>
      <c r="S361" s="35" t="n">
        <f>1534.5</f>
        <v>1534.5</v>
      </c>
      <c r="T361" s="32" t="n">
        <f>151143</f>
        <v>151143.0</v>
      </c>
      <c r="U361" s="32" t="n">
        <f>1668</f>
        <v>1668.0</v>
      </c>
      <c r="V361" s="32" t="n">
        <f>231405795</f>
        <v>2.31405795E8</v>
      </c>
      <c r="W361" s="32" t="n">
        <f>2563368</f>
        <v>2563368.0</v>
      </c>
      <c r="X361" s="36" t="n">
        <f>20</f>
        <v>20.0</v>
      </c>
    </row>
    <row r="362">
      <c r="A362" s="27" t="s">
        <v>42</v>
      </c>
      <c r="B362" s="27" t="s">
        <v>1127</v>
      </c>
      <c r="C362" s="27" t="s">
        <v>1128</v>
      </c>
      <c r="D362" s="27" t="s">
        <v>1129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891</f>
        <v>891.0</v>
      </c>
      <c r="L362" s="34" t="s">
        <v>48</v>
      </c>
      <c r="M362" s="33" t="n">
        <f>908</f>
        <v>908.0</v>
      </c>
      <c r="N362" s="34" t="s">
        <v>72</v>
      </c>
      <c r="O362" s="33" t="n">
        <f>860</f>
        <v>860.0</v>
      </c>
      <c r="P362" s="34" t="s">
        <v>50</v>
      </c>
      <c r="Q362" s="33" t="n">
        <f>894</f>
        <v>894.0</v>
      </c>
      <c r="R362" s="34" t="s">
        <v>51</v>
      </c>
      <c r="S362" s="35" t="n">
        <f>885.95</f>
        <v>885.95</v>
      </c>
      <c r="T362" s="32" t="n">
        <f>41379</f>
        <v>41379.0</v>
      </c>
      <c r="U362" s="32" t="n">
        <f>102</f>
        <v>102.0</v>
      </c>
      <c r="V362" s="32" t="n">
        <f>36626947</f>
        <v>3.6626947E7</v>
      </c>
      <c r="W362" s="32" t="n">
        <f>89459</f>
        <v>89459.0</v>
      </c>
      <c r="X362" s="36" t="n">
        <f>20</f>
        <v>20.0</v>
      </c>
    </row>
    <row r="363">
      <c r="A363" s="27" t="s">
        <v>42</v>
      </c>
      <c r="B363" s="27" t="s">
        <v>1130</v>
      </c>
      <c r="C363" s="27" t="s">
        <v>1131</v>
      </c>
      <c r="D363" s="27" t="s">
        <v>1132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10.0</v>
      </c>
      <c r="K363" s="33" t="n">
        <f>688.3</f>
        <v>688.3</v>
      </c>
      <c r="L363" s="34" t="s">
        <v>48</v>
      </c>
      <c r="M363" s="33" t="n">
        <f>693</f>
        <v>693.0</v>
      </c>
      <c r="N363" s="34" t="s">
        <v>50</v>
      </c>
      <c r="O363" s="33" t="n">
        <f>680.1</f>
        <v>680.1</v>
      </c>
      <c r="P363" s="34" t="s">
        <v>66</v>
      </c>
      <c r="Q363" s="33" t="n">
        <f>691</f>
        <v>691.0</v>
      </c>
      <c r="R363" s="34" t="s">
        <v>51</v>
      </c>
      <c r="S363" s="35" t="n">
        <f>687.14</f>
        <v>687.14</v>
      </c>
      <c r="T363" s="32" t="n">
        <f>502310</f>
        <v>502310.0</v>
      </c>
      <c r="U363" s="32" t="n">
        <f>10</f>
        <v>10.0</v>
      </c>
      <c r="V363" s="32" t="n">
        <f>345462108</f>
        <v>3.45462108E8</v>
      </c>
      <c r="W363" s="32" t="n">
        <f>6868</f>
        <v>6868.0</v>
      </c>
      <c r="X363" s="36" t="n">
        <f>20</f>
        <v>20.0</v>
      </c>
    </row>
    <row r="364">
      <c r="A364" s="27" t="s">
        <v>42</v>
      </c>
      <c r="B364" s="27" t="s">
        <v>1133</v>
      </c>
      <c r="C364" s="27" t="s">
        <v>1134</v>
      </c>
      <c r="D364" s="27" t="s">
        <v>1135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10.0</v>
      </c>
      <c r="K364" s="33" t="n">
        <f>678.3</f>
        <v>678.3</v>
      </c>
      <c r="L364" s="34" t="s">
        <v>48</v>
      </c>
      <c r="M364" s="33" t="n">
        <f>678.3</f>
        <v>678.3</v>
      </c>
      <c r="N364" s="34" t="s">
        <v>48</v>
      </c>
      <c r="O364" s="33" t="n">
        <f>654</f>
        <v>654.0</v>
      </c>
      <c r="P364" s="34" t="s">
        <v>304</v>
      </c>
      <c r="Q364" s="33" t="n">
        <f>664.1</f>
        <v>664.1</v>
      </c>
      <c r="R364" s="34" t="s">
        <v>51</v>
      </c>
      <c r="S364" s="35" t="n">
        <f>660.89</f>
        <v>660.89</v>
      </c>
      <c r="T364" s="32" t="n">
        <f>9752180</f>
        <v>9752180.0</v>
      </c>
      <c r="U364" s="32" t="n">
        <f>9707640</f>
        <v>9707640.0</v>
      </c>
      <c r="V364" s="32" t="n">
        <f>6402269370</f>
        <v>6.40226937E9</v>
      </c>
      <c r="W364" s="32" t="n">
        <f>6373019470</f>
        <v>6.37301947E9</v>
      </c>
      <c r="X364" s="36" t="n">
        <f>20</f>
        <v>20.0</v>
      </c>
    </row>
    <row r="365">
      <c r="A365" s="27" t="s">
        <v>42</v>
      </c>
      <c r="B365" s="27" t="s">
        <v>1136</v>
      </c>
      <c r="C365" s="27" t="s">
        <v>1137</v>
      </c>
      <c r="D365" s="27" t="s">
        <v>1138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1214</f>
        <v>1214.0</v>
      </c>
      <c r="L365" s="34" t="s">
        <v>48</v>
      </c>
      <c r="M365" s="33" t="n">
        <f>1214</f>
        <v>1214.0</v>
      </c>
      <c r="N365" s="34" t="s">
        <v>48</v>
      </c>
      <c r="O365" s="33" t="n">
        <f>1150</f>
        <v>1150.0</v>
      </c>
      <c r="P365" s="34" t="s">
        <v>50</v>
      </c>
      <c r="Q365" s="33" t="n">
        <f>1165</f>
        <v>1165.0</v>
      </c>
      <c r="R365" s="34" t="s">
        <v>51</v>
      </c>
      <c r="S365" s="35" t="n">
        <f>1189.8</f>
        <v>1189.8</v>
      </c>
      <c r="T365" s="32" t="n">
        <f>25977</f>
        <v>25977.0</v>
      </c>
      <c r="U365" s="32" t="str">
        <f>"－"</f>
        <v>－</v>
      </c>
      <c r="V365" s="32" t="n">
        <f>30834365</f>
        <v>3.0834365E7</v>
      </c>
      <c r="W365" s="32" t="str">
        <f>"－"</f>
        <v>－</v>
      </c>
      <c r="X365" s="36" t="n">
        <f>20</f>
        <v>20.0</v>
      </c>
    </row>
    <row r="366">
      <c r="A366" s="27" t="s">
        <v>42</v>
      </c>
      <c r="B366" s="27" t="s">
        <v>1139</v>
      </c>
      <c r="C366" s="27" t="s">
        <v>1140</v>
      </c>
      <c r="D366" s="27" t="s">
        <v>1141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10.0</v>
      </c>
      <c r="K366" s="33" t="n">
        <f>2813.5</f>
        <v>2813.5</v>
      </c>
      <c r="L366" s="34" t="s">
        <v>48</v>
      </c>
      <c r="M366" s="33" t="n">
        <f>2855.5</f>
        <v>2855.5</v>
      </c>
      <c r="N366" s="34" t="s">
        <v>212</v>
      </c>
      <c r="O366" s="33" t="n">
        <f>2699</f>
        <v>2699.0</v>
      </c>
      <c r="P366" s="34" t="s">
        <v>51</v>
      </c>
      <c r="Q366" s="33" t="n">
        <f>2720</f>
        <v>2720.0</v>
      </c>
      <c r="R366" s="34" t="s">
        <v>51</v>
      </c>
      <c r="S366" s="35" t="n">
        <f>2788.08</f>
        <v>2788.08</v>
      </c>
      <c r="T366" s="32" t="n">
        <f>478880</f>
        <v>478880.0</v>
      </c>
      <c r="U366" s="32" t="n">
        <f>30</f>
        <v>30.0</v>
      </c>
      <c r="V366" s="32" t="n">
        <f>1328514290</f>
        <v>1.32851429E9</v>
      </c>
      <c r="W366" s="32" t="n">
        <f>84330</f>
        <v>84330.0</v>
      </c>
      <c r="X366" s="36" t="n">
        <f>20</f>
        <v>20.0</v>
      </c>
    </row>
    <row r="367">
      <c r="A367" s="27" t="s">
        <v>42</v>
      </c>
      <c r="B367" s="27" t="s">
        <v>1142</v>
      </c>
      <c r="C367" s="27" t="s">
        <v>1143</v>
      </c>
      <c r="D367" s="27" t="s">
        <v>1144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10.0</v>
      </c>
      <c r="K367" s="33" t="n">
        <f>3048</f>
        <v>3048.0</v>
      </c>
      <c r="L367" s="34" t="s">
        <v>48</v>
      </c>
      <c r="M367" s="33" t="n">
        <f>3180</f>
        <v>3180.0</v>
      </c>
      <c r="N367" s="34" t="s">
        <v>70</v>
      </c>
      <c r="O367" s="33" t="n">
        <f>2960</f>
        <v>2960.0</v>
      </c>
      <c r="P367" s="34" t="s">
        <v>51</v>
      </c>
      <c r="Q367" s="33" t="n">
        <f>2978.5</f>
        <v>2978.5</v>
      </c>
      <c r="R367" s="34" t="s">
        <v>51</v>
      </c>
      <c r="S367" s="35" t="n">
        <f>3079.93</f>
        <v>3079.93</v>
      </c>
      <c r="T367" s="32" t="n">
        <f>2122680</f>
        <v>2122680.0</v>
      </c>
      <c r="U367" s="32" t="n">
        <f>325110</f>
        <v>325110.0</v>
      </c>
      <c r="V367" s="32" t="n">
        <f>6548884243</f>
        <v>6.548884243E9</v>
      </c>
      <c r="W367" s="32" t="n">
        <f>1000820473</f>
        <v>1.000820473E9</v>
      </c>
      <c r="X367" s="36" t="n">
        <f>20</f>
        <v>20.0</v>
      </c>
    </row>
    <row r="368">
      <c r="A368" s="27" t="s">
        <v>42</v>
      </c>
      <c r="B368" s="27" t="s">
        <v>1145</v>
      </c>
      <c r="C368" s="27" t="s">
        <v>1146</v>
      </c>
      <c r="D368" s="27" t="s">
        <v>1147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10.0</v>
      </c>
      <c r="K368" s="33" t="n">
        <f>5135</f>
        <v>5135.0</v>
      </c>
      <c r="L368" s="34" t="s">
        <v>48</v>
      </c>
      <c r="M368" s="33" t="n">
        <f>5250</f>
        <v>5250.0</v>
      </c>
      <c r="N368" s="34" t="s">
        <v>70</v>
      </c>
      <c r="O368" s="33" t="n">
        <f>5096</f>
        <v>5096.0</v>
      </c>
      <c r="P368" s="34" t="s">
        <v>225</v>
      </c>
      <c r="Q368" s="33" t="n">
        <f>5223</f>
        <v>5223.0</v>
      </c>
      <c r="R368" s="34" t="s">
        <v>51</v>
      </c>
      <c r="S368" s="35" t="n">
        <f>5174.83</f>
        <v>5174.83</v>
      </c>
      <c r="T368" s="32" t="n">
        <f>133850</f>
        <v>133850.0</v>
      </c>
      <c r="U368" s="32" t="str">
        <f>"－"</f>
        <v>－</v>
      </c>
      <c r="V368" s="32" t="n">
        <f>687493320</f>
        <v>6.8749332E8</v>
      </c>
      <c r="W368" s="32" t="str">
        <f>"－"</f>
        <v>－</v>
      </c>
      <c r="X368" s="36" t="n">
        <f>12</f>
        <v>12.0</v>
      </c>
    </row>
    <row r="369">
      <c r="A369" s="27" t="s">
        <v>42</v>
      </c>
      <c r="B369" s="27" t="s">
        <v>1148</v>
      </c>
      <c r="C369" s="27" t="s">
        <v>1149</v>
      </c>
      <c r="D369" s="27" t="s">
        <v>1150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10.0</v>
      </c>
      <c r="K369" s="33" t="n">
        <f>4143</f>
        <v>4143.0</v>
      </c>
      <c r="L369" s="34" t="s">
        <v>62</v>
      </c>
      <c r="M369" s="33" t="n">
        <f>4143</f>
        <v>4143.0</v>
      </c>
      <c r="N369" s="34" t="s">
        <v>62</v>
      </c>
      <c r="O369" s="33" t="n">
        <f>4026</f>
        <v>4026.0</v>
      </c>
      <c r="P369" s="34" t="s">
        <v>304</v>
      </c>
      <c r="Q369" s="33" t="n">
        <f>4054</f>
        <v>4054.0</v>
      </c>
      <c r="R369" s="34" t="s">
        <v>155</v>
      </c>
      <c r="S369" s="35" t="n">
        <f>4058.6</f>
        <v>4058.6</v>
      </c>
      <c r="T369" s="32" t="n">
        <f>564620</f>
        <v>564620.0</v>
      </c>
      <c r="U369" s="32" t="n">
        <f>510800</f>
        <v>510800.0</v>
      </c>
      <c r="V369" s="32" t="n">
        <f>2303382844</f>
        <v>2.303382844E9</v>
      </c>
      <c r="W369" s="32" t="n">
        <f>2084931684</f>
        <v>2.084931684E9</v>
      </c>
      <c r="X369" s="36" t="n">
        <f>5</f>
        <v>5.0</v>
      </c>
    </row>
    <row r="370">
      <c r="A370" s="27" t="s">
        <v>42</v>
      </c>
      <c r="B370" s="27" t="s">
        <v>1151</v>
      </c>
      <c r="C370" s="27" t="s">
        <v>1152</v>
      </c>
      <c r="D370" s="27" t="s">
        <v>1153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10.0</v>
      </c>
      <c r="K370" s="33" t="n">
        <f>1903.5</f>
        <v>1903.5</v>
      </c>
      <c r="L370" s="34" t="s">
        <v>48</v>
      </c>
      <c r="M370" s="33" t="n">
        <f>1910</f>
        <v>1910.0</v>
      </c>
      <c r="N370" s="34" t="s">
        <v>62</v>
      </c>
      <c r="O370" s="33" t="n">
        <f>1784</f>
        <v>1784.0</v>
      </c>
      <c r="P370" s="34" t="s">
        <v>51</v>
      </c>
      <c r="Q370" s="33" t="n">
        <f>1857.5</f>
        <v>1857.5</v>
      </c>
      <c r="R370" s="34" t="s">
        <v>51</v>
      </c>
      <c r="S370" s="35" t="n">
        <f>1871.77</f>
        <v>1871.77</v>
      </c>
      <c r="T370" s="32" t="n">
        <f>1790</f>
        <v>1790.0</v>
      </c>
      <c r="U370" s="32" t="str">
        <f>"－"</f>
        <v>－</v>
      </c>
      <c r="V370" s="32" t="n">
        <f>3323505</f>
        <v>3323505.0</v>
      </c>
      <c r="W370" s="32" t="str">
        <f>"－"</f>
        <v>－</v>
      </c>
      <c r="X370" s="36" t="n">
        <f>13</f>
        <v>13.0</v>
      </c>
    </row>
    <row r="371">
      <c r="A371" s="27" t="s">
        <v>42</v>
      </c>
      <c r="B371" s="27" t="s">
        <v>1154</v>
      </c>
      <c r="C371" s="27" t="s">
        <v>1155</v>
      </c>
      <c r="D371" s="27" t="s">
        <v>1156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1280</f>
        <v>1280.0</v>
      </c>
      <c r="L371" s="34" t="s">
        <v>48</v>
      </c>
      <c r="M371" s="33" t="n">
        <f>1280</f>
        <v>1280.0</v>
      </c>
      <c r="N371" s="34" t="s">
        <v>48</v>
      </c>
      <c r="O371" s="33" t="n">
        <f>1192</f>
        <v>1192.0</v>
      </c>
      <c r="P371" s="34" t="s">
        <v>51</v>
      </c>
      <c r="Q371" s="33" t="n">
        <f>1216</f>
        <v>1216.0</v>
      </c>
      <c r="R371" s="34" t="s">
        <v>51</v>
      </c>
      <c r="S371" s="35" t="n">
        <f>1232.8</f>
        <v>1232.8</v>
      </c>
      <c r="T371" s="32" t="n">
        <f>9301</f>
        <v>9301.0</v>
      </c>
      <c r="U371" s="32" t="str">
        <f>"－"</f>
        <v>－</v>
      </c>
      <c r="V371" s="32" t="n">
        <f>11379771</f>
        <v>1.1379771E7</v>
      </c>
      <c r="W371" s="32" t="str">
        <f>"－"</f>
        <v>－</v>
      </c>
      <c r="X371" s="36" t="n">
        <f>20</f>
        <v>20.0</v>
      </c>
    </row>
    <row r="372">
      <c r="A372" s="27" t="s">
        <v>42</v>
      </c>
      <c r="B372" s="27" t="s">
        <v>1157</v>
      </c>
      <c r="C372" s="27" t="s">
        <v>1158</v>
      </c>
      <c r="D372" s="27" t="s">
        <v>1159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1190</f>
        <v>1190.0</v>
      </c>
      <c r="L372" s="34" t="s">
        <v>48</v>
      </c>
      <c r="M372" s="33" t="n">
        <f>1192</f>
        <v>1192.0</v>
      </c>
      <c r="N372" s="34" t="s">
        <v>48</v>
      </c>
      <c r="O372" s="33" t="n">
        <f>1052</f>
        <v>1052.0</v>
      </c>
      <c r="P372" s="34" t="s">
        <v>50</v>
      </c>
      <c r="Q372" s="33" t="n">
        <f>1080</f>
        <v>1080.0</v>
      </c>
      <c r="R372" s="34" t="s">
        <v>51</v>
      </c>
      <c r="S372" s="35" t="n">
        <f>1116.1</f>
        <v>1116.1</v>
      </c>
      <c r="T372" s="32" t="n">
        <f>10056613</f>
        <v>1.0056613E7</v>
      </c>
      <c r="U372" s="32" t="n">
        <f>1579</f>
        <v>1579.0</v>
      </c>
      <c r="V372" s="32" t="n">
        <f>11201607882</f>
        <v>1.1201607882E10</v>
      </c>
      <c r="W372" s="32" t="n">
        <f>1774988</f>
        <v>1774988.0</v>
      </c>
      <c r="X372" s="36" t="n">
        <f>20</f>
        <v>20.0</v>
      </c>
    </row>
    <row r="373">
      <c r="A373" s="27" t="s">
        <v>42</v>
      </c>
      <c r="B373" s="27" t="s">
        <v>1160</v>
      </c>
      <c r="C373" s="27" t="s">
        <v>1161</v>
      </c>
      <c r="D373" s="27" t="s">
        <v>1162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1002</f>
        <v>1002.0</v>
      </c>
      <c r="L373" s="34" t="s">
        <v>48</v>
      </c>
      <c r="M373" s="33" t="n">
        <f>1005</f>
        <v>1005.0</v>
      </c>
      <c r="N373" s="34" t="s">
        <v>48</v>
      </c>
      <c r="O373" s="33" t="n">
        <f>949</f>
        <v>949.0</v>
      </c>
      <c r="P373" s="34" t="s">
        <v>50</v>
      </c>
      <c r="Q373" s="33" t="n">
        <f>963</f>
        <v>963.0</v>
      </c>
      <c r="R373" s="34" t="s">
        <v>51</v>
      </c>
      <c r="S373" s="35" t="n">
        <f>977.85</f>
        <v>977.85</v>
      </c>
      <c r="T373" s="32" t="n">
        <f>1046543</f>
        <v>1046543.0</v>
      </c>
      <c r="U373" s="32" t="n">
        <f>51</f>
        <v>51.0</v>
      </c>
      <c r="V373" s="32" t="n">
        <f>1017247910</f>
        <v>1.01724791E9</v>
      </c>
      <c r="W373" s="32" t="n">
        <f>45735</f>
        <v>45735.0</v>
      </c>
      <c r="X373" s="36" t="n">
        <f>20</f>
        <v>20.0</v>
      </c>
    </row>
    <row r="374">
      <c r="A374" s="27" t="s">
        <v>42</v>
      </c>
      <c r="B374" s="27" t="s">
        <v>1163</v>
      </c>
      <c r="C374" s="27" t="s">
        <v>1164</v>
      </c>
      <c r="D374" s="27" t="s">
        <v>1165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1054</f>
        <v>1054.0</v>
      </c>
      <c r="L374" s="34" t="s">
        <v>48</v>
      </c>
      <c r="M374" s="33" t="n">
        <f>1092</f>
        <v>1092.0</v>
      </c>
      <c r="N374" s="34" t="s">
        <v>85</v>
      </c>
      <c r="O374" s="33" t="n">
        <f>980</f>
        <v>980.0</v>
      </c>
      <c r="P374" s="34" t="s">
        <v>51</v>
      </c>
      <c r="Q374" s="33" t="n">
        <f>989</f>
        <v>989.0</v>
      </c>
      <c r="R374" s="34" t="s">
        <v>51</v>
      </c>
      <c r="S374" s="35" t="n">
        <f>1052.05</f>
        <v>1052.05</v>
      </c>
      <c r="T374" s="32" t="n">
        <f>14851</f>
        <v>14851.0</v>
      </c>
      <c r="U374" s="32" t="str">
        <f>"－"</f>
        <v>－</v>
      </c>
      <c r="V374" s="32" t="n">
        <f>15529332</f>
        <v>1.5529332E7</v>
      </c>
      <c r="W374" s="32" t="str">
        <f>"－"</f>
        <v>－</v>
      </c>
      <c r="X374" s="36" t="n">
        <f>20</f>
        <v>20.0</v>
      </c>
    </row>
    <row r="375">
      <c r="A375" s="27" t="s">
        <v>42</v>
      </c>
      <c r="B375" s="27" t="s">
        <v>1166</v>
      </c>
      <c r="C375" s="27" t="s">
        <v>1167</v>
      </c>
      <c r="D375" s="27" t="s">
        <v>1168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1091</f>
        <v>1091.0</v>
      </c>
      <c r="L375" s="34" t="s">
        <v>48</v>
      </c>
      <c r="M375" s="33" t="n">
        <f>1092</f>
        <v>1092.0</v>
      </c>
      <c r="N375" s="34" t="s">
        <v>48</v>
      </c>
      <c r="O375" s="33" t="n">
        <f>990</f>
        <v>990.0</v>
      </c>
      <c r="P375" s="34" t="s">
        <v>50</v>
      </c>
      <c r="Q375" s="33" t="n">
        <f>1009</f>
        <v>1009.0</v>
      </c>
      <c r="R375" s="34" t="s">
        <v>51</v>
      </c>
      <c r="S375" s="35" t="n">
        <f>1034.1</f>
        <v>1034.1</v>
      </c>
      <c r="T375" s="32" t="n">
        <f>1914823</f>
        <v>1914823.0</v>
      </c>
      <c r="U375" s="32" t="n">
        <f>137</f>
        <v>137.0</v>
      </c>
      <c r="V375" s="32" t="n">
        <f>1982011589</f>
        <v>1.982011589E9</v>
      </c>
      <c r="W375" s="32" t="n">
        <f>137499</f>
        <v>137499.0</v>
      </c>
      <c r="X375" s="36" t="n">
        <f>20</f>
        <v>20.0</v>
      </c>
    </row>
    <row r="376">
      <c r="A376" s="27" t="s">
        <v>42</v>
      </c>
      <c r="B376" s="27" t="s">
        <v>1169</v>
      </c>
      <c r="C376" s="27" t="s">
        <v>1170</v>
      </c>
      <c r="D376" s="27" t="s">
        <v>1171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45040</f>
        <v>45040.0</v>
      </c>
      <c r="L376" s="34" t="s">
        <v>48</v>
      </c>
      <c r="M376" s="33" t="n">
        <f>45300</f>
        <v>45300.0</v>
      </c>
      <c r="N376" s="34" t="s">
        <v>48</v>
      </c>
      <c r="O376" s="33" t="n">
        <f>36770</f>
        <v>36770.0</v>
      </c>
      <c r="P376" s="34" t="s">
        <v>51</v>
      </c>
      <c r="Q376" s="33" t="n">
        <f>36960</f>
        <v>36960.0</v>
      </c>
      <c r="R376" s="34" t="s">
        <v>51</v>
      </c>
      <c r="S376" s="35" t="n">
        <f>40720</f>
        <v>40720.0</v>
      </c>
      <c r="T376" s="32" t="n">
        <f>448442</f>
        <v>448442.0</v>
      </c>
      <c r="U376" s="32" t="n">
        <f>819</f>
        <v>819.0</v>
      </c>
      <c r="V376" s="32" t="n">
        <f>18222613900</f>
        <v>1.82226139E10</v>
      </c>
      <c r="W376" s="32" t="n">
        <f>32291920</f>
        <v>3.229192E7</v>
      </c>
      <c r="X376" s="36" t="n">
        <f>20</f>
        <v>20.0</v>
      </c>
    </row>
    <row r="377">
      <c r="A377" s="27" t="s">
        <v>42</v>
      </c>
      <c r="B377" s="27" t="s">
        <v>1172</v>
      </c>
      <c r="C377" s="27" t="s">
        <v>1173</v>
      </c>
      <c r="D377" s="27" t="s">
        <v>1174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17800</f>
        <v>17800.0</v>
      </c>
      <c r="L377" s="34" t="s">
        <v>48</v>
      </c>
      <c r="M377" s="33" t="n">
        <f>21195</f>
        <v>21195.0</v>
      </c>
      <c r="N377" s="34" t="s">
        <v>51</v>
      </c>
      <c r="O377" s="33" t="n">
        <f>17695</f>
        <v>17695.0</v>
      </c>
      <c r="P377" s="34" t="s">
        <v>48</v>
      </c>
      <c r="Q377" s="33" t="n">
        <f>21095</f>
        <v>21095.0</v>
      </c>
      <c r="R377" s="34" t="s">
        <v>51</v>
      </c>
      <c r="S377" s="35" t="n">
        <f>19583</f>
        <v>19583.0</v>
      </c>
      <c r="T377" s="32" t="n">
        <f>696531</f>
        <v>696531.0</v>
      </c>
      <c r="U377" s="32" t="n">
        <f>161</f>
        <v>161.0</v>
      </c>
      <c r="V377" s="32" t="n">
        <f>13791588725</f>
        <v>1.3791588725E10</v>
      </c>
      <c r="W377" s="32" t="n">
        <f>3005905</f>
        <v>3005905.0</v>
      </c>
      <c r="X377" s="36" t="n">
        <f>20</f>
        <v>20.0</v>
      </c>
    </row>
    <row r="378">
      <c r="A378" s="27" t="s">
        <v>42</v>
      </c>
      <c r="B378" s="27" t="s">
        <v>1175</v>
      </c>
      <c r="C378" s="27" t="s">
        <v>1176</v>
      </c>
      <c r="D378" s="27" t="s">
        <v>1177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2024</f>
        <v>2024.0</v>
      </c>
      <c r="L378" s="34" t="s">
        <v>48</v>
      </c>
      <c r="M378" s="33" t="n">
        <f>2086</f>
        <v>2086.0</v>
      </c>
      <c r="N378" s="34" t="s">
        <v>49</v>
      </c>
      <c r="O378" s="33" t="n">
        <f>1949</f>
        <v>1949.0</v>
      </c>
      <c r="P378" s="34" t="s">
        <v>50</v>
      </c>
      <c r="Q378" s="33" t="n">
        <f>1993</f>
        <v>1993.0</v>
      </c>
      <c r="R378" s="34" t="s">
        <v>51</v>
      </c>
      <c r="S378" s="35" t="n">
        <f>2032</f>
        <v>2032.0</v>
      </c>
      <c r="T378" s="32" t="n">
        <f>793</f>
        <v>793.0</v>
      </c>
      <c r="U378" s="32" t="str">
        <f>"－"</f>
        <v>－</v>
      </c>
      <c r="V378" s="32" t="n">
        <f>1628308</f>
        <v>1628308.0</v>
      </c>
      <c r="W378" s="32" t="str">
        <f>"－"</f>
        <v>－</v>
      </c>
      <c r="X378" s="36" t="n">
        <f>19</f>
        <v>19.0</v>
      </c>
    </row>
    <row r="379">
      <c r="A379" s="27" t="s">
        <v>42</v>
      </c>
      <c r="B379" s="27" t="s">
        <v>1178</v>
      </c>
      <c r="C379" s="27" t="s">
        <v>1179</v>
      </c>
      <c r="D379" s="27" t="s">
        <v>1180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10150</f>
        <v>10150.0</v>
      </c>
      <c r="L379" s="34" t="s">
        <v>48</v>
      </c>
      <c r="M379" s="33" t="n">
        <f>10150</f>
        <v>10150.0</v>
      </c>
      <c r="N379" s="34" t="s">
        <v>48</v>
      </c>
      <c r="O379" s="33" t="n">
        <f>9550</f>
        <v>9550.0</v>
      </c>
      <c r="P379" s="34" t="s">
        <v>225</v>
      </c>
      <c r="Q379" s="33" t="n">
        <f>9910</f>
        <v>9910.0</v>
      </c>
      <c r="R379" s="34" t="s">
        <v>51</v>
      </c>
      <c r="S379" s="35" t="n">
        <f>9836.16</f>
        <v>9836.16</v>
      </c>
      <c r="T379" s="32" t="n">
        <f>17340</f>
        <v>17340.0</v>
      </c>
      <c r="U379" s="32" t="n">
        <f>2</f>
        <v>2.0</v>
      </c>
      <c r="V379" s="32" t="n">
        <f>171722712</f>
        <v>1.71722712E8</v>
      </c>
      <c r="W379" s="32" t="n">
        <f>19737</f>
        <v>19737.0</v>
      </c>
      <c r="X379" s="36" t="n">
        <f>19</f>
        <v>19.0</v>
      </c>
    </row>
    <row r="380">
      <c r="A380" s="27" t="s">
        <v>42</v>
      </c>
      <c r="B380" s="27" t="s">
        <v>1181</v>
      </c>
      <c r="C380" s="27" t="s">
        <v>1182</v>
      </c>
      <c r="D380" s="27" t="s">
        <v>1183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115500</f>
        <v>115500.0</v>
      </c>
      <c r="L380" s="34" t="s">
        <v>48</v>
      </c>
      <c r="M380" s="33" t="n">
        <f>117600</f>
        <v>117600.0</v>
      </c>
      <c r="N380" s="34" t="s">
        <v>85</v>
      </c>
      <c r="O380" s="33" t="n">
        <f>111500</f>
        <v>111500.0</v>
      </c>
      <c r="P380" s="34" t="s">
        <v>50</v>
      </c>
      <c r="Q380" s="33" t="n">
        <f>114600</f>
        <v>114600.0</v>
      </c>
      <c r="R380" s="34" t="s">
        <v>51</v>
      </c>
      <c r="S380" s="35" t="n">
        <f>114345</f>
        <v>114345.0</v>
      </c>
      <c r="T380" s="32" t="n">
        <f>14058</f>
        <v>14058.0</v>
      </c>
      <c r="U380" s="32" t="n">
        <f>2194</f>
        <v>2194.0</v>
      </c>
      <c r="V380" s="32" t="n">
        <f>1608171696</f>
        <v>1.608171696E9</v>
      </c>
      <c r="W380" s="32" t="n">
        <f>250729396</f>
        <v>2.50729396E8</v>
      </c>
      <c r="X380" s="36" t="n">
        <f>20</f>
        <v>20.0</v>
      </c>
    </row>
    <row r="381">
      <c r="A381" s="27" t="s">
        <v>42</v>
      </c>
      <c r="B381" s="27" t="s">
        <v>1184</v>
      </c>
      <c r="C381" s="27" t="s">
        <v>1185</v>
      </c>
      <c r="D381" s="27" t="s">
        <v>1186</v>
      </c>
      <c r="E381" s="28" t="s">
        <v>46</v>
      </c>
      <c r="F381" s="29" t="s">
        <v>46</v>
      </c>
      <c r="G381" s="30" t="s">
        <v>46</v>
      </c>
      <c r="H381" s="31"/>
      <c r="I381" s="31" t="s">
        <v>416</v>
      </c>
      <c r="J381" s="32" t="n">
        <v>1.0</v>
      </c>
      <c r="K381" s="33" t="n">
        <f>83800</f>
        <v>83800.0</v>
      </c>
      <c r="L381" s="34" t="s">
        <v>48</v>
      </c>
      <c r="M381" s="33" t="n">
        <f>88000</f>
        <v>88000.0</v>
      </c>
      <c r="N381" s="34" t="s">
        <v>72</v>
      </c>
      <c r="O381" s="33" t="n">
        <f>80900</f>
        <v>80900.0</v>
      </c>
      <c r="P381" s="34" t="s">
        <v>50</v>
      </c>
      <c r="Q381" s="33" t="n">
        <f>85200</f>
        <v>85200.0</v>
      </c>
      <c r="R381" s="34" t="s">
        <v>51</v>
      </c>
      <c r="S381" s="35" t="n">
        <f>84510</f>
        <v>84510.0</v>
      </c>
      <c r="T381" s="32" t="n">
        <f>39767</f>
        <v>39767.0</v>
      </c>
      <c r="U381" s="32" t="n">
        <f>8498</f>
        <v>8498.0</v>
      </c>
      <c r="V381" s="32" t="n">
        <f>3351611293</f>
        <v>3.351611293E9</v>
      </c>
      <c r="W381" s="32" t="n">
        <f>714948693</f>
        <v>7.14948693E8</v>
      </c>
      <c r="X381" s="36" t="n">
        <f>20</f>
        <v>20.0</v>
      </c>
    </row>
    <row r="382">
      <c r="A382" s="27" t="s">
        <v>42</v>
      </c>
      <c r="B382" s="27" t="s">
        <v>1187</v>
      </c>
      <c r="C382" s="27" t="s">
        <v>1188</v>
      </c>
      <c r="D382" s="27" t="s">
        <v>1189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107400</f>
        <v>107400.0</v>
      </c>
      <c r="L382" s="34" t="s">
        <v>48</v>
      </c>
      <c r="M382" s="33" t="n">
        <f>111400</f>
        <v>111400.0</v>
      </c>
      <c r="N382" s="34" t="s">
        <v>72</v>
      </c>
      <c r="O382" s="33" t="n">
        <f>105000</f>
        <v>105000.0</v>
      </c>
      <c r="P382" s="34" t="s">
        <v>50</v>
      </c>
      <c r="Q382" s="33" t="n">
        <f>108500</f>
        <v>108500.0</v>
      </c>
      <c r="R382" s="34" t="s">
        <v>51</v>
      </c>
      <c r="S382" s="35" t="n">
        <f>108070</f>
        <v>108070.0</v>
      </c>
      <c r="T382" s="32" t="n">
        <f>43939</f>
        <v>43939.0</v>
      </c>
      <c r="U382" s="32" t="n">
        <f>7744</f>
        <v>7744.0</v>
      </c>
      <c r="V382" s="32" t="n">
        <f>4741103508</f>
        <v>4.741103508E9</v>
      </c>
      <c r="W382" s="32" t="n">
        <f>835811408</f>
        <v>8.35811408E8</v>
      </c>
      <c r="X382" s="36" t="n">
        <f>20</f>
        <v>20.0</v>
      </c>
    </row>
    <row r="383">
      <c r="A383" s="27" t="s">
        <v>42</v>
      </c>
      <c r="B383" s="27" t="s">
        <v>1190</v>
      </c>
      <c r="C383" s="27" t="s">
        <v>1191</v>
      </c>
      <c r="D383" s="27" t="s">
        <v>1192</v>
      </c>
      <c r="E383" s="28" t="s">
        <v>46</v>
      </c>
      <c r="F383" s="29" t="s">
        <v>46</v>
      </c>
      <c r="G383" s="30" t="s">
        <v>46</v>
      </c>
      <c r="H383" s="31"/>
      <c r="I383" s="31" t="s">
        <v>416</v>
      </c>
      <c r="J383" s="32" t="n">
        <v>1.0</v>
      </c>
      <c r="K383" s="33" t="n">
        <f>103400</f>
        <v>103400.0</v>
      </c>
      <c r="L383" s="34" t="s">
        <v>48</v>
      </c>
      <c r="M383" s="33" t="n">
        <f>106900</f>
        <v>106900.0</v>
      </c>
      <c r="N383" s="34" t="s">
        <v>72</v>
      </c>
      <c r="O383" s="33" t="n">
        <f>101200</f>
        <v>101200.0</v>
      </c>
      <c r="P383" s="34" t="s">
        <v>50</v>
      </c>
      <c r="Q383" s="33" t="n">
        <f>105100</f>
        <v>105100.0</v>
      </c>
      <c r="R383" s="34" t="s">
        <v>51</v>
      </c>
      <c r="S383" s="35" t="n">
        <f>103870</f>
        <v>103870.0</v>
      </c>
      <c r="T383" s="32" t="n">
        <f>31954</f>
        <v>31954.0</v>
      </c>
      <c r="U383" s="32" t="n">
        <f>2650</f>
        <v>2650.0</v>
      </c>
      <c r="V383" s="32" t="n">
        <f>3314561503</f>
        <v>3.314561503E9</v>
      </c>
      <c r="W383" s="32" t="n">
        <f>275299203</f>
        <v>2.75299203E8</v>
      </c>
      <c r="X383" s="36" t="n">
        <f>20</f>
        <v>20.0</v>
      </c>
    </row>
    <row r="384">
      <c r="A384" s="27" t="s">
        <v>42</v>
      </c>
      <c r="B384" s="27" t="s">
        <v>1193</v>
      </c>
      <c r="C384" s="27" t="s">
        <v>1194</v>
      </c>
      <c r="D384" s="27" t="s">
        <v>1195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10.0</v>
      </c>
      <c r="K384" s="33" t="n">
        <f>192.1</f>
        <v>192.1</v>
      </c>
      <c r="L384" s="34" t="s">
        <v>48</v>
      </c>
      <c r="M384" s="33" t="n">
        <f>192.2</f>
        <v>192.2</v>
      </c>
      <c r="N384" s="34" t="s">
        <v>48</v>
      </c>
      <c r="O384" s="33" t="n">
        <f>169.5</f>
        <v>169.5</v>
      </c>
      <c r="P384" s="34" t="s">
        <v>50</v>
      </c>
      <c r="Q384" s="33" t="n">
        <f>172.6</f>
        <v>172.6</v>
      </c>
      <c r="R384" s="34" t="s">
        <v>51</v>
      </c>
      <c r="S384" s="35" t="n">
        <f>179.54</f>
        <v>179.54</v>
      </c>
      <c r="T384" s="32" t="n">
        <f>9175540</f>
        <v>9175540.0</v>
      </c>
      <c r="U384" s="32" t="n">
        <f>2290</f>
        <v>2290.0</v>
      </c>
      <c r="V384" s="32" t="n">
        <f>1628256754</f>
        <v>1.628256754E9</v>
      </c>
      <c r="W384" s="32" t="n">
        <f>399167</f>
        <v>399167.0</v>
      </c>
      <c r="X384" s="36" t="n">
        <f>20</f>
        <v>20.0</v>
      </c>
    </row>
    <row r="385">
      <c r="A385" s="27" t="s">
        <v>42</v>
      </c>
      <c r="B385" s="27" t="s">
        <v>1196</v>
      </c>
      <c r="C385" s="27" t="s">
        <v>1197</v>
      </c>
      <c r="D385" s="27" t="s">
        <v>1198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206.9</f>
        <v>206.9</v>
      </c>
      <c r="L385" s="34" t="s">
        <v>48</v>
      </c>
      <c r="M385" s="33" t="n">
        <f>221.5</f>
        <v>221.5</v>
      </c>
      <c r="N385" s="34" t="s">
        <v>51</v>
      </c>
      <c r="O385" s="33" t="n">
        <f>201.1</f>
        <v>201.1</v>
      </c>
      <c r="P385" s="34" t="s">
        <v>50</v>
      </c>
      <c r="Q385" s="33" t="n">
        <f>221.4</f>
        <v>221.4</v>
      </c>
      <c r="R385" s="34" t="s">
        <v>51</v>
      </c>
      <c r="S385" s="35" t="n">
        <f>211.61</f>
        <v>211.61</v>
      </c>
      <c r="T385" s="32" t="n">
        <f>12075780</f>
        <v>1.207578E7</v>
      </c>
      <c r="U385" s="32" t="n">
        <f>270</f>
        <v>270.0</v>
      </c>
      <c r="V385" s="32" t="n">
        <f>2564800990</f>
        <v>2.56480099E9</v>
      </c>
      <c r="W385" s="32" t="n">
        <f>55604</f>
        <v>55604.0</v>
      </c>
      <c r="X385" s="36" t="n">
        <f>20</f>
        <v>20.0</v>
      </c>
    </row>
    <row r="386">
      <c r="A386" s="27" t="s">
        <v>42</v>
      </c>
      <c r="B386" s="27" t="s">
        <v>1199</v>
      </c>
      <c r="C386" s="27" t="s">
        <v>1200</v>
      </c>
      <c r="D386" s="27" t="s">
        <v>1201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1019</f>
        <v>1019.0</v>
      </c>
      <c r="L386" s="34" t="s">
        <v>48</v>
      </c>
      <c r="M386" s="33" t="n">
        <f>1119</f>
        <v>1119.0</v>
      </c>
      <c r="N386" s="34" t="s">
        <v>155</v>
      </c>
      <c r="O386" s="33" t="n">
        <f>945</f>
        <v>945.0</v>
      </c>
      <c r="P386" s="34" t="s">
        <v>50</v>
      </c>
      <c r="Q386" s="33" t="n">
        <f>1040</f>
        <v>1040.0</v>
      </c>
      <c r="R386" s="34" t="s">
        <v>51</v>
      </c>
      <c r="S386" s="35" t="n">
        <f>1042.75</f>
        <v>1042.75</v>
      </c>
      <c r="T386" s="32" t="n">
        <f>1022961</f>
        <v>1022961.0</v>
      </c>
      <c r="U386" s="32" t="n">
        <f>230010</f>
        <v>230010.0</v>
      </c>
      <c r="V386" s="32" t="n">
        <f>1032799884</f>
        <v>1.032799884E9</v>
      </c>
      <c r="W386" s="32" t="n">
        <f>222644488</f>
        <v>2.22644488E8</v>
      </c>
      <c r="X386" s="36" t="n">
        <f>20</f>
        <v>20.0</v>
      </c>
    </row>
    <row r="387">
      <c r="A387" s="27" t="s">
        <v>42</v>
      </c>
      <c r="B387" s="27" t="s">
        <v>1202</v>
      </c>
      <c r="C387" s="27" t="s">
        <v>1203</v>
      </c>
      <c r="D387" s="27" t="s">
        <v>1204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1807</f>
        <v>1807.0</v>
      </c>
      <c r="L387" s="34" t="s">
        <v>48</v>
      </c>
      <c r="M387" s="33" t="n">
        <f>1810</f>
        <v>1810.0</v>
      </c>
      <c r="N387" s="34" t="s">
        <v>48</v>
      </c>
      <c r="O387" s="33" t="n">
        <f>1537</f>
        <v>1537.0</v>
      </c>
      <c r="P387" s="34" t="s">
        <v>50</v>
      </c>
      <c r="Q387" s="33" t="n">
        <f>1574</f>
        <v>1574.0</v>
      </c>
      <c r="R387" s="34" t="s">
        <v>51</v>
      </c>
      <c r="S387" s="35" t="n">
        <f>1677.5</f>
        <v>1677.5</v>
      </c>
      <c r="T387" s="32" t="n">
        <f>17164302</f>
        <v>1.7164302E7</v>
      </c>
      <c r="U387" s="32" t="n">
        <f>4842</f>
        <v>4842.0</v>
      </c>
      <c r="V387" s="32" t="n">
        <f>28522832139</f>
        <v>2.8522832139E10</v>
      </c>
      <c r="W387" s="32" t="n">
        <f>7710972</f>
        <v>7710972.0</v>
      </c>
      <c r="X387" s="36" t="n">
        <f>20</f>
        <v>20.0</v>
      </c>
    </row>
    <row r="388">
      <c r="A388" s="27" t="s">
        <v>42</v>
      </c>
      <c r="B388" s="27" t="s">
        <v>1205</v>
      </c>
      <c r="C388" s="27" t="s">
        <v>1206</v>
      </c>
      <c r="D388" s="27" t="s">
        <v>1207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10.0</v>
      </c>
      <c r="K388" s="33" t="n">
        <f>909</f>
        <v>909.0</v>
      </c>
      <c r="L388" s="34" t="s">
        <v>48</v>
      </c>
      <c r="M388" s="33" t="n">
        <f>1185</f>
        <v>1185.0</v>
      </c>
      <c r="N388" s="34" t="s">
        <v>50</v>
      </c>
      <c r="O388" s="33" t="n">
        <f>893.2</f>
        <v>893.2</v>
      </c>
      <c r="P388" s="34" t="s">
        <v>49</v>
      </c>
      <c r="Q388" s="33" t="n">
        <f>1072.5</f>
        <v>1072.5</v>
      </c>
      <c r="R388" s="34" t="s">
        <v>51</v>
      </c>
      <c r="S388" s="35" t="n">
        <f>998.3</f>
        <v>998.3</v>
      </c>
      <c r="T388" s="32" t="n">
        <f>4348620</f>
        <v>4348620.0</v>
      </c>
      <c r="U388" s="32" t="n">
        <f>540</f>
        <v>540.0</v>
      </c>
      <c r="V388" s="32" t="n">
        <f>4409579745</f>
        <v>4.409579745E9</v>
      </c>
      <c r="W388" s="32" t="n">
        <f>520315</f>
        <v>520315.0</v>
      </c>
      <c r="X388" s="36" t="n">
        <f>20</f>
        <v>20.0</v>
      </c>
    </row>
    <row r="389">
      <c r="A389" s="27" t="s">
        <v>42</v>
      </c>
      <c r="B389" s="27" t="s">
        <v>1208</v>
      </c>
      <c r="C389" s="27" t="s">
        <v>1209</v>
      </c>
      <c r="D389" s="27" t="s">
        <v>1210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115700</f>
        <v>115700.0</v>
      </c>
      <c r="L389" s="34" t="s">
        <v>48</v>
      </c>
      <c r="M389" s="33" t="n">
        <f>116700</f>
        <v>116700.0</v>
      </c>
      <c r="N389" s="34" t="s">
        <v>48</v>
      </c>
      <c r="O389" s="33" t="n">
        <f>108900</f>
        <v>108900.0</v>
      </c>
      <c r="P389" s="34" t="s">
        <v>51</v>
      </c>
      <c r="Q389" s="33" t="n">
        <f>108900</f>
        <v>108900.0</v>
      </c>
      <c r="R389" s="34" t="s">
        <v>51</v>
      </c>
      <c r="S389" s="35" t="n">
        <f>113100</f>
        <v>113100.0</v>
      </c>
      <c r="T389" s="32" t="n">
        <f>142567</f>
        <v>142567.0</v>
      </c>
      <c r="U389" s="32" t="n">
        <f>31723</f>
        <v>31723.0</v>
      </c>
      <c r="V389" s="32" t="n">
        <f>16117419613</f>
        <v>1.6117419613E10</v>
      </c>
      <c r="W389" s="32" t="n">
        <f>3584453113</f>
        <v>3.584453113E9</v>
      </c>
      <c r="X389" s="36" t="n">
        <f>20</f>
        <v>20.0</v>
      </c>
    </row>
    <row r="390">
      <c r="A390" s="27" t="s">
        <v>42</v>
      </c>
      <c r="B390" s="27" t="s">
        <v>1211</v>
      </c>
      <c r="C390" s="27" t="s">
        <v>1212</v>
      </c>
      <c r="D390" s="27" t="s">
        <v>1213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133000</f>
        <v>133000.0</v>
      </c>
      <c r="L390" s="34" t="s">
        <v>48</v>
      </c>
      <c r="M390" s="33" t="n">
        <f>138600</f>
        <v>138600.0</v>
      </c>
      <c r="N390" s="34" t="s">
        <v>61</v>
      </c>
      <c r="O390" s="33" t="n">
        <f>129600</f>
        <v>129600.0</v>
      </c>
      <c r="P390" s="34" t="s">
        <v>50</v>
      </c>
      <c r="Q390" s="33" t="n">
        <f>134000</f>
        <v>134000.0</v>
      </c>
      <c r="R390" s="34" t="s">
        <v>51</v>
      </c>
      <c r="S390" s="35" t="n">
        <f>133610</f>
        <v>133610.0</v>
      </c>
      <c r="T390" s="32" t="n">
        <f>112660</f>
        <v>112660.0</v>
      </c>
      <c r="U390" s="32" t="n">
        <f>18997</f>
        <v>18997.0</v>
      </c>
      <c r="V390" s="32" t="n">
        <f>15085872214</f>
        <v>1.5085872214E10</v>
      </c>
      <c r="W390" s="32" t="n">
        <f>2543904714</f>
        <v>2.543904714E9</v>
      </c>
      <c r="X390" s="36" t="n">
        <f>20</f>
        <v>20.0</v>
      </c>
    </row>
    <row r="391">
      <c r="A391" s="27" t="s">
        <v>42</v>
      </c>
      <c r="B391" s="27" t="s">
        <v>1214</v>
      </c>
      <c r="C391" s="27" t="s">
        <v>1215</v>
      </c>
      <c r="D391" s="27" t="s">
        <v>1216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118900</f>
        <v>118900.0</v>
      </c>
      <c r="L391" s="34" t="s">
        <v>48</v>
      </c>
      <c r="M391" s="33" t="n">
        <f>119500</f>
        <v>119500.0</v>
      </c>
      <c r="N391" s="34" t="s">
        <v>155</v>
      </c>
      <c r="O391" s="33" t="n">
        <f>113900</f>
        <v>113900.0</v>
      </c>
      <c r="P391" s="34" t="s">
        <v>50</v>
      </c>
      <c r="Q391" s="33" t="n">
        <f>116200</f>
        <v>116200.0</v>
      </c>
      <c r="R391" s="34" t="s">
        <v>51</v>
      </c>
      <c r="S391" s="35" t="n">
        <f>116350</f>
        <v>116350.0</v>
      </c>
      <c r="T391" s="32" t="n">
        <f>202375</f>
        <v>202375.0</v>
      </c>
      <c r="U391" s="32" t="n">
        <f>38625</f>
        <v>38625.0</v>
      </c>
      <c r="V391" s="32" t="n">
        <f>23573721291</f>
        <v>2.3573721291E10</v>
      </c>
      <c r="W391" s="32" t="n">
        <f>4501192191</f>
        <v>4.501192191E9</v>
      </c>
      <c r="X391" s="36" t="n">
        <f>20</f>
        <v>20.0</v>
      </c>
    </row>
    <row r="392">
      <c r="A392" s="27" t="s">
        <v>42</v>
      </c>
      <c r="B392" s="27" t="s">
        <v>1217</v>
      </c>
      <c r="C392" s="27" t="s">
        <v>1218</v>
      </c>
      <c r="D392" s="27" t="s">
        <v>1219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143800</f>
        <v>143800.0</v>
      </c>
      <c r="L392" s="34" t="s">
        <v>48</v>
      </c>
      <c r="M392" s="33" t="n">
        <f>148500</f>
        <v>148500.0</v>
      </c>
      <c r="N392" s="34" t="s">
        <v>66</v>
      </c>
      <c r="O392" s="33" t="n">
        <f>140700</f>
        <v>140700.0</v>
      </c>
      <c r="P392" s="34" t="s">
        <v>159</v>
      </c>
      <c r="Q392" s="33" t="n">
        <f>143100</f>
        <v>143100.0</v>
      </c>
      <c r="R392" s="34" t="s">
        <v>51</v>
      </c>
      <c r="S392" s="35" t="n">
        <f>144550</f>
        <v>144550.0</v>
      </c>
      <c r="T392" s="32" t="n">
        <f>158944</f>
        <v>158944.0</v>
      </c>
      <c r="U392" s="32" t="n">
        <f>39578</f>
        <v>39578.0</v>
      </c>
      <c r="V392" s="32" t="n">
        <f>23016247379</f>
        <v>2.3016247379E10</v>
      </c>
      <c r="W392" s="32" t="n">
        <f>5731271179</f>
        <v>5.731271179E9</v>
      </c>
      <c r="X392" s="36" t="n">
        <f>20</f>
        <v>20.0</v>
      </c>
    </row>
    <row r="393">
      <c r="A393" s="27" t="s">
        <v>42</v>
      </c>
      <c r="B393" s="27" t="s">
        <v>1220</v>
      </c>
      <c r="C393" s="27" t="s">
        <v>1221</v>
      </c>
      <c r="D393" s="27" t="s">
        <v>1222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341000</f>
        <v>341000.0</v>
      </c>
      <c r="L393" s="34" t="s">
        <v>48</v>
      </c>
      <c r="M393" s="33" t="n">
        <f>349000</f>
        <v>349000.0</v>
      </c>
      <c r="N393" s="34" t="s">
        <v>72</v>
      </c>
      <c r="O393" s="33" t="n">
        <f>328000</f>
        <v>328000.0</v>
      </c>
      <c r="P393" s="34" t="s">
        <v>50</v>
      </c>
      <c r="Q393" s="33" t="n">
        <f>340000</f>
        <v>340000.0</v>
      </c>
      <c r="R393" s="34" t="s">
        <v>51</v>
      </c>
      <c r="S393" s="35" t="n">
        <f>336800</f>
        <v>336800.0</v>
      </c>
      <c r="T393" s="32" t="n">
        <f>53624</f>
        <v>53624.0</v>
      </c>
      <c r="U393" s="32" t="n">
        <f>11518</f>
        <v>11518.0</v>
      </c>
      <c r="V393" s="32" t="n">
        <f>18063922348</f>
        <v>1.8063922348E10</v>
      </c>
      <c r="W393" s="32" t="n">
        <f>3884745348</f>
        <v>3.884745348E9</v>
      </c>
      <c r="X393" s="36" t="n">
        <f>20</f>
        <v>20.0</v>
      </c>
    </row>
    <row r="394">
      <c r="A394" s="27" t="s">
        <v>42</v>
      </c>
      <c r="B394" s="27" t="s">
        <v>1223</v>
      </c>
      <c r="C394" s="27" t="s">
        <v>1224</v>
      </c>
      <c r="D394" s="27" t="s">
        <v>1225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125500</f>
        <v>125500.0</v>
      </c>
      <c r="L394" s="34" t="s">
        <v>48</v>
      </c>
      <c r="M394" s="33" t="n">
        <f>125500</f>
        <v>125500.0</v>
      </c>
      <c r="N394" s="34" t="s">
        <v>48</v>
      </c>
      <c r="O394" s="33" t="n">
        <f>117600</f>
        <v>117600.0</v>
      </c>
      <c r="P394" s="34" t="s">
        <v>50</v>
      </c>
      <c r="Q394" s="33" t="n">
        <f>120600</f>
        <v>120600.0</v>
      </c>
      <c r="R394" s="34" t="s">
        <v>51</v>
      </c>
      <c r="S394" s="35" t="n">
        <f>121700</f>
        <v>121700.0</v>
      </c>
      <c r="T394" s="32" t="n">
        <f>327945</f>
        <v>327945.0</v>
      </c>
      <c r="U394" s="32" t="n">
        <f>88975</f>
        <v>88975.0</v>
      </c>
      <c r="V394" s="32" t="n">
        <f>39940419534</f>
        <v>3.9940419534E10</v>
      </c>
      <c r="W394" s="32" t="n">
        <f>10834162034</f>
        <v>1.0834162034E10</v>
      </c>
      <c r="X394" s="36" t="n">
        <f>20</f>
        <v>20.0</v>
      </c>
    </row>
    <row r="395">
      <c r="A395" s="27" t="s">
        <v>42</v>
      </c>
      <c r="B395" s="27" t="s">
        <v>1226</v>
      </c>
      <c r="C395" s="27" t="s">
        <v>1227</v>
      </c>
      <c r="D395" s="27" t="s">
        <v>1228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268500</f>
        <v>268500.0</v>
      </c>
      <c r="L395" s="34" t="s">
        <v>48</v>
      </c>
      <c r="M395" s="33" t="n">
        <f>278400</f>
        <v>278400.0</v>
      </c>
      <c r="N395" s="34" t="s">
        <v>61</v>
      </c>
      <c r="O395" s="33" t="n">
        <f>263300</f>
        <v>263300.0</v>
      </c>
      <c r="P395" s="34" t="s">
        <v>159</v>
      </c>
      <c r="Q395" s="33" t="n">
        <f>264100</f>
        <v>264100.0</v>
      </c>
      <c r="R395" s="34" t="s">
        <v>51</v>
      </c>
      <c r="S395" s="35" t="n">
        <f>269965</f>
        <v>269965.0</v>
      </c>
      <c r="T395" s="32" t="n">
        <f>57603</f>
        <v>57603.0</v>
      </c>
      <c r="U395" s="32" t="n">
        <f>13797</f>
        <v>13797.0</v>
      </c>
      <c r="V395" s="32" t="n">
        <f>15548495078</f>
        <v>1.5548495078E10</v>
      </c>
      <c r="W395" s="32" t="n">
        <f>3727140478</f>
        <v>3.727140478E9</v>
      </c>
      <c r="X395" s="36" t="n">
        <f>20</f>
        <v>20.0</v>
      </c>
    </row>
    <row r="396">
      <c r="A396" s="27" t="s">
        <v>42</v>
      </c>
      <c r="B396" s="27" t="s">
        <v>1229</v>
      </c>
      <c r="C396" s="27" t="s">
        <v>1230</v>
      </c>
      <c r="D396" s="27" t="s">
        <v>1231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237800</f>
        <v>237800.0</v>
      </c>
      <c r="L396" s="34" t="s">
        <v>48</v>
      </c>
      <c r="M396" s="33" t="n">
        <f>240300</f>
        <v>240300.0</v>
      </c>
      <c r="N396" s="34" t="s">
        <v>62</v>
      </c>
      <c r="O396" s="33" t="n">
        <f>228100</f>
        <v>228100.0</v>
      </c>
      <c r="P396" s="34" t="s">
        <v>304</v>
      </c>
      <c r="Q396" s="33" t="n">
        <f>231600</f>
        <v>231600.0</v>
      </c>
      <c r="R396" s="34" t="s">
        <v>51</v>
      </c>
      <c r="S396" s="35" t="n">
        <f>234365</f>
        <v>234365.0</v>
      </c>
      <c r="T396" s="32" t="n">
        <f>185227</f>
        <v>185227.0</v>
      </c>
      <c r="U396" s="32" t="n">
        <f>44078</f>
        <v>44078.0</v>
      </c>
      <c r="V396" s="32" t="n">
        <f>43464697918</f>
        <v>4.3464697918E10</v>
      </c>
      <c r="W396" s="32" t="n">
        <f>10335728518</f>
        <v>1.0335728518E10</v>
      </c>
      <c r="X396" s="36" t="n">
        <f>20</f>
        <v>20.0</v>
      </c>
    </row>
    <row r="397">
      <c r="A397" s="27" t="s">
        <v>42</v>
      </c>
      <c r="B397" s="27" t="s">
        <v>1232</v>
      </c>
      <c r="C397" s="27" t="s">
        <v>1233</v>
      </c>
      <c r="D397" s="27" t="s">
        <v>1234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205600</f>
        <v>205600.0</v>
      </c>
      <c r="L397" s="34" t="s">
        <v>48</v>
      </c>
      <c r="M397" s="33" t="n">
        <f>209200</f>
        <v>209200.0</v>
      </c>
      <c r="N397" s="34" t="s">
        <v>66</v>
      </c>
      <c r="O397" s="33" t="n">
        <f>196500</f>
        <v>196500.0</v>
      </c>
      <c r="P397" s="34" t="s">
        <v>304</v>
      </c>
      <c r="Q397" s="33" t="n">
        <f>202700</f>
        <v>202700.0</v>
      </c>
      <c r="R397" s="34" t="s">
        <v>51</v>
      </c>
      <c r="S397" s="35" t="n">
        <f>202090</f>
        <v>202090.0</v>
      </c>
      <c r="T397" s="32" t="n">
        <f>60605</f>
        <v>60605.0</v>
      </c>
      <c r="U397" s="32" t="n">
        <f>12614</f>
        <v>12614.0</v>
      </c>
      <c r="V397" s="32" t="n">
        <f>12224110870</f>
        <v>1.222411087E10</v>
      </c>
      <c r="W397" s="32" t="n">
        <f>2540156770</f>
        <v>2.54015677E9</v>
      </c>
      <c r="X397" s="36" t="n">
        <f>20</f>
        <v>20.0</v>
      </c>
    </row>
    <row r="398">
      <c r="A398" s="27" t="s">
        <v>42</v>
      </c>
      <c r="B398" s="27" t="s">
        <v>1235</v>
      </c>
      <c r="C398" s="27" t="s">
        <v>1236</v>
      </c>
      <c r="D398" s="27" t="s">
        <v>1237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1011</f>
        <v>1011.0</v>
      </c>
      <c r="L398" s="34" t="s">
        <v>48</v>
      </c>
      <c r="M398" s="33" t="n">
        <f>1095</f>
        <v>1095.0</v>
      </c>
      <c r="N398" s="34" t="s">
        <v>70</v>
      </c>
      <c r="O398" s="33" t="n">
        <f>1003</f>
        <v>1003.0</v>
      </c>
      <c r="P398" s="34" t="s">
        <v>62</v>
      </c>
      <c r="Q398" s="33" t="n">
        <f>1023</f>
        <v>1023.0</v>
      </c>
      <c r="R398" s="34" t="s">
        <v>51</v>
      </c>
      <c r="S398" s="35" t="n">
        <f>1035.4</f>
        <v>1035.4</v>
      </c>
      <c r="T398" s="32" t="n">
        <f>42154</f>
        <v>42154.0</v>
      </c>
      <c r="U398" s="32" t="str">
        <f>"－"</f>
        <v>－</v>
      </c>
      <c r="V398" s="32" t="n">
        <f>44070128</f>
        <v>4.4070128E7</v>
      </c>
      <c r="W398" s="32" t="str">
        <f>"－"</f>
        <v>－</v>
      </c>
      <c r="X398" s="36" t="n">
        <f>20</f>
        <v>20.0</v>
      </c>
    </row>
    <row r="399">
      <c r="A399" s="27" t="s">
        <v>42</v>
      </c>
      <c r="B399" s="27" t="s">
        <v>1238</v>
      </c>
      <c r="C399" s="27" t="s">
        <v>1239</v>
      </c>
      <c r="D399" s="27" t="s">
        <v>1240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237000</f>
        <v>237000.0</v>
      </c>
      <c r="L399" s="34" t="s">
        <v>48</v>
      </c>
      <c r="M399" s="33" t="n">
        <f>249500</f>
        <v>249500.0</v>
      </c>
      <c r="N399" s="34" t="s">
        <v>72</v>
      </c>
      <c r="O399" s="33" t="n">
        <f>231500</f>
        <v>231500.0</v>
      </c>
      <c r="P399" s="34" t="s">
        <v>50</v>
      </c>
      <c r="Q399" s="33" t="n">
        <f>243400</f>
        <v>243400.0</v>
      </c>
      <c r="R399" s="34" t="s">
        <v>51</v>
      </c>
      <c r="S399" s="35" t="n">
        <f>240085</f>
        <v>240085.0</v>
      </c>
      <c r="T399" s="32" t="n">
        <f>20188</f>
        <v>20188.0</v>
      </c>
      <c r="U399" s="32" t="n">
        <f>3040</f>
        <v>3040.0</v>
      </c>
      <c r="V399" s="32" t="n">
        <f>4850272026</f>
        <v>4.850272026E9</v>
      </c>
      <c r="W399" s="32" t="n">
        <f>731864926</f>
        <v>7.31864926E8</v>
      </c>
      <c r="X399" s="36" t="n">
        <f>20</f>
        <v>20.0</v>
      </c>
    </row>
    <row r="400">
      <c r="A400" s="27" t="s">
        <v>42</v>
      </c>
      <c r="B400" s="27" t="s">
        <v>1241</v>
      </c>
      <c r="C400" s="27" t="s">
        <v>1242</v>
      </c>
      <c r="D400" s="27" t="s">
        <v>1243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127800</f>
        <v>127800.0</v>
      </c>
      <c r="L400" s="34" t="s">
        <v>48</v>
      </c>
      <c r="M400" s="33" t="n">
        <f>127800</f>
        <v>127800.0</v>
      </c>
      <c r="N400" s="34" t="s">
        <v>48</v>
      </c>
      <c r="O400" s="33" t="n">
        <f>121400</f>
        <v>121400.0</v>
      </c>
      <c r="P400" s="34" t="s">
        <v>304</v>
      </c>
      <c r="Q400" s="33" t="n">
        <f>123800</f>
        <v>123800.0</v>
      </c>
      <c r="R400" s="34" t="s">
        <v>51</v>
      </c>
      <c r="S400" s="35" t="n">
        <f>123930</f>
        <v>123930.0</v>
      </c>
      <c r="T400" s="32" t="n">
        <f>113402</f>
        <v>113402.0</v>
      </c>
      <c r="U400" s="32" t="n">
        <f>29347</f>
        <v>29347.0</v>
      </c>
      <c r="V400" s="32" t="n">
        <f>14060599717</f>
        <v>1.4060599717E10</v>
      </c>
      <c r="W400" s="32" t="n">
        <f>3639124317</f>
        <v>3.639124317E9</v>
      </c>
      <c r="X400" s="36" t="n">
        <f>20</f>
        <v>20.0</v>
      </c>
    </row>
    <row r="401">
      <c r="A401" s="27" t="s">
        <v>42</v>
      </c>
      <c r="B401" s="27" t="s">
        <v>1244</v>
      </c>
      <c r="C401" s="27" t="s">
        <v>1245</v>
      </c>
      <c r="D401" s="27" t="s">
        <v>1246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145500</f>
        <v>145500.0</v>
      </c>
      <c r="L401" s="34" t="s">
        <v>48</v>
      </c>
      <c r="M401" s="33" t="n">
        <f>146200</f>
        <v>146200.0</v>
      </c>
      <c r="N401" s="34" t="s">
        <v>85</v>
      </c>
      <c r="O401" s="33" t="n">
        <f>138000</f>
        <v>138000.0</v>
      </c>
      <c r="P401" s="34" t="s">
        <v>50</v>
      </c>
      <c r="Q401" s="33" t="n">
        <f>143300</f>
        <v>143300.0</v>
      </c>
      <c r="R401" s="34" t="s">
        <v>51</v>
      </c>
      <c r="S401" s="35" t="n">
        <f>142340</f>
        <v>142340.0</v>
      </c>
      <c r="T401" s="32" t="n">
        <f>81559</f>
        <v>81559.0</v>
      </c>
      <c r="U401" s="32" t="n">
        <f>17397</f>
        <v>17397.0</v>
      </c>
      <c r="V401" s="32" t="n">
        <f>11610733207</f>
        <v>1.1610733207E10</v>
      </c>
      <c r="W401" s="32" t="n">
        <f>2481692607</f>
        <v>2.481692607E9</v>
      </c>
      <c r="X401" s="36" t="n">
        <f>20</f>
        <v>20.0</v>
      </c>
    </row>
    <row r="402">
      <c r="A402" s="27" t="s">
        <v>42</v>
      </c>
      <c r="B402" s="27" t="s">
        <v>1247</v>
      </c>
      <c r="C402" s="27" t="s">
        <v>1248</v>
      </c>
      <c r="D402" s="27" t="s">
        <v>1249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83300</f>
        <v>83300.0</v>
      </c>
      <c r="L402" s="34" t="s">
        <v>48</v>
      </c>
      <c r="M402" s="33" t="n">
        <f>85900</f>
        <v>85900.0</v>
      </c>
      <c r="N402" s="34" t="s">
        <v>72</v>
      </c>
      <c r="O402" s="33" t="n">
        <f>79300</f>
        <v>79300.0</v>
      </c>
      <c r="P402" s="34" t="s">
        <v>50</v>
      </c>
      <c r="Q402" s="33" t="n">
        <f>82800</f>
        <v>82800.0</v>
      </c>
      <c r="R402" s="34" t="s">
        <v>51</v>
      </c>
      <c r="S402" s="35" t="n">
        <f>82020</f>
        <v>82020.0</v>
      </c>
      <c r="T402" s="32" t="n">
        <f>117521</f>
        <v>117521.0</v>
      </c>
      <c r="U402" s="32" t="n">
        <f>27934</f>
        <v>27934.0</v>
      </c>
      <c r="V402" s="32" t="n">
        <f>9647981763</f>
        <v>9.647981763E9</v>
      </c>
      <c r="W402" s="32" t="n">
        <f>2291246863</f>
        <v>2.291246863E9</v>
      </c>
      <c r="X402" s="36" t="n">
        <f>20</f>
        <v>20.0</v>
      </c>
    </row>
    <row r="403">
      <c r="A403" s="27" t="s">
        <v>42</v>
      </c>
      <c r="B403" s="27" t="s">
        <v>1250</v>
      </c>
      <c r="C403" s="27" t="s">
        <v>1251</v>
      </c>
      <c r="D403" s="27" t="s">
        <v>1252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78200</f>
        <v>78200.0</v>
      </c>
      <c r="L403" s="34" t="s">
        <v>48</v>
      </c>
      <c r="M403" s="33" t="n">
        <f>81100</f>
        <v>81100.0</v>
      </c>
      <c r="N403" s="34" t="s">
        <v>72</v>
      </c>
      <c r="O403" s="33" t="n">
        <f>75100</f>
        <v>75100.0</v>
      </c>
      <c r="P403" s="34" t="s">
        <v>50</v>
      </c>
      <c r="Q403" s="33" t="n">
        <f>79700</f>
        <v>79700.0</v>
      </c>
      <c r="R403" s="34" t="s">
        <v>51</v>
      </c>
      <c r="S403" s="35" t="n">
        <f>78280</f>
        <v>78280.0</v>
      </c>
      <c r="T403" s="32" t="n">
        <f>226256</f>
        <v>226256.0</v>
      </c>
      <c r="U403" s="32" t="n">
        <f>61021</f>
        <v>61021.0</v>
      </c>
      <c r="V403" s="32" t="n">
        <f>17766155423</f>
        <v>1.7766155423E10</v>
      </c>
      <c r="W403" s="32" t="n">
        <f>4800598823</f>
        <v>4.800598823E9</v>
      </c>
      <c r="X403" s="36" t="n">
        <f>20</f>
        <v>20.0</v>
      </c>
    </row>
    <row r="404">
      <c r="A404" s="27" t="s">
        <v>42</v>
      </c>
      <c r="B404" s="27" t="s">
        <v>1253</v>
      </c>
      <c r="C404" s="27" t="s">
        <v>1254</v>
      </c>
      <c r="D404" s="27" t="s">
        <v>1255</v>
      </c>
      <c r="E404" s="28" t="s">
        <v>46</v>
      </c>
      <c r="F404" s="29" t="s">
        <v>46</v>
      </c>
      <c r="G404" s="30" t="s">
        <v>46</v>
      </c>
      <c r="H404" s="31"/>
      <c r="I404" s="31" t="s">
        <v>416</v>
      </c>
      <c r="J404" s="32" t="n">
        <v>1.0</v>
      </c>
      <c r="K404" s="33" t="n">
        <f>131500</f>
        <v>131500.0</v>
      </c>
      <c r="L404" s="34" t="s">
        <v>48</v>
      </c>
      <c r="M404" s="33" t="n">
        <f>134000</f>
        <v>134000.0</v>
      </c>
      <c r="N404" s="34" t="s">
        <v>72</v>
      </c>
      <c r="O404" s="33" t="n">
        <f>127100</f>
        <v>127100.0</v>
      </c>
      <c r="P404" s="34" t="s">
        <v>304</v>
      </c>
      <c r="Q404" s="33" t="n">
        <f>130700</f>
        <v>130700.0</v>
      </c>
      <c r="R404" s="34" t="s">
        <v>51</v>
      </c>
      <c r="S404" s="35" t="n">
        <f>129725</f>
        <v>129725.0</v>
      </c>
      <c r="T404" s="32" t="n">
        <f>16712</f>
        <v>16712.0</v>
      </c>
      <c r="U404" s="32" t="n">
        <f>2251</f>
        <v>2251.0</v>
      </c>
      <c r="V404" s="32" t="n">
        <f>2175716765</f>
        <v>2.175716765E9</v>
      </c>
      <c r="W404" s="32" t="n">
        <f>292367365</f>
        <v>2.92367365E8</v>
      </c>
      <c r="X404" s="36" t="n">
        <f>20</f>
        <v>20.0</v>
      </c>
    </row>
    <row r="405">
      <c r="A405" s="27" t="s">
        <v>42</v>
      </c>
      <c r="B405" s="27" t="s">
        <v>1256</v>
      </c>
      <c r="C405" s="27" t="s">
        <v>1257</v>
      </c>
      <c r="D405" s="27" t="s">
        <v>1258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108600</f>
        <v>108600.0</v>
      </c>
      <c r="L405" s="34" t="s">
        <v>48</v>
      </c>
      <c r="M405" s="33" t="n">
        <f>111200</f>
        <v>111200.0</v>
      </c>
      <c r="N405" s="34" t="s">
        <v>72</v>
      </c>
      <c r="O405" s="33" t="n">
        <f>105300</f>
        <v>105300.0</v>
      </c>
      <c r="P405" s="34" t="s">
        <v>50</v>
      </c>
      <c r="Q405" s="33" t="n">
        <f>108700</f>
        <v>108700.0</v>
      </c>
      <c r="R405" s="34" t="s">
        <v>51</v>
      </c>
      <c r="S405" s="35" t="n">
        <f>108000</f>
        <v>108000.0</v>
      </c>
      <c r="T405" s="32" t="n">
        <f>16974</f>
        <v>16974.0</v>
      </c>
      <c r="U405" s="32" t="n">
        <f>3040</f>
        <v>3040.0</v>
      </c>
      <c r="V405" s="32" t="n">
        <f>1836011553</f>
        <v>1.836011553E9</v>
      </c>
      <c r="W405" s="32" t="n">
        <f>328422253</f>
        <v>3.28422253E8</v>
      </c>
      <c r="X405" s="36" t="n">
        <f>20</f>
        <v>20.0</v>
      </c>
    </row>
    <row r="406">
      <c r="A406" s="27" t="s">
        <v>42</v>
      </c>
      <c r="B406" s="27" t="s">
        <v>1259</v>
      </c>
      <c r="C406" s="27" t="s">
        <v>1260</v>
      </c>
      <c r="D406" s="27" t="s">
        <v>1261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93700</f>
        <v>93700.0</v>
      </c>
      <c r="L406" s="34" t="s">
        <v>48</v>
      </c>
      <c r="M406" s="33" t="n">
        <f>95200</f>
        <v>95200.0</v>
      </c>
      <c r="N406" s="34" t="s">
        <v>51</v>
      </c>
      <c r="O406" s="33" t="n">
        <f>90800</f>
        <v>90800.0</v>
      </c>
      <c r="P406" s="34" t="s">
        <v>304</v>
      </c>
      <c r="Q406" s="33" t="n">
        <f>93100</f>
        <v>93100.0</v>
      </c>
      <c r="R406" s="34" t="s">
        <v>51</v>
      </c>
      <c r="S406" s="35" t="n">
        <f>92765</f>
        <v>92765.0</v>
      </c>
      <c r="T406" s="32" t="n">
        <f>22496</f>
        <v>22496.0</v>
      </c>
      <c r="U406" s="32" t="n">
        <f>3201</f>
        <v>3201.0</v>
      </c>
      <c r="V406" s="32" t="n">
        <f>2088813419</f>
        <v>2.088813419E9</v>
      </c>
      <c r="W406" s="32" t="n">
        <f>297341819</f>
        <v>2.97341819E8</v>
      </c>
      <c r="X406" s="36" t="n">
        <f>20</f>
        <v>20.0</v>
      </c>
    </row>
    <row r="407">
      <c r="A407" s="27" t="s">
        <v>42</v>
      </c>
      <c r="B407" s="27" t="s">
        <v>1262</v>
      </c>
      <c r="C407" s="27" t="s">
        <v>1263</v>
      </c>
      <c r="D407" s="27" t="s">
        <v>1264</v>
      </c>
      <c r="E407" s="28" t="s">
        <v>1265</v>
      </c>
      <c r="F407" s="29" t="s">
        <v>1266</v>
      </c>
      <c r="G407" s="30" t="s">
        <v>1267</v>
      </c>
      <c r="H407" s="31"/>
      <c r="I407" s="31" t="s">
        <v>416</v>
      </c>
      <c r="J407" s="32" t="n">
        <v>1.0</v>
      </c>
      <c r="K407" s="33" t="n">
        <f>10140</f>
        <v>10140.0</v>
      </c>
      <c r="L407" s="34" t="s">
        <v>155</v>
      </c>
      <c r="M407" s="33" t="n">
        <f>10250</f>
        <v>10250.0</v>
      </c>
      <c r="N407" s="34" t="s">
        <v>155</v>
      </c>
      <c r="O407" s="33" t="n">
        <f>9800</f>
        <v>9800.0</v>
      </c>
      <c r="P407" s="34" t="s">
        <v>51</v>
      </c>
      <c r="Q407" s="33" t="n">
        <f>9887</f>
        <v>9887.0</v>
      </c>
      <c r="R407" s="34" t="s">
        <v>51</v>
      </c>
      <c r="S407" s="35" t="n">
        <f>10118.86</f>
        <v>10118.86</v>
      </c>
      <c r="T407" s="32" t="n">
        <f>18570</f>
        <v>18570.0</v>
      </c>
      <c r="U407" s="32" t="str">
        <f>"－"</f>
        <v>－</v>
      </c>
      <c r="V407" s="32" t="n">
        <f>188011911</f>
        <v>1.88011911E8</v>
      </c>
      <c r="W407" s="32" t="str">
        <f>"－"</f>
        <v>－</v>
      </c>
      <c r="X407" s="36" t="n">
        <f>7</f>
        <v>7.0</v>
      </c>
    </row>
    <row r="408">
      <c r="A408" s="27" t="s">
        <v>42</v>
      </c>
      <c r="B408" s="27" t="s">
        <v>1268</v>
      </c>
      <c r="C408" s="27" t="s">
        <v>1269</v>
      </c>
      <c r="D408" s="27" t="s">
        <v>1270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140900</f>
        <v>140900.0</v>
      </c>
      <c r="L408" s="34" t="s">
        <v>48</v>
      </c>
      <c r="M408" s="33" t="n">
        <f>146400</f>
        <v>146400.0</v>
      </c>
      <c r="N408" s="34" t="s">
        <v>72</v>
      </c>
      <c r="O408" s="33" t="n">
        <f>136300</f>
        <v>136300.0</v>
      </c>
      <c r="P408" s="34" t="s">
        <v>50</v>
      </c>
      <c r="Q408" s="33" t="n">
        <f>142500</f>
        <v>142500.0</v>
      </c>
      <c r="R408" s="34" t="s">
        <v>51</v>
      </c>
      <c r="S408" s="35" t="n">
        <f>141340</f>
        <v>141340.0</v>
      </c>
      <c r="T408" s="32" t="n">
        <f>228754</f>
        <v>228754.0</v>
      </c>
      <c r="U408" s="32" t="n">
        <f>52248</f>
        <v>52248.0</v>
      </c>
      <c r="V408" s="32" t="n">
        <f>32311504716</f>
        <v>3.2311504716E10</v>
      </c>
      <c r="W408" s="32" t="n">
        <f>7377548416</f>
        <v>7.377548416E9</v>
      </c>
      <c r="X408" s="36" t="n">
        <f>20</f>
        <v>20.0</v>
      </c>
    </row>
    <row r="409">
      <c r="A409" s="27" t="s">
        <v>42</v>
      </c>
      <c r="B409" s="27" t="s">
        <v>1271</v>
      </c>
      <c r="C409" s="27" t="s">
        <v>1272</v>
      </c>
      <c r="D409" s="27" t="s">
        <v>1273</v>
      </c>
      <c r="E409" s="28" t="s">
        <v>46</v>
      </c>
      <c r="F409" s="29" t="s">
        <v>46</v>
      </c>
      <c r="G409" s="30" t="s">
        <v>46</v>
      </c>
      <c r="H409" s="31"/>
      <c r="I409" s="31" t="s">
        <v>416</v>
      </c>
      <c r="J409" s="32" t="n">
        <v>1.0</v>
      </c>
      <c r="K409" s="33" t="n">
        <f>122200</f>
        <v>122200.0</v>
      </c>
      <c r="L409" s="34" t="s">
        <v>48</v>
      </c>
      <c r="M409" s="33" t="n">
        <f>126800</f>
        <v>126800.0</v>
      </c>
      <c r="N409" s="34" t="s">
        <v>72</v>
      </c>
      <c r="O409" s="33" t="n">
        <f>117200</f>
        <v>117200.0</v>
      </c>
      <c r="P409" s="34" t="s">
        <v>50</v>
      </c>
      <c r="Q409" s="33" t="n">
        <f>123400</f>
        <v>123400.0</v>
      </c>
      <c r="R409" s="34" t="s">
        <v>51</v>
      </c>
      <c r="S409" s="35" t="n">
        <f>122545</f>
        <v>122545.0</v>
      </c>
      <c r="T409" s="32" t="n">
        <f>35217</f>
        <v>35217.0</v>
      </c>
      <c r="U409" s="32" t="n">
        <f>2822</f>
        <v>2822.0</v>
      </c>
      <c r="V409" s="32" t="n">
        <f>4306083744</f>
        <v>4.306083744E9</v>
      </c>
      <c r="W409" s="32" t="n">
        <f>344988344</f>
        <v>3.44988344E8</v>
      </c>
      <c r="X409" s="36" t="n">
        <f>20</f>
        <v>20.0</v>
      </c>
    </row>
    <row r="410">
      <c r="A410" s="27" t="s">
        <v>42</v>
      </c>
      <c r="B410" s="27" t="s">
        <v>1274</v>
      </c>
      <c r="C410" s="27" t="s">
        <v>1275</v>
      </c>
      <c r="D410" s="27" t="s">
        <v>1276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143100</f>
        <v>143100.0</v>
      </c>
      <c r="L410" s="34" t="s">
        <v>48</v>
      </c>
      <c r="M410" s="33" t="n">
        <f>143400</f>
        <v>143400.0</v>
      </c>
      <c r="N410" s="34" t="s">
        <v>48</v>
      </c>
      <c r="O410" s="33" t="n">
        <f>133900</f>
        <v>133900.0</v>
      </c>
      <c r="P410" s="34" t="s">
        <v>304</v>
      </c>
      <c r="Q410" s="33" t="n">
        <f>139300</f>
        <v>139300.0</v>
      </c>
      <c r="R410" s="34" t="s">
        <v>51</v>
      </c>
      <c r="S410" s="35" t="n">
        <f>138560</f>
        <v>138560.0</v>
      </c>
      <c r="T410" s="32" t="n">
        <f>138141</f>
        <v>138141.0</v>
      </c>
      <c r="U410" s="32" t="n">
        <f>33618</f>
        <v>33618.0</v>
      </c>
      <c r="V410" s="32" t="n">
        <f>19170738033</f>
        <v>1.9170738033E10</v>
      </c>
      <c r="W410" s="32" t="n">
        <f>4670315433</f>
        <v>4.670315433E9</v>
      </c>
      <c r="X410" s="36" t="n">
        <f>20</f>
        <v>20.0</v>
      </c>
    </row>
    <row r="411">
      <c r="A411" s="27" t="s">
        <v>42</v>
      </c>
      <c r="B411" s="27" t="s">
        <v>1277</v>
      </c>
      <c r="C411" s="27" t="s">
        <v>1278</v>
      </c>
      <c r="D411" s="27" t="s">
        <v>1279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52500</f>
        <v>52500.0</v>
      </c>
      <c r="L411" s="34" t="s">
        <v>48</v>
      </c>
      <c r="M411" s="33" t="n">
        <f>54900</f>
        <v>54900.0</v>
      </c>
      <c r="N411" s="34" t="s">
        <v>51</v>
      </c>
      <c r="O411" s="33" t="n">
        <f>51500</f>
        <v>51500.0</v>
      </c>
      <c r="P411" s="34" t="s">
        <v>225</v>
      </c>
      <c r="Q411" s="33" t="n">
        <f>54000</f>
        <v>54000.0</v>
      </c>
      <c r="R411" s="34" t="s">
        <v>51</v>
      </c>
      <c r="S411" s="35" t="n">
        <f>52955</f>
        <v>52955.0</v>
      </c>
      <c r="T411" s="32" t="n">
        <f>210704</f>
        <v>210704.0</v>
      </c>
      <c r="U411" s="32" t="n">
        <f>47474</f>
        <v>47474.0</v>
      </c>
      <c r="V411" s="32" t="n">
        <f>11209897349</f>
        <v>1.1209897349E10</v>
      </c>
      <c r="W411" s="32" t="n">
        <f>2528823649</f>
        <v>2.528823649E9</v>
      </c>
      <c r="X411" s="36" t="n">
        <f>20</f>
        <v>20.0</v>
      </c>
    </row>
    <row r="412">
      <c r="A412" s="27" t="s">
        <v>42</v>
      </c>
      <c r="B412" s="27" t="s">
        <v>1280</v>
      </c>
      <c r="C412" s="27" t="s">
        <v>1281</v>
      </c>
      <c r="D412" s="27" t="s">
        <v>1282</v>
      </c>
      <c r="E412" s="28" t="s">
        <v>1265</v>
      </c>
      <c r="F412" s="29" t="s">
        <v>1266</v>
      </c>
      <c r="G412" s="30" t="s">
        <v>1283</v>
      </c>
      <c r="H412" s="31"/>
      <c r="I412" s="31" t="s">
        <v>47</v>
      </c>
      <c r="J412" s="32" t="n">
        <v>1.0</v>
      </c>
      <c r="K412" s="33" t="n">
        <f>1936</f>
        <v>1936.0</v>
      </c>
      <c r="L412" s="34" t="s">
        <v>72</v>
      </c>
      <c r="M412" s="33" t="n">
        <f>1936</f>
        <v>1936.0</v>
      </c>
      <c r="N412" s="34" t="s">
        <v>72</v>
      </c>
      <c r="O412" s="33" t="n">
        <f>1763</f>
        <v>1763.0</v>
      </c>
      <c r="P412" s="34" t="s">
        <v>51</v>
      </c>
      <c r="Q412" s="33" t="n">
        <f>1784</f>
        <v>1784.0</v>
      </c>
      <c r="R412" s="34" t="s">
        <v>51</v>
      </c>
      <c r="S412" s="35" t="n">
        <f>1862</f>
        <v>1862.0</v>
      </c>
      <c r="T412" s="32" t="n">
        <f>174343</f>
        <v>174343.0</v>
      </c>
      <c r="U412" s="32" t="str">
        <f>"－"</f>
        <v>－</v>
      </c>
      <c r="V412" s="32" t="n">
        <f>311408887</f>
        <v>3.11408887E8</v>
      </c>
      <c r="W412" s="32" t="str">
        <f>"－"</f>
        <v>－</v>
      </c>
      <c r="X412" s="36" t="n">
        <f>3</f>
        <v>3.0</v>
      </c>
    </row>
    <row r="413">
      <c r="A413" s="27" t="s">
        <v>42</v>
      </c>
      <c r="B413" s="27" t="s">
        <v>1284</v>
      </c>
      <c r="C413" s="27" t="s">
        <v>1285</v>
      </c>
      <c r="D413" s="27" t="s">
        <v>1286</v>
      </c>
      <c r="E413" s="28" t="s">
        <v>46</v>
      </c>
      <c r="F413" s="29" t="s">
        <v>46</v>
      </c>
      <c r="G413" s="30" t="s">
        <v>46</v>
      </c>
      <c r="H413" s="31"/>
      <c r="I413" s="31" t="s">
        <v>416</v>
      </c>
      <c r="J413" s="32" t="n">
        <v>1.0</v>
      </c>
      <c r="K413" s="33" t="n">
        <f>103600</f>
        <v>103600.0</v>
      </c>
      <c r="L413" s="34" t="s">
        <v>48</v>
      </c>
      <c r="M413" s="33" t="n">
        <f>108100</f>
        <v>108100.0</v>
      </c>
      <c r="N413" s="34" t="s">
        <v>72</v>
      </c>
      <c r="O413" s="33" t="n">
        <f>102700</f>
        <v>102700.0</v>
      </c>
      <c r="P413" s="34" t="s">
        <v>48</v>
      </c>
      <c r="Q413" s="33" t="n">
        <f>105800</f>
        <v>105800.0</v>
      </c>
      <c r="R413" s="34" t="s">
        <v>51</v>
      </c>
      <c r="S413" s="35" t="n">
        <f>105440</f>
        <v>105440.0</v>
      </c>
      <c r="T413" s="32" t="n">
        <f>20745</f>
        <v>20745.0</v>
      </c>
      <c r="U413" s="32" t="n">
        <f>2088</f>
        <v>2088.0</v>
      </c>
      <c r="V413" s="32" t="n">
        <f>2183256486</f>
        <v>2.183256486E9</v>
      </c>
      <c r="W413" s="32" t="n">
        <f>219950686</f>
        <v>2.19950686E8</v>
      </c>
      <c r="X413" s="36" t="n">
        <f>20</f>
        <v>20.0</v>
      </c>
    </row>
    <row r="414">
      <c r="A414" s="27" t="s">
        <v>42</v>
      </c>
      <c r="B414" s="27" t="s">
        <v>1287</v>
      </c>
      <c r="C414" s="27" t="s">
        <v>1288</v>
      </c>
      <c r="D414" s="27" t="s">
        <v>1289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103700</f>
        <v>103700.0</v>
      </c>
      <c r="L414" s="34" t="s">
        <v>48</v>
      </c>
      <c r="M414" s="33" t="n">
        <f>105700</f>
        <v>105700.0</v>
      </c>
      <c r="N414" s="34" t="s">
        <v>66</v>
      </c>
      <c r="O414" s="33" t="n">
        <f>99900</f>
        <v>99900.0</v>
      </c>
      <c r="P414" s="34" t="s">
        <v>50</v>
      </c>
      <c r="Q414" s="33" t="n">
        <f>102900</f>
        <v>102900.0</v>
      </c>
      <c r="R414" s="34" t="s">
        <v>51</v>
      </c>
      <c r="S414" s="35" t="n">
        <f>102745</f>
        <v>102745.0</v>
      </c>
      <c r="T414" s="32" t="n">
        <f>199816</f>
        <v>199816.0</v>
      </c>
      <c r="U414" s="32" t="n">
        <f>50277</f>
        <v>50277.0</v>
      </c>
      <c r="V414" s="32" t="n">
        <f>20563166798</f>
        <v>2.0563166798E10</v>
      </c>
      <c r="W414" s="32" t="n">
        <f>5174139598</f>
        <v>5.174139598E9</v>
      </c>
      <c r="X414" s="36" t="n">
        <f>20</f>
        <v>20.0</v>
      </c>
    </row>
    <row r="415">
      <c r="A415" s="27" t="s">
        <v>42</v>
      </c>
      <c r="B415" s="27" t="s">
        <v>1290</v>
      </c>
      <c r="C415" s="27" t="s">
        <v>1291</v>
      </c>
      <c r="D415" s="27" t="s">
        <v>1292</v>
      </c>
      <c r="E415" s="28" t="s">
        <v>46</v>
      </c>
      <c r="F415" s="29" t="s">
        <v>46</v>
      </c>
      <c r="G415" s="30" t="s">
        <v>46</v>
      </c>
      <c r="H415" s="31"/>
      <c r="I415" s="31" t="s">
        <v>416</v>
      </c>
      <c r="J415" s="32" t="n">
        <v>1.0</v>
      </c>
      <c r="K415" s="33" t="n">
        <f>68200</f>
        <v>68200.0</v>
      </c>
      <c r="L415" s="34" t="s">
        <v>48</v>
      </c>
      <c r="M415" s="33" t="n">
        <f>69400</f>
        <v>69400.0</v>
      </c>
      <c r="N415" s="34" t="s">
        <v>85</v>
      </c>
      <c r="O415" s="33" t="n">
        <f>64700</f>
        <v>64700.0</v>
      </c>
      <c r="P415" s="34" t="s">
        <v>50</v>
      </c>
      <c r="Q415" s="33" t="n">
        <f>67800</f>
        <v>67800.0</v>
      </c>
      <c r="R415" s="34" t="s">
        <v>51</v>
      </c>
      <c r="S415" s="35" t="n">
        <f>67140</f>
        <v>67140.0</v>
      </c>
      <c r="T415" s="32" t="n">
        <f>21547</f>
        <v>21547.0</v>
      </c>
      <c r="U415" s="32" t="n">
        <f>2142</f>
        <v>2142.0</v>
      </c>
      <c r="V415" s="32" t="n">
        <f>1448235920</f>
        <v>1.44823592E9</v>
      </c>
      <c r="W415" s="32" t="n">
        <f>143607920</f>
        <v>1.4360792E8</v>
      </c>
      <c r="X415" s="36" t="n">
        <f>20</f>
        <v>20.0</v>
      </c>
    </row>
    <row r="416">
      <c r="A416" s="27" t="s">
        <v>42</v>
      </c>
      <c r="B416" s="27" t="s">
        <v>1293</v>
      </c>
      <c r="C416" s="27" t="s">
        <v>1294</v>
      </c>
      <c r="D416" s="27" t="s">
        <v>1295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42150</f>
        <v>42150.0</v>
      </c>
      <c r="L416" s="34" t="s">
        <v>48</v>
      </c>
      <c r="M416" s="33" t="n">
        <f>43450</f>
        <v>43450.0</v>
      </c>
      <c r="N416" s="34" t="s">
        <v>51</v>
      </c>
      <c r="O416" s="33" t="n">
        <f>40900</f>
        <v>40900.0</v>
      </c>
      <c r="P416" s="34" t="s">
        <v>50</v>
      </c>
      <c r="Q416" s="33" t="n">
        <f>42550</f>
        <v>42550.0</v>
      </c>
      <c r="R416" s="34" t="s">
        <v>51</v>
      </c>
      <c r="S416" s="35" t="n">
        <f>42052.5</f>
        <v>42052.5</v>
      </c>
      <c r="T416" s="32" t="n">
        <f>93717</f>
        <v>93717.0</v>
      </c>
      <c r="U416" s="32" t="n">
        <f>17736</f>
        <v>17736.0</v>
      </c>
      <c r="V416" s="32" t="n">
        <f>3949234448</f>
        <v>3.949234448E9</v>
      </c>
      <c r="W416" s="32" t="n">
        <f>746657398</f>
        <v>7.46657398E8</v>
      </c>
      <c r="X416" s="36" t="n">
        <f>20</f>
        <v>20.0</v>
      </c>
    </row>
    <row r="417">
      <c r="A417" s="27" t="s">
        <v>42</v>
      </c>
      <c r="B417" s="27" t="s">
        <v>1296</v>
      </c>
      <c r="C417" s="27" t="s">
        <v>1297</v>
      </c>
      <c r="D417" s="27" t="s">
        <v>1298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1.0</v>
      </c>
      <c r="K417" s="33" t="n">
        <f>115900</f>
        <v>115900.0</v>
      </c>
      <c r="L417" s="34" t="s">
        <v>48</v>
      </c>
      <c r="M417" s="33" t="n">
        <f>118700</f>
        <v>118700.0</v>
      </c>
      <c r="N417" s="34" t="s">
        <v>66</v>
      </c>
      <c r="O417" s="33" t="n">
        <f>111700</f>
        <v>111700.0</v>
      </c>
      <c r="P417" s="34" t="s">
        <v>50</v>
      </c>
      <c r="Q417" s="33" t="n">
        <f>114900</f>
        <v>114900.0</v>
      </c>
      <c r="R417" s="34" t="s">
        <v>51</v>
      </c>
      <c r="S417" s="35" t="n">
        <f>115120</f>
        <v>115120.0</v>
      </c>
      <c r="T417" s="32" t="n">
        <f>94843</f>
        <v>94843.0</v>
      </c>
      <c r="U417" s="32" t="n">
        <f>19212</f>
        <v>19212.0</v>
      </c>
      <c r="V417" s="32" t="n">
        <f>10932263049</f>
        <v>1.0932263049E10</v>
      </c>
      <c r="W417" s="32" t="n">
        <f>2213438149</f>
        <v>2.213438149E9</v>
      </c>
      <c r="X417" s="36" t="n">
        <f>20</f>
        <v>20.0</v>
      </c>
    </row>
    <row r="418">
      <c r="A418" s="27" t="s">
        <v>42</v>
      </c>
      <c r="B418" s="27" t="s">
        <v>1299</v>
      </c>
      <c r="C418" s="27" t="s">
        <v>1300</v>
      </c>
      <c r="D418" s="27" t="s">
        <v>1301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143200</f>
        <v>143200.0</v>
      </c>
      <c r="L418" s="34" t="s">
        <v>48</v>
      </c>
      <c r="M418" s="33" t="n">
        <f>149900</f>
        <v>149900.0</v>
      </c>
      <c r="N418" s="34" t="s">
        <v>72</v>
      </c>
      <c r="O418" s="33" t="n">
        <f>139700</f>
        <v>139700.0</v>
      </c>
      <c r="P418" s="34" t="s">
        <v>62</v>
      </c>
      <c r="Q418" s="33" t="n">
        <f>145400</f>
        <v>145400.0</v>
      </c>
      <c r="R418" s="34" t="s">
        <v>51</v>
      </c>
      <c r="S418" s="35" t="n">
        <f>144740</f>
        <v>144740.0</v>
      </c>
      <c r="T418" s="32" t="n">
        <f>53224</f>
        <v>53224.0</v>
      </c>
      <c r="U418" s="32" t="n">
        <f>8798</f>
        <v>8798.0</v>
      </c>
      <c r="V418" s="32" t="n">
        <f>7665722173</f>
        <v>7.665722173E9</v>
      </c>
      <c r="W418" s="32" t="n">
        <f>1270939673</f>
        <v>1.270939673E9</v>
      </c>
      <c r="X418" s="36" t="n">
        <f>20</f>
        <v>20.0</v>
      </c>
    </row>
    <row r="419">
      <c r="A419" s="27" t="s">
        <v>42</v>
      </c>
      <c r="B419" s="27" t="s">
        <v>1302</v>
      </c>
      <c r="C419" s="27" t="s">
        <v>1303</v>
      </c>
      <c r="D419" s="27" t="s">
        <v>1304</v>
      </c>
      <c r="E419" s="28" t="s">
        <v>46</v>
      </c>
      <c r="F419" s="29" t="s">
        <v>46</v>
      </c>
      <c r="G419" s="30" t="s">
        <v>46</v>
      </c>
      <c r="H419" s="31"/>
      <c r="I419" s="31" t="s">
        <v>416</v>
      </c>
      <c r="J419" s="32" t="n">
        <v>1.0</v>
      </c>
      <c r="K419" s="33" t="n">
        <f>113800</f>
        <v>113800.0</v>
      </c>
      <c r="L419" s="34" t="s">
        <v>48</v>
      </c>
      <c r="M419" s="33" t="n">
        <f>114500</f>
        <v>114500.0</v>
      </c>
      <c r="N419" s="34" t="s">
        <v>48</v>
      </c>
      <c r="O419" s="33" t="n">
        <f>107900</f>
        <v>107900.0</v>
      </c>
      <c r="P419" s="34" t="s">
        <v>50</v>
      </c>
      <c r="Q419" s="33" t="n">
        <f>112100</f>
        <v>112100.0</v>
      </c>
      <c r="R419" s="34" t="s">
        <v>51</v>
      </c>
      <c r="S419" s="35" t="n">
        <f>111335</f>
        <v>111335.0</v>
      </c>
      <c r="T419" s="32" t="n">
        <f>22797</f>
        <v>22797.0</v>
      </c>
      <c r="U419" s="32" t="n">
        <f>4006</f>
        <v>4006.0</v>
      </c>
      <c r="V419" s="32" t="n">
        <f>2539696814</f>
        <v>2.539696814E9</v>
      </c>
      <c r="W419" s="32" t="n">
        <f>446878114</f>
        <v>4.46878114E8</v>
      </c>
      <c r="X419" s="36" t="n">
        <f>20</f>
        <v>20.0</v>
      </c>
    </row>
    <row r="420">
      <c r="A420" s="27" t="s">
        <v>42</v>
      </c>
      <c r="B420" s="27" t="s">
        <v>1305</v>
      </c>
      <c r="C420" s="27" t="s">
        <v>1306</v>
      </c>
      <c r="D420" s="27" t="s">
        <v>1307</v>
      </c>
      <c r="E420" s="28" t="s">
        <v>1265</v>
      </c>
      <c r="F420" s="29" t="s">
        <v>1266</v>
      </c>
      <c r="G420" s="30" t="s">
        <v>1283</v>
      </c>
      <c r="H420" s="31"/>
      <c r="I420" s="31" t="s">
        <v>47</v>
      </c>
      <c r="J420" s="32" t="n">
        <v>10.0</v>
      </c>
      <c r="K420" s="33" t="n">
        <f>208</f>
        <v>208.0</v>
      </c>
      <c r="L420" s="34" t="s">
        <v>72</v>
      </c>
      <c r="M420" s="33" t="n">
        <f>280</f>
        <v>280.0</v>
      </c>
      <c r="N420" s="34" t="s">
        <v>72</v>
      </c>
      <c r="O420" s="33" t="n">
        <f>193.7</f>
        <v>193.7</v>
      </c>
      <c r="P420" s="34" t="s">
        <v>51</v>
      </c>
      <c r="Q420" s="33" t="n">
        <f>194</f>
        <v>194.0</v>
      </c>
      <c r="R420" s="34" t="s">
        <v>51</v>
      </c>
      <c r="S420" s="35" t="n">
        <f>199.97</f>
        <v>199.97</v>
      </c>
      <c r="T420" s="32" t="n">
        <f>2241670</f>
        <v>2241670.0</v>
      </c>
      <c r="U420" s="32" t="n">
        <f>260</f>
        <v>260.0</v>
      </c>
      <c r="V420" s="32" t="n">
        <f>461636561</f>
        <v>4.61636561E8</v>
      </c>
      <c r="W420" s="32" t="n">
        <f>50752</f>
        <v>50752.0</v>
      </c>
      <c r="X420" s="36" t="n">
        <f>3</f>
        <v>3.0</v>
      </c>
    </row>
    <row r="421">
      <c r="A421" s="27" t="s">
        <v>42</v>
      </c>
      <c r="B421" s="27" t="s">
        <v>1308</v>
      </c>
      <c r="C421" s="27" t="s">
        <v>1309</v>
      </c>
      <c r="D421" s="27" t="s">
        <v>1310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85700</f>
        <v>85700.0</v>
      </c>
      <c r="L421" s="34" t="s">
        <v>48</v>
      </c>
      <c r="M421" s="33" t="n">
        <f>88500</f>
        <v>88500.0</v>
      </c>
      <c r="N421" s="34" t="s">
        <v>72</v>
      </c>
      <c r="O421" s="33" t="n">
        <f>83000</f>
        <v>83000.0</v>
      </c>
      <c r="P421" s="34" t="s">
        <v>50</v>
      </c>
      <c r="Q421" s="33" t="n">
        <f>86000</f>
        <v>86000.0</v>
      </c>
      <c r="R421" s="34" t="s">
        <v>51</v>
      </c>
      <c r="S421" s="35" t="n">
        <f>85565</f>
        <v>85565.0</v>
      </c>
      <c r="T421" s="32" t="n">
        <f>71866</f>
        <v>71866.0</v>
      </c>
      <c r="U421" s="32" t="n">
        <f>9923</f>
        <v>9923.0</v>
      </c>
      <c r="V421" s="32" t="n">
        <f>6144708242</f>
        <v>6.144708242E9</v>
      </c>
      <c r="W421" s="32" t="n">
        <f>848793342</f>
        <v>8.48793342E8</v>
      </c>
      <c r="X421" s="36" t="n">
        <f>20</f>
        <v>20.0</v>
      </c>
    </row>
    <row r="422">
      <c r="A422" s="27" t="s">
        <v>42</v>
      </c>
      <c r="B422" s="27" t="s">
        <v>1311</v>
      </c>
      <c r="C422" s="27" t="s">
        <v>1312</v>
      </c>
      <c r="D422" s="27" t="s">
        <v>1313</v>
      </c>
      <c r="E422" s="28" t="s">
        <v>1265</v>
      </c>
      <c r="F422" s="29" t="s">
        <v>1266</v>
      </c>
      <c r="G422" s="30" t="s">
        <v>1314</v>
      </c>
      <c r="H422" s="31"/>
      <c r="I422" s="31" t="s">
        <v>47</v>
      </c>
      <c r="J422" s="32" t="n">
        <v>10.0</v>
      </c>
      <c r="K422" s="33" t="n">
        <f>503</f>
        <v>503.0</v>
      </c>
      <c r="L422" s="34" t="s">
        <v>85</v>
      </c>
      <c r="M422" s="33" t="n">
        <f>505</f>
        <v>505.0</v>
      </c>
      <c r="N422" s="34" t="s">
        <v>85</v>
      </c>
      <c r="O422" s="33" t="n">
        <f>480</f>
        <v>480.0</v>
      </c>
      <c r="P422" s="34" t="s">
        <v>51</v>
      </c>
      <c r="Q422" s="33" t="n">
        <f>484</f>
        <v>484.0</v>
      </c>
      <c r="R422" s="34" t="s">
        <v>51</v>
      </c>
      <c r="S422" s="35" t="n">
        <f>490.95</f>
        <v>490.95</v>
      </c>
      <c r="T422" s="32" t="n">
        <f>21000</f>
        <v>21000.0</v>
      </c>
      <c r="U422" s="32" t="str">
        <f>"－"</f>
        <v>－</v>
      </c>
      <c r="V422" s="32" t="n">
        <f>10379932</f>
        <v>1.0379932E7</v>
      </c>
      <c r="W422" s="32" t="str">
        <f>"－"</f>
        <v>－</v>
      </c>
      <c r="X422" s="36" t="n">
        <f>2</f>
        <v>2.0</v>
      </c>
    </row>
    <row r="423">
      <c r="A423" s="27" t="s">
        <v>42</v>
      </c>
      <c r="B423" s="27" t="s">
        <v>1315</v>
      </c>
      <c r="C423" s="27" t="s">
        <v>1316</v>
      </c>
      <c r="D423" s="27" t="s">
        <v>1317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124200</f>
        <v>124200.0</v>
      </c>
      <c r="L423" s="34" t="s">
        <v>48</v>
      </c>
      <c r="M423" s="33" t="n">
        <f>131500</f>
        <v>131500.0</v>
      </c>
      <c r="N423" s="34" t="s">
        <v>72</v>
      </c>
      <c r="O423" s="33" t="n">
        <f>121700</f>
        <v>121700.0</v>
      </c>
      <c r="P423" s="34" t="s">
        <v>303</v>
      </c>
      <c r="Q423" s="33" t="n">
        <f>127400</f>
        <v>127400.0</v>
      </c>
      <c r="R423" s="34" t="s">
        <v>51</v>
      </c>
      <c r="S423" s="35" t="n">
        <f>126125</f>
        <v>126125.0</v>
      </c>
      <c r="T423" s="32" t="n">
        <f>517156</f>
        <v>517156.0</v>
      </c>
      <c r="U423" s="32" t="n">
        <f>120514</f>
        <v>120514.0</v>
      </c>
      <c r="V423" s="32" t="n">
        <f>65308602335</f>
        <v>6.5308602335E10</v>
      </c>
      <c r="W423" s="32" t="n">
        <f>15222992535</f>
        <v>1.5222992535E10</v>
      </c>
      <c r="X423" s="36" t="n">
        <f>20</f>
        <v>20.0</v>
      </c>
    </row>
    <row r="424">
      <c r="A424" s="27" t="s">
        <v>42</v>
      </c>
      <c r="B424" s="27" t="s">
        <v>1318</v>
      </c>
      <c r="C424" s="27" t="s">
        <v>1319</v>
      </c>
      <c r="D424" s="27" t="s">
        <v>1320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108900</f>
        <v>108900.0</v>
      </c>
      <c r="L424" s="34" t="s">
        <v>48</v>
      </c>
      <c r="M424" s="33" t="n">
        <f>112900</f>
        <v>112900.0</v>
      </c>
      <c r="N424" s="34" t="s">
        <v>49</v>
      </c>
      <c r="O424" s="33" t="n">
        <f>103400</f>
        <v>103400.0</v>
      </c>
      <c r="P424" s="34" t="s">
        <v>50</v>
      </c>
      <c r="Q424" s="33" t="n">
        <f>107300</f>
        <v>107300.0</v>
      </c>
      <c r="R424" s="34" t="s">
        <v>51</v>
      </c>
      <c r="S424" s="35" t="n">
        <f>107210</f>
        <v>107210.0</v>
      </c>
      <c r="T424" s="32" t="n">
        <f>839032</f>
        <v>839032.0</v>
      </c>
      <c r="U424" s="32" t="n">
        <f>197333</f>
        <v>197333.0</v>
      </c>
      <c r="V424" s="32" t="n">
        <f>90053754113</f>
        <v>9.0053754113E10</v>
      </c>
      <c r="W424" s="32" t="n">
        <f>21235997313</f>
        <v>2.1235997313E10</v>
      </c>
      <c r="X424" s="36" t="n">
        <f>20</f>
        <v>20.0</v>
      </c>
    </row>
    <row r="425">
      <c r="A425" s="27" t="s">
        <v>42</v>
      </c>
      <c r="B425" s="27" t="s">
        <v>1321</v>
      </c>
      <c r="C425" s="27" t="s">
        <v>1322</v>
      </c>
      <c r="D425" s="27" t="s">
        <v>1323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93500</f>
        <v>93500.0</v>
      </c>
      <c r="L425" s="34" t="s">
        <v>48</v>
      </c>
      <c r="M425" s="33" t="n">
        <f>96800</f>
        <v>96800.0</v>
      </c>
      <c r="N425" s="34" t="s">
        <v>51</v>
      </c>
      <c r="O425" s="33" t="n">
        <f>89900</f>
        <v>89900.0</v>
      </c>
      <c r="P425" s="34" t="s">
        <v>50</v>
      </c>
      <c r="Q425" s="33" t="n">
        <f>95700</f>
        <v>95700.0</v>
      </c>
      <c r="R425" s="34" t="s">
        <v>51</v>
      </c>
      <c r="S425" s="35" t="n">
        <f>93295</f>
        <v>93295.0</v>
      </c>
      <c r="T425" s="32" t="n">
        <f>526223</f>
        <v>526223.0</v>
      </c>
      <c r="U425" s="32" t="n">
        <f>145765</f>
        <v>145765.0</v>
      </c>
      <c r="V425" s="32" t="n">
        <f>49184778801</f>
        <v>4.9184778801E10</v>
      </c>
      <c r="W425" s="32" t="n">
        <f>13628087101</f>
        <v>1.3628087101E10</v>
      </c>
      <c r="X425" s="36" t="n">
        <f>20</f>
        <v>20.0</v>
      </c>
    </row>
    <row r="426">
      <c r="A426" s="27" t="s">
        <v>42</v>
      </c>
      <c r="B426" s="27" t="s">
        <v>1324</v>
      </c>
      <c r="C426" s="27" t="s">
        <v>1325</v>
      </c>
      <c r="D426" s="27" t="s">
        <v>1326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171300</f>
        <v>171300.0</v>
      </c>
      <c r="L426" s="34" t="s">
        <v>48</v>
      </c>
      <c r="M426" s="33" t="n">
        <f>179800</f>
        <v>179800.0</v>
      </c>
      <c r="N426" s="34" t="s">
        <v>205</v>
      </c>
      <c r="O426" s="33" t="n">
        <f>168500</f>
        <v>168500.0</v>
      </c>
      <c r="P426" s="34" t="s">
        <v>303</v>
      </c>
      <c r="Q426" s="33" t="n">
        <f>176200</f>
        <v>176200.0</v>
      </c>
      <c r="R426" s="34" t="s">
        <v>51</v>
      </c>
      <c r="S426" s="35" t="n">
        <f>174635</f>
        <v>174635.0</v>
      </c>
      <c r="T426" s="32" t="n">
        <f>256954</f>
        <v>256954.0</v>
      </c>
      <c r="U426" s="32" t="n">
        <f>51681</f>
        <v>51681.0</v>
      </c>
      <c r="V426" s="32" t="n">
        <f>44821207367</f>
        <v>4.4821207367E10</v>
      </c>
      <c r="W426" s="32" t="n">
        <f>9028744867</f>
        <v>9.028744867E9</v>
      </c>
      <c r="X426" s="36" t="n">
        <f>20</f>
        <v>20.0</v>
      </c>
    </row>
    <row r="427">
      <c r="A427" s="27" t="s">
        <v>42</v>
      </c>
      <c r="B427" s="27" t="s">
        <v>1327</v>
      </c>
      <c r="C427" s="27" t="s">
        <v>1328</v>
      </c>
      <c r="D427" s="27" t="s">
        <v>1329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347000</f>
        <v>347000.0</v>
      </c>
      <c r="L427" s="34" t="s">
        <v>48</v>
      </c>
      <c r="M427" s="33" t="n">
        <f>351500</f>
        <v>351500.0</v>
      </c>
      <c r="N427" s="34" t="s">
        <v>48</v>
      </c>
      <c r="O427" s="33" t="n">
        <f>335500</f>
        <v>335500.0</v>
      </c>
      <c r="P427" s="34" t="s">
        <v>50</v>
      </c>
      <c r="Q427" s="33" t="n">
        <f>340000</f>
        <v>340000.0</v>
      </c>
      <c r="R427" s="34" t="s">
        <v>51</v>
      </c>
      <c r="S427" s="35" t="n">
        <f>342000</f>
        <v>342000.0</v>
      </c>
      <c r="T427" s="32" t="n">
        <f>59163</f>
        <v>59163.0</v>
      </c>
      <c r="U427" s="32" t="n">
        <f>16024</f>
        <v>16024.0</v>
      </c>
      <c r="V427" s="32" t="n">
        <f>20234920295</f>
        <v>2.0234920295E10</v>
      </c>
      <c r="W427" s="32" t="n">
        <f>5482211295</f>
        <v>5.482211295E9</v>
      </c>
      <c r="X427" s="36" t="n">
        <f>20</f>
        <v>20.0</v>
      </c>
    </row>
    <row r="428">
      <c r="A428" s="27" t="s">
        <v>42</v>
      </c>
      <c r="B428" s="27" t="s">
        <v>1330</v>
      </c>
      <c r="C428" s="27" t="s">
        <v>1331</v>
      </c>
      <c r="D428" s="27" t="s">
        <v>1332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132600</f>
        <v>132600.0</v>
      </c>
      <c r="L428" s="34" t="s">
        <v>48</v>
      </c>
      <c r="M428" s="33" t="n">
        <f>135600</f>
        <v>135600.0</v>
      </c>
      <c r="N428" s="34" t="s">
        <v>155</v>
      </c>
      <c r="O428" s="33" t="n">
        <f>130500</f>
        <v>130500.0</v>
      </c>
      <c r="P428" s="34" t="s">
        <v>205</v>
      </c>
      <c r="Q428" s="33" t="n">
        <f>132800</f>
        <v>132800.0</v>
      </c>
      <c r="R428" s="34" t="s">
        <v>51</v>
      </c>
      <c r="S428" s="35" t="n">
        <f>132640</f>
        <v>132640.0</v>
      </c>
      <c r="T428" s="32" t="n">
        <f>85683</f>
        <v>85683.0</v>
      </c>
      <c r="U428" s="32" t="n">
        <f>11983</f>
        <v>11983.0</v>
      </c>
      <c r="V428" s="32" t="n">
        <f>11357453451</f>
        <v>1.1357453451E10</v>
      </c>
      <c r="W428" s="32" t="n">
        <f>1589152951</f>
        <v>1.589152951E9</v>
      </c>
      <c r="X428" s="36" t="n">
        <f>20</f>
        <v>20.0</v>
      </c>
    </row>
    <row r="429">
      <c r="A429" s="27" t="s">
        <v>42</v>
      </c>
      <c r="B429" s="27" t="s">
        <v>1333</v>
      </c>
      <c r="C429" s="27" t="s">
        <v>1334</v>
      </c>
      <c r="D429" s="27" t="s">
        <v>1335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170000</f>
        <v>170000.0</v>
      </c>
      <c r="L429" s="34" t="s">
        <v>48</v>
      </c>
      <c r="M429" s="33" t="n">
        <f>178600</f>
        <v>178600.0</v>
      </c>
      <c r="N429" s="34" t="s">
        <v>49</v>
      </c>
      <c r="O429" s="33" t="n">
        <f>161300</f>
        <v>161300.0</v>
      </c>
      <c r="P429" s="34" t="s">
        <v>50</v>
      </c>
      <c r="Q429" s="33" t="n">
        <f>173700</f>
        <v>173700.0</v>
      </c>
      <c r="R429" s="34" t="s">
        <v>51</v>
      </c>
      <c r="S429" s="35" t="n">
        <f>169265</f>
        <v>169265.0</v>
      </c>
      <c r="T429" s="32" t="n">
        <f>90694</f>
        <v>90694.0</v>
      </c>
      <c r="U429" s="32" t="n">
        <f>33449</f>
        <v>33449.0</v>
      </c>
      <c r="V429" s="32" t="n">
        <f>15331079681</f>
        <v>1.5331079681E10</v>
      </c>
      <c r="W429" s="32" t="n">
        <f>5575172681</f>
        <v>5.575172681E9</v>
      </c>
      <c r="X429" s="36" t="n">
        <f>20</f>
        <v>20.0</v>
      </c>
    </row>
    <row r="430">
      <c r="A430" s="27" t="s">
        <v>42</v>
      </c>
      <c r="B430" s="27" t="s">
        <v>1336</v>
      </c>
      <c r="C430" s="27" t="s">
        <v>1337</v>
      </c>
      <c r="D430" s="27" t="s">
        <v>1338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110400</f>
        <v>110400.0</v>
      </c>
      <c r="L430" s="34" t="s">
        <v>48</v>
      </c>
      <c r="M430" s="33" t="n">
        <f>118900</f>
        <v>118900.0</v>
      </c>
      <c r="N430" s="34" t="s">
        <v>72</v>
      </c>
      <c r="O430" s="33" t="n">
        <f>110400</f>
        <v>110400.0</v>
      </c>
      <c r="P430" s="34" t="s">
        <v>48</v>
      </c>
      <c r="Q430" s="33" t="n">
        <f>114100</f>
        <v>114100.0</v>
      </c>
      <c r="R430" s="34" t="s">
        <v>51</v>
      </c>
      <c r="S430" s="35" t="n">
        <f>114690</f>
        <v>114690.0</v>
      </c>
      <c r="T430" s="32" t="n">
        <f>140299</f>
        <v>140299.0</v>
      </c>
      <c r="U430" s="32" t="n">
        <f>16369</f>
        <v>16369.0</v>
      </c>
      <c r="V430" s="32" t="n">
        <f>16062459647</f>
        <v>1.6062459647E10</v>
      </c>
      <c r="W430" s="32" t="n">
        <f>1879002947</f>
        <v>1.879002947E9</v>
      </c>
      <c r="X430" s="36" t="n">
        <f>20</f>
        <v>20.0</v>
      </c>
    </row>
    <row r="431">
      <c r="A431" s="27" t="s">
        <v>42</v>
      </c>
      <c r="B431" s="27" t="s">
        <v>1339</v>
      </c>
      <c r="C431" s="27" t="s">
        <v>1340</v>
      </c>
      <c r="D431" s="27" t="s">
        <v>1341</v>
      </c>
      <c r="E431" s="28" t="s">
        <v>46</v>
      </c>
      <c r="F431" s="29" t="s">
        <v>46</v>
      </c>
      <c r="G431" s="30" t="s">
        <v>46</v>
      </c>
      <c r="H431" s="31"/>
      <c r="I431" s="31" t="s">
        <v>47</v>
      </c>
      <c r="J431" s="32" t="n">
        <v>1.0</v>
      </c>
      <c r="K431" s="33" t="n">
        <f>148600</f>
        <v>148600.0</v>
      </c>
      <c r="L431" s="34" t="s">
        <v>48</v>
      </c>
      <c r="M431" s="33" t="n">
        <f>153400</f>
        <v>153400.0</v>
      </c>
      <c r="N431" s="34" t="s">
        <v>66</v>
      </c>
      <c r="O431" s="33" t="n">
        <f>140900</f>
        <v>140900.0</v>
      </c>
      <c r="P431" s="34" t="s">
        <v>50</v>
      </c>
      <c r="Q431" s="33" t="n">
        <f>148600</f>
        <v>148600.0</v>
      </c>
      <c r="R431" s="34" t="s">
        <v>51</v>
      </c>
      <c r="S431" s="35" t="n">
        <f>146925</f>
        <v>146925.0</v>
      </c>
      <c r="T431" s="32" t="n">
        <f>305289</f>
        <v>305289.0</v>
      </c>
      <c r="U431" s="32" t="n">
        <f>70073</f>
        <v>70073.0</v>
      </c>
      <c r="V431" s="32" t="n">
        <f>44991763378</f>
        <v>4.4991763378E10</v>
      </c>
      <c r="W431" s="32" t="n">
        <f>10328853078</f>
        <v>1.0328853078E10</v>
      </c>
      <c r="X431" s="36" t="n">
        <f>20</f>
        <v>20.0</v>
      </c>
    </row>
    <row r="432">
      <c r="A432" s="27" t="s">
        <v>42</v>
      </c>
      <c r="B432" s="27" t="s">
        <v>1342</v>
      </c>
      <c r="C432" s="27" t="s">
        <v>1343</v>
      </c>
      <c r="D432" s="27" t="s">
        <v>1344</v>
      </c>
      <c r="E432" s="28" t="s">
        <v>46</v>
      </c>
      <c r="F432" s="29" t="s">
        <v>46</v>
      </c>
      <c r="G432" s="30" t="s">
        <v>46</v>
      </c>
      <c r="H432" s="31"/>
      <c r="I432" s="31" t="s">
        <v>47</v>
      </c>
      <c r="J432" s="32" t="n">
        <v>1.0</v>
      </c>
      <c r="K432" s="33" t="n">
        <f>61500</f>
        <v>61500.0</v>
      </c>
      <c r="L432" s="34" t="s">
        <v>48</v>
      </c>
      <c r="M432" s="33" t="n">
        <f>63500</f>
        <v>63500.0</v>
      </c>
      <c r="N432" s="34" t="s">
        <v>66</v>
      </c>
      <c r="O432" s="33" t="n">
        <f>59800</f>
        <v>59800.0</v>
      </c>
      <c r="P432" s="34" t="s">
        <v>50</v>
      </c>
      <c r="Q432" s="33" t="n">
        <f>62300</f>
        <v>62300.0</v>
      </c>
      <c r="R432" s="34" t="s">
        <v>51</v>
      </c>
      <c r="S432" s="35" t="n">
        <f>61700</f>
        <v>61700.0</v>
      </c>
      <c r="T432" s="32" t="n">
        <f>165596</f>
        <v>165596.0</v>
      </c>
      <c r="U432" s="32" t="n">
        <f>39927</f>
        <v>39927.0</v>
      </c>
      <c r="V432" s="32" t="n">
        <f>10211450311</f>
        <v>1.0211450311E10</v>
      </c>
      <c r="W432" s="32" t="n">
        <f>2461144311</f>
        <v>2.461144311E9</v>
      </c>
      <c r="X432" s="36" t="n">
        <f>20</f>
        <v>20.0</v>
      </c>
    </row>
    <row r="433">
      <c r="A433" s="27" t="s">
        <v>42</v>
      </c>
      <c r="B433" s="27" t="s">
        <v>1345</v>
      </c>
      <c r="C433" s="27" t="s">
        <v>1346</v>
      </c>
      <c r="D433" s="27" t="s">
        <v>1347</v>
      </c>
      <c r="E433" s="28" t="s">
        <v>46</v>
      </c>
      <c r="F433" s="29" t="s">
        <v>46</v>
      </c>
      <c r="G433" s="30" t="s">
        <v>46</v>
      </c>
      <c r="H433" s="31"/>
      <c r="I433" s="31" t="s">
        <v>47</v>
      </c>
      <c r="J433" s="32" t="n">
        <v>1.0</v>
      </c>
      <c r="K433" s="33" t="n">
        <f>64000</f>
        <v>64000.0</v>
      </c>
      <c r="L433" s="34" t="s">
        <v>48</v>
      </c>
      <c r="M433" s="33" t="n">
        <f>65200</f>
        <v>65200.0</v>
      </c>
      <c r="N433" s="34" t="s">
        <v>72</v>
      </c>
      <c r="O433" s="33" t="n">
        <f>61200</f>
        <v>61200.0</v>
      </c>
      <c r="P433" s="34" t="s">
        <v>50</v>
      </c>
      <c r="Q433" s="33" t="n">
        <f>63000</f>
        <v>63000.0</v>
      </c>
      <c r="R433" s="34" t="s">
        <v>51</v>
      </c>
      <c r="S433" s="35" t="n">
        <f>63175</f>
        <v>63175.0</v>
      </c>
      <c r="T433" s="32" t="n">
        <f>569829</f>
        <v>569829.0</v>
      </c>
      <c r="U433" s="32" t="n">
        <f>158908</f>
        <v>158908.0</v>
      </c>
      <c r="V433" s="32" t="n">
        <f>35953586003</f>
        <v>3.5953586003E10</v>
      </c>
      <c r="W433" s="32" t="n">
        <f>10015171403</f>
        <v>1.0015171403E10</v>
      </c>
      <c r="X433" s="36" t="n">
        <f>20</f>
        <v>20.0</v>
      </c>
    </row>
    <row r="434">
      <c r="A434" s="27" t="s">
        <v>42</v>
      </c>
      <c r="B434" s="27" t="s">
        <v>1348</v>
      </c>
      <c r="C434" s="27" t="s">
        <v>1349</v>
      </c>
      <c r="D434" s="27" t="s">
        <v>1350</v>
      </c>
      <c r="E434" s="28" t="s">
        <v>46</v>
      </c>
      <c r="F434" s="29" t="s">
        <v>46</v>
      </c>
      <c r="G434" s="30" t="s">
        <v>46</v>
      </c>
      <c r="H434" s="31"/>
      <c r="I434" s="31" t="s">
        <v>47</v>
      </c>
      <c r="J434" s="32" t="n">
        <v>1.0</v>
      </c>
      <c r="K434" s="33" t="n">
        <f>79700</f>
        <v>79700.0</v>
      </c>
      <c r="L434" s="34" t="s">
        <v>48</v>
      </c>
      <c r="M434" s="33" t="n">
        <f>80800</f>
        <v>80800.0</v>
      </c>
      <c r="N434" s="34" t="s">
        <v>85</v>
      </c>
      <c r="O434" s="33" t="n">
        <f>76400</f>
        <v>76400.0</v>
      </c>
      <c r="P434" s="34" t="s">
        <v>50</v>
      </c>
      <c r="Q434" s="33" t="n">
        <f>79100</f>
        <v>79100.0</v>
      </c>
      <c r="R434" s="34" t="s">
        <v>51</v>
      </c>
      <c r="S434" s="35" t="n">
        <f>78820</f>
        <v>78820.0</v>
      </c>
      <c r="T434" s="32" t="n">
        <f>148709</f>
        <v>148709.0</v>
      </c>
      <c r="U434" s="32" t="n">
        <f>44432</f>
        <v>44432.0</v>
      </c>
      <c r="V434" s="32" t="n">
        <f>11721564719</f>
        <v>1.1721564719E10</v>
      </c>
      <c r="W434" s="32" t="n">
        <f>3503025719</f>
        <v>3.503025719E9</v>
      </c>
      <c r="X434" s="36" t="n">
        <f>20</f>
        <v>20.0</v>
      </c>
    </row>
    <row r="435">
      <c r="A435" s="27" t="s">
        <v>42</v>
      </c>
      <c r="B435" s="27" t="s">
        <v>1351</v>
      </c>
      <c r="C435" s="27" t="s">
        <v>1352</v>
      </c>
      <c r="D435" s="27" t="s">
        <v>1353</v>
      </c>
      <c r="E435" s="28" t="s">
        <v>46</v>
      </c>
      <c r="F435" s="29" t="s">
        <v>46</v>
      </c>
      <c r="G435" s="30" t="s">
        <v>46</v>
      </c>
      <c r="H435" s="31"/>
      <c r="I435" s="31" t="s">
        <v>47</v>
      </c>
      <c r="J435" s="32" t="n">
        <v>1.0</v>
      </c>
      <c r="K435" s="33" t="n">
        <f>128500</f>
        <v>128500.0</v>
      </c>
      <c r="L435" s="34" t="s">
        <v>48</v>
      </c>
      <c r="M435" s="33" t="n">
        <f>129700</f>
        <v>129700.0</v>
      </c>
      <c r="N435" s="34" t="s">
        <v>48</v>
      </c>
      <c r="O435" s="33" t="n">
        <f>124000</f>
        <v>124000.0</v>
      </c>
      <c r="P435" s="34" t="s">
        <v>50</v>
      </c>
      <c r="Q435" s="33" t="n">
        <f>126500</f>
        <v>126500.0</v>
      </c>
      <c r="R435" s="34" t="s">
        <v>51</v>
      </c>
      <c r="S435" s="35" t="n">
        <f>126700</f>
        <v>126700.0</v>
      </c>
      <c r="T435" s="32" t="n">
        <f>72598</f>
        <v>72598.0</v>
      </c>
      <c r="U435" s="32" t="n">
        <f>20174</f>
        <v>20174.0</v>
      </c>
      <c r="V435" s="32" t="n">
        <f>9206069213</f>
        <v>9.206069213E9</v>
      </c>
      <c r="W435" s="32" t="n">
        <f>2558759513</f>
        <v>2.558759513E9</v>
      </c>
      <c r="X435" s="36" t="n">
        <f>20</f>
        <v>20.0</v>
      </c>
    </row>
    <row r="436">
      <c r="A436" s="27" t="s">
        <v>42</v>
      </c>
      <c r="B436" s="27" t="s">
        <v>1354</v>
      </c>
      <c r="C436" s="27" t="s">
        <v>1355</v>
      </c>
      <c r="D436" s="27" t="s">
        <v>1356</v>
      </c>
      <c r="E436" s="28" t="s">
        <v>46</v>
      </c>
      <c r="F436" s="29" t="s">
        <v>46</v>
      </c>
      <c r="G436" s="30" t="s">
        <v>46</v>
      </c>
      <c r="H436" s="31"/>
      <c r="I436" s="31" t="s">
        <v>47</v>
      </c>
      <c r="J436" s="32" t="n">
        <v>1.0</v>
      </c>
      <c r="K436" s="33" t="n">
        <f>89500</f>
        <v>89500.0</v>
      </c>
      <c r="L436" s="34" t="s">
        <v>48</v>
      </c>
      <c r="M436" s="33" t="n">
        <f>95500</f>
        <v>95500.0</v>
      </c>
      <c r="N436" s="34" t="s">
        <v>66</v>
      </c>
      <c r="O436" s="33" t="n">
        <f>86500</f>
        <v>86500.0</v>
      </c>
      <c r="P436" s="34" t="s">
        <v>50</v>
      </c>
      <c r="Q436" s="33" t="n">
        <f>92100</f>
        <v>92100.0</v>
      </c>
      <c r="R436" s="34" t="s">
        <v>51</v>
      </c>
      <c r="S436" s="35" t="n">
        <f>91400</f>
        <v>91400.0</v>
      </c>
      <c r="T436" s="32" t="n">
        <f>160445</f>
        <v>160445.0</v>
      </c>
      <c r="U436" s="32" t="n">
        <f>40431</f>
        <v>40431.0</v>
      </c>
      <c r="V436" s="32" t="n">
        <f>14724382356</f>
        <v>1.4724382356E10</v>
      </c>
      <c r="W436" s="32" t="n">
        <f>3704762256</f>
        <v>3.704762256E9</v>
      </c>
      <c r="X436" s="36" t="n">
        <f>20</f>
        <v>20.0</v>
      </c>
    </row>
    <row r="437">
      <c r="A437" s="27" t="s">
        <v>42</v>
      </c>
      <c r="B437" s="27" t="s">
        <v>1357</v>
      </c>
      <c r="C437" s="27" t="s">
        <v>1358</v>
      </c>
      <c r="D437" s="27" t="s">
        <v>1359</v>
      </c>
      <c r="E437" s="28" t="s">
        <v>46</v>
      </c>
      <c r="F437" s="29" t="s">
        <v>46</v>
      </c>
      <c r="G437" s="30" t="s">
        <v>46</v>
      </c>
      <c r="H437" s="31"/>
      <c r="I437" s="31" t="s">
        <v>47</v>
      </c>
      <c r="J437" s="32" t="n">
        <v>1.0</v>
      </c>
      <c r="K437" s="33" t="n">
        <f>144500</f>
        <v>144500.0</v>
      </c>
      <c r="L437" s="34" t="s">
        <v>48</v>
      </c>
      <c r="M437" s="33" t="n">
        <f>151300</f>
        <v>151300.0</v>
      </c>
      <c r="N437" s="34" t="s">
        <v>85</v>
      </c>
      <c r="O437" s="33" t="n">
        <f>141300</f>
        <v>141300.0</v>
      </c>
      <c r="P437" s="34" t="s">
        <v>304</v>
      </c>
      <c r="Q437" s="33" t="n">
        <f>148200</f>
        <v>148200.0</v>
      </c>
      <c r="R437" s="34" t="s">
        <v>51</v>
      </c>
      <c r="S437" s="35" t="n">
        <f>145100</f>
        <v>145100.0</v>
      </c>
      <c r="T437" s="32" t="n">
        <f>54617</f>
        <v>54617.0</v>
      </c>
      <c r="U437" s="32" t="n">
        <f>12418</f>
        <v>12418.0</v>
      </c>
      <c r="V437" s="32" t="n">
        <f>7944328718</f>
        <v>7.944328718E9</v>
      </c>
      <c r="W437" s="32" t="n">
        <f>1806501718</f>
        <v>1.806501718E9</v>
      </c>
      <c r="X437" s="36" t="n">
        <f>20</f>
        <v>20.0</v>
      </c>
    </row>
    <row r="438">
      <c r="A438" s="27" t="s">
        <v>42</v>
      </c>
      <c r="B438" s="27" t="s">
        <v>1360</v>
      </c>
      <c r="C438" s="27" t="s">
        <v>1361</v>
      </c>
      <c r="D438" s="27" t="s">
        <v>1362</v>
      </c>
      <c r="E438" s="28" t="s">
        <v>46</v>
      </c>
      <c r="F438" s="29" t="s">
        <v>46</v>
      </c>
      <c r="G438" s="30" t="s">
        <v>46</v>
      </c>
      <c r="H438" s="31"/>
      <c r="I438" s="31" t="s">
        <v>47</v>
      </c>
      <c r="J438" s="32" t="n">
        <v>1.0</v>
      </c>
      <c r="K438" s="33" t="n">
        <f>154700</f>
        <v>154700.0</v>
      </c>
      <c r="L438" s="34" t="s">
        <v>48</v>
      </c>
      <c r="M438" s="33" t="n">
        <f>154800</f>
        <v>154800.0</v>
      </c>
      <c r="N438" s="34" t="s">
        <v>48</v>
      </c>
      <c r="O438" s="33" t="n">
        <f>141700</f>
        <v>141700.0</v>
      </c>
      <c r="P438" s="34" t="s">
        <v>50</v>
      </c>
      <c r="Q438" s="33" t="n">
        <f>147800</f>
        <v>147800.0</v>
      </c>
      <c r="R438" s="34" t="s">
        <v>51</v>
      </c>
      <c r="S438" s="35" t="n">
        <f>147555</f>
        <v>147555.0</v>
      </c>
      <c r="T438" s="32" t="n">
        <f>334026</f>
        <v>334026.0</v>
      </c>
      <c r="U438" s="32" t="n">
        <f>96009</f>
        <v>96009.0</v>
      </c>
      <c r="V438" s="32" t="n">
        <f>49338491829</f>
        <v>4.9338491829E10</v>
      </c>
      <c r="W438" s="32" t="n">
        <f>14204673129</f>
        <v>1.4204673129E10</v>
      </c>
      <c r="X438" s="36" t="n">
        <f>20</f>
        <v>20.0</v>
      </c>
    </row>
    <row r="439">
      <c r="A439" s="27" t="s">
        <v>42</v>
      </c>
      <c r="B439" s="27" t="s">
        <v>1363</v>
      </c>
      <c r="C439" s="27" t="s">
        <v>1364</v>
      </c>
      <c r="D439" s="27" t="s">
        <v>1365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83200</f>
        <v>83200.0</v>
      </c>
      <c r="L439" s="34" t="s">
        <v>48</v>
      </c>
      <c r="M439" s="33" t="n">
        <f>86500</f>
        <v>86500.0</v>
      </c>
      <c r="N439" s="34" t="s">
        <v>85</v>
      </c>
      <c r="O439" s="33" t="n">
        <f>79400</f>
        <v>79400.0</v>
      </c>
      <c r="P439" s="34" t="s">
        <v>304</v>
      </c>
      <c r="Q439" s="33" t="n">
        <f>84900</f>
        <v>84900.0</v>
      </c>
      <c r="R439" s="34" t="s">
        <v>51</v>
      </c>
      <c r="S439" s="35" t="n">
        <f>82095</f>
        <v>82095.0</v>
      </c>
      <c r="T439" s="32" t="n">
        <f>77060</f>
        <v>77060.0</v>
      </c>
      <c r="U439" s="32" t="n">
        <f>16854</f>
        <v>16854.0</v>
      </c>
      <c r="V439" s="32" t="n">
        <f>6356671836</f>
        <v>6.356671836E9</v>
      </c>
      <c r="W439" s="32" t="n">
        <f>1388113536</f>
        <v>1.388113536E9</v>
      </c>
      <c r="X439" s="36" t="n">
        <f>20</f>
        <v>20.0</v>
      </c>
    </row>
    <row r="440">
      <c r="A440" s="27" t="s">
        <v>42</v>
      </c>
      <c r="B440" s="27" t="s">
        <v>1366</v>
      </c>
      <c r="C440" s="27" t="s">
        <v>1367</v>
      </c>
      <c r="D440" s="27" t="s">
        <v>1368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293000</f>
        <v>293000.0</v>
      </c>
      <c r="L440" s="34" t="s">
        <v>48</v>
      </c>
      <c r="M440" s="33" t="n">
        <f>299800</f>
        <v>299800.0</v>
      </c>
      <c r="N440" s="34" t="s">
        <v>51</v>
      </c>
      <c r="O440" s="33" t="n">
        <f>278000</f>
        <v>278000.0</v>
      </c>
      <c r="P440" s="34" t="s">
        <v>50</v>
      </c>
      <c r="Q440" s="33" t="n">
        <f>294900</f>
        <v>294900.0</v>
      </c>
      <c r="R440" s="34" t="s">
        <v>51</v>
      </c>
      <c r="S440" s="35" t="n">
        <f>288600</f>
        <v>288600.0</v>
      </c>
      <c r="T440" s="32" t="n">
        <f>44160</f>
        <v>44160.0</v>
      </c>
      <c r="U440" s="32" t="n">
        <f>8716</f>
        <v>8716.0</v>
      </c>
      <c r="V440" s="32" t="n">
        <f>12755426381</f>
        <v>1.2755426381E10</v>
      </c>
      <c r="W440" s="32" t="n">
        <f>2520103681</f>
        <v>2.520103681E9</v>
      </c>
      <c r="X440" s="36" t="n">
        <f>20</f>
        <v>20.0</v>
      </c>
    </row>
    <row r="441">
      <c r="A441" s="27" t="s">
        <v>42</v>
      </c>
      <c r="B441" s="27" t="s">
        <v>1369</v>
      </c>
      <c r="C441" s="27" t="s">
        <v>1370</v>
      </c>
      <c r="D441" s="27" t="s">
        <v>1371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143700</f>
        <v>143700.0</v>
      </c>
      <c r="L441" s="34" t="s">
        <v>48</v>
      </c>
      <c r="M441" s="33" t="n">
        <f>155000</f>
        <v>155000.0</v>
      </c>
      <c r="N441" s="34" t="s">
        <v>205</v>
      </c>
      <c r="O441" s="33" t="n">
        <f>143400</f>
        <v>143400.0</v>
      </c>
      <c r="P441" s="34" t="s">
        <v>225</v>
      </c>
      <c r="Q441" s="33" t="n">
        <f>149100</f>
        <v>149100.0</v>
      </c>
      <c r="R441" s="34" t="s">
        <v>51</v>
      </c>
      <c r="S441" s="35" t="n">
        <f>146840</f>
        <v>146840.0</v>
      </c>
      <c r="T441" s="32" t="n">
        <f>70876</f>
        <v>70876.0</v>
      </c>
      <c r="U441" s="32" t="n">
        <f>4949</f>
        <v>4949.0</v>
      </c>
      <c r="V441" s="32" t="n">
        <f>10394461756</f>
        <v>1.0394461756E10</v>
      </c>
      <c r="W441" s="32" t="n">
        <f>727698856</f>
        <v>7.27698856E8</v>
      </c>
      <c r="X441" s="36" t="n">
        <f>20</f>
        <v>20.0</v>
      </c>
    </row>
    <row r="442">
      <c r="A442" s="27" t="s">
        <v>42</v>
      </c>
      <c r="B442" s="27" t="s">
        <v>1372</v>
      </c>
      <c r="C442" s="27" t="s">
        <v>1373</v>
      </c>
      <c r="D442" s="27" t="s">
        <v>1374</v>
      </c>
      <c r="E442" s="28" t="s">
        <v>46</v>
      </c>
      <c r="F442" s="29" t="s">
        <v>46</v>
      </c>
      <c r="G442" s="30" t="s">
        <v>46</v>
      </c>
      <c r="H442" s="31"/>
      <c r="I442" s="31" t="s">
        <v>416</v>
      </c>
      <c r="J442" s="32" t="n">
        <v>1.0</v>
      </c>
      <c r="K442" s="33" t="n">
        <f>173800</f>
        <v>173800.0</v>
      </c>
      <c r="L442" s="34" t="s">
        <v>48</v>
      </c>
      <c r="M442" s="33" t="n">
        <f>177200</f>
        <v>177200.0</v>
      </c>
      <c r="N442" s="34" t="s">
        <v>72</v>
      </c>
      <c r="O442" s="33" t="n">
        <f>169800</f>
        <v>169800.0</v>
      </c>
      <c r="P442" s="34" t="s">
        <v>50</v>
      </c>
      <c r="Q442" s="33" t="n">
        <f>172100</f>
        <v>172100.0</v>
      </c>
      <c r="R442" s="34" t="s">
        <v>51</v>
      </c>
      <c r="S442" s="35" t="n">
        <f>173250</f>
        <v>173250.0</v>
      </c>
      <c r="T442" s="32" t="n">
        <f>15599</f>
        <v>15599.0</v>
      </c>
      <c r="U442" s="32" t="n">
        <f>2025</f>
        <v>2025.0</v>
      </c>
      <c r="V442" s="32" t="n">
        <f>2704597892</f>
        <v>2.704597892E9</v>
      </c>
      <c r="W442" s="32" t="n">
        <f>350729192</f>
        <v>3.50729192E8</v>
      </c>
      <c r="X442" s="36" t="n">
        <f>20</f>
        <v>20.0</v>
      </c>
    </row>
    <row r="443">
      <c r="A443" s="27" t="s">
        <v>42</v>
      </c>
      <c r="B443" s="27" t="s">
        <v>1375</v>
      </c>
      <c r="C443" s="27" t="s">
        <v>1376</v>
      </c>
      <c r="D443" s="27" t="s">
        <v>1377</v>
      </c>
      <c r="E443" s="28" t="s">
        <v>46</v>
      </c>
      <c r="F443" s="29" t="s">
        <v>46</v>
      </c>
      <c r="G443" s="30" t="s">
        <v>46</v>
      </c>
      <c r="H443" s="31"/>
      <c r="I443" s="31" t="s">
        <v>47</v>
      </c>
      <c r="J443" s="32" t="n">
        <v>1.0</v>
      </c>
      <c r="K443" s="33" t="n">
        <f>239800</f>
        <v>239800.0</v>
      </c>
      <c r="L443" s="34" t="s">
        <v>48</v>
      </c>
      <c r="M443" s="33" t="n">
        <f>240900</f>
        <v>240900.0</v>
      </c>
      <c r="N443" s="34" t="s">
        <v>72</v>
      </c>
      <c r="O443" s="33" t="n">
        <f>228700</f>
        <v>228700.0</v>
      </c>
      <c r="P443" s="34" t="s">
        <v>50</v>
      </c>
      <c r="Q443" s="33" t="n">
        <f>236800</f>
        <v>236800.0</v>
      </c>
      <c r="R443" s="34" t="s">
        <v>51</v>
      </c>
      <c r="S443" s="35" t="n">
        <f>235585</f>
        <v>235585.0</v>
      </c>
      <c r="T443" s="32" t="n">
        <f>129133</f>
        <v>129133.0</v>
      </c>
      <c r="U443" s="32" t="n">
        <f>25141</f>
        <v>25141.0</v>
      </c>
      <c r="V443" s="32" t="n">
        <f>30471272401</f>
        <v>3.0471272401E10</v>
      </c>
      <c r="W443" s="32" t="n">
        <f>5934646001</f>
        <v>5.934646001E9</v>
      </c>
      <c r="X443" s="36" t="n">
        <f>20</f>
        <v>20.0</v>
      </c>
    </row>
    <row r="444">
      <c r="A444" s="27" t="s">
        <v>42</v>
      </c>
      <c r="B444" s="27" t="s">
        <v>1378</v>
      </c>
      <c r="C444" s="27" t="s">
        <v>1379</v>
      </c>
      <c r="D444" s="27" t="s">
        <v>1380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69200</f>
        <v>69200.0</v>
      </c>
      <c r="L444" s="34" t="s">
        <v>48</v>
      </c>
      <c r="M444" s="33" t="n">
        <f>75000</f>
        <v>75000.0</v>
      </c>
      <c r="N444" s="34" t="s">
        <v>66</v>
      </c>
      <c r="O444" s="33" t="n">
        <f>69100</f>
        <v>69100.0</v>
      </c>
      <c r="P444" s="34" t="s">
        <v>48</v>
      </c>
      <c r="Q444" s="33" t="n">
        <f>72500</f>
        <v>72500.0</v>
      </c>
      <c r="R444" s="34" t="s">
        <v>51</v>
      </c>
      <c r="S444" s="35" t="n">
        <f>71735</f>
        <v>71735.0</v>
      </c>
      <c r="T444" s="32" t="n">
        <f>466223</f>
        <v>466223.0</v>
      </c>
      <c r="U444" s="32" t="n">
        <f>114545</f>
        <v>114545.0</v>
      </c>
      <c r="V444" s="32" t="n">
        <f>33435695738</f>
        <v>3.3435695738E10</v>
      </c>
      <c r="W444" s="32" t="n">
        <f>8243918238</f>
        <v>8.243918238E9</v>
      </c>
      <c r="X444" s="36" t="n">
        <f>20</f>
        <v>20.0</v>
      </c>
    </row>
    <row r="445">
      <c r="A445" s="27" t="s">
        <v>42</v>
      </c>
      <c r="B445" s="27" t="s">
        <v>1381</v>
      </c>
      <c r="C445" s="27" t="s">
        <v>1382</v>
      </c>
      <c r="D445" s="27" t="s">
        <v>1383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89600</f>
        <v>89600.0</v>
      </c>
      <c r="L445" s="34" t="s">
        <v>48</v>
      </c>
      <c r="M445" s="33" t="n">
        <f>93100</f>
        <v>93100.0</v>
      </c>
      <c r="N445" s="34" t="s">
        <v>72</v>
      </c>
      <c r="O445" s="33" t="n">
        <f>87800</f>
        <v>87800.0</v>
      </c>
      <c r="P445" s="34" t="s">
        <v>50</v>
      </c>
      <c r="Q445" s="33" t="n">
        <f>88700</f>
        <v>88700.0</v>
      </c>
      <c r="R445" s="34" t="s">
        <v>51</v>
      </c>
      <c r="S445" s="35" t="n">
        <f>90270</f>
        <v>90270.0</v>
      </c>
      <c r="T445" s="32" t="n">
        <f>176486</f>
        <v>176486.0</v>
      </c>
      <c r="U445" s="32" t="n">
        <f>41672</f>
        <v>41672.0</v>
      </c>
      <c r="V445" s="32" t="n">
        <f>15917298146</f>
        <v>1.5917298146E10</v>
      </c>
      <c r="W445" s="32" t="n">
        <f>3751214346</f>
        <v>3.751214346E9</v>
      </c>
      <c r="X445" s="36" t="n">
        <f>20</f>
        <v>20.0</v>
      </c>
    </row>
    <row r="446">
      <c r="A446" s="27" t="s">
        <v>42</v>
      </c>
      <c r="B446" s="27" t="s">
        <v>1384</v>
      </c>
      <c r="C446" s="27" t="s">
        <v>1385</v>
      </c>
      <c r="D446" s="27" t="s">
        <v>1386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128800</f>
        <v>128800.0</v>
      </c>
      <c r="L446" s="34" t="s">
        <v>48</v>
      </c>
      <c r="M446" s="33" t="n">
        <f>131100</f>
        <v>131100.0</v>
      </c>
      <c r="N446" s="34" t="s">
        <v>72</v>
      </c>
      <c r="O446" s="33" t="n">
        <f>122300</f>
        <v>122300.0</v>
      </c>
      <c r="P446" s="34" t="s">
        <v>50</v>
      </c>
      <c r="Q446" s="33" t="n">
        <f>127700</f>
        <v>127700.0</v>
      </c>
      <c r="R446" s="34" t="s">
        <v>51</v>
      </c>
      <c r="S446" s="35" t="n">
        <f>126660</f>
        <v>126660.0</v>
      </c>
      <c r="T446" s="32" t="n">
        <f>78027</f>
        <v>78027.0</v>
      </c>
      <c r="U446" s="32" t="n">
        <f>16546</f>
        <v>16546.0</v>
      </c>
      <c r="V446" s="32" t="n">
        <f>9864253455</f>
        <v>9.864253455E9</v>
      </c>
      <c r="W446" s="32" t="n">
        <f>2088903655</f>
        <v>2.088903655E9</v>
      </c>
      <c r="X446" s="36" t="n">
        <f>20</f>
        <v>20.0</v>
      </c>
    </row>
    <row r="447">
      <c r="A447" s="27" t="s">
        <v>42</v>
      </c>
      <c r="B447" s="27" t="s">
        <v>1387</v>
      </c>
      <c r="C447" s="27" t="s">
        <v>1388</v>
      </c>
      <c r="D447" s="27" t="s">
        <v>1389</v>
      </c>
      <c r="E447" s="28" t="s">
        <v>46</v>
      </c>
      <c r="F447" s="29" t="s">
        <v>46</v>
      </c>
      <c r="G447" s="30" t="s">
        <v>46</v>
      </c>
      <c r="H447" s="31"/>
      <c r="I447" s="31" t="s">
        <v>416</v>
      </c>
      <c r="J447" s="32" t="n">
        <v>1.0</v>
      </c>
      <c r="K447" s="33" t="n">
        <f>43400</f>
        <v>43400.0</v>
      </c>
      <c r="L447" s="34" t="s">
        <v>48</v>
      </c>
      <c r="M447" s="33" t="n">
        <f>44700</f>
        <v>44700.0</v>
      </c>
      <c r="N447" s="34" t="s">
        <v>51</v>
      </c>
      <c r="O447" s="33" t="n">
        <f>43000</f>
        <v>43000.0</v>
      </c>
      <c r="P447" s="34" t="s">
        <v>48</v>
      </c>
      <c r="Q447" s="33" t="n">
        <f>44150</f>
        <v>44150.0</v>
      </c>
      <c r="R447" s="34" t="s">
        <v>51</v>
      </c>
      <c r="S447" s="35" t="n">
        <f>43872.5</f>
        <v>43872.5</v>
      </c>
      <c r="T447" s="32" t="n">
        <f>4299</f>
        <v>4299.0</v>
      </c>
      <c r="U447" s="32" t="n">
        <f>2</f>
        <v>2.0</v>
      </c>
      <c r="V447" s="32" t="n">
        <f>188444300</f>
        <v>1.884443E8</v>
      </c>
      <c r="W447" s="32" t="n">
        <f>88350</f>
        <v>88350.0</v>
      </c>
      <c r="X447" s="36" t="n">
        <f>20</f>
        <v>20.0</v>
      </c>
    </row>
    <row r="448">
      <c r="A448" s="27" t="s">
        <v>42</v>
      </c>
      <c r="B448" s="27" t="s">
        <v>1390</v>
      </c>
      <c r="C448" s="27" t="s">
        <v>1391</v>
      </c>
      <c r="D448" s="27" t="s">
        <v>1392</v>
      </c>
      <c r="E448" s="28" t="s">
        <v>46</v>
      </c>
      <c r="F448" s="29" t="s">
        <v>46</v>
      </c>
      <c r="G448" s="30" t="s">
        <v>46</v>
      </c>
      <c r="H448" s="31"/>
      <c r="I448" s="31" t="s">
        <v>416</v>
      </c>
      <c r="J448" s="32" t="n">
        <v>1.0</v>
      </c>
      <c r="K448" s="33" t="n">
        <f>76400</f>
        <v>76400.0</v>
      </c>
      <c r="L448" s="34" t="s">
        <v>48</v>
      </c>
      <c r="M448" s="33" t="n">
        <f>77300</f>
        <v>77300.0</v>
      </c>
      <c r="N448" s="34" t="s">
        <v>303</v>
      </c>
      <c r="O448" s="33" t="n">
        <f>73900</f>
        <v>73900.0</v>
      </c>
      <c r="P448" s="34" t="s">
        <v>50</v>
      </c>
      <c r="Q448" s="33" t="n">
        <f>76200</f>
        <v>76200.0</v>
      </c>
      <c r="R448" s="34" t="s">
        <v>51</v>
      </c>
      <c r="S448" s="35" t="n">
        <f>75750</f>
        <v>75750.0</v>
      </c>
      <c r="T448" s="32" t="n">
        <f>28232</f>
        <v>28232.0</v>
      </c>
      <c r="U448" s="32" t="n">
        <f>245</f>
        <v>245.0</v>
      </c>
      <c r="V448" s="32" t="n">
        <f>2138060279</f>
        <v>2.138060279E9</v>
      </c>
      <c r="W448" s="32" t="n">
        <f>18583679</f>
        <v>1.8583679E7</v>
      </c>
      <c r="X448" s="36" t="n">
        <f>20</f>
        <v>20.0</v>
      </c>
    </row>
    <row r="449">
      <c r="A449" s="27" t="s">
        <v>42</v>
      </c>
      <c r="B449" s="27" t="s">
        <v>1393</v>
      </c>
      <c r="C449" s="27" t="s">
        <v>1394</v>
      </c>
      <c r="D449" s="27" t="s">
        <v>1395</v>
      </c>
      <c r="E449" s="28" t="s">
        <v>46</v>
      </c>
      <c r="F449" s="29" t="s">
        <v>46</v>
      </c>
      <c r="G449" s="30" t="s">
        <v>46</v>
      </c>
      <c r="H449" s="31"/>
      <c r="I449" s="31" t="s">
        <v>416</v>
      </c>
      <c r="J449" s="32" t="n">
        <v>1.0</v>
      </c>
      <c r="K449" s="33" t="n">
        <f>43150</f>
        <v>43150.0</v>
      </c>
      <c r="L449" s="34" t="s">
        <v>48</v>
      </c>
      <c r="M449" s="33" t="n">
        <f>44800</f>
        <v>44800.0</v>
      </c>
      <c r="N449" s="34" t="s">
        <v>303</v>
      </c>
      <c r="O449" s="33" t="n">
        <f>41700</f>
        <v>41700.0</v>
      </c>
      <c r="P449" s="34" t="s">
        <v>72</v>
      </c>
      <c r="Q449" s="33" t="n">
        <f>42400</f>
        <v>42400.0</v>
      </c>
      <c r="R449" s="34" t="s">
        <v>51</v>
      </c>
      <c r="S449" s="35" t="n">
        <f>43302.5</f>
        <v>43302.5</v>
      </c>
      <c r="T449" s="32" t="n">
        <f>13551</f>
        <v>13551.0</v>
      </c>
      <c r="U449" s="32" t="str">
        <f>"－"</f>
        <v>－</v>
      </c>
      <c r="V449" s="32" t="n">
        <f>583728250</f>
        <v>5.8372825E8</v>
      </c>
      <c r="W449" s="32" t="str">
        <f>"－"</f>
        <v>－</v>
      </c>
      <c r="X449" s="36" t="n">
        <f>20</f>
        <v>20.0</v>
      </c>
    </row>
    <row r="450">
      <c r="A450" s="27" t="s">
        <v>42</v>
      </c>
      <c r="B450" s="27" t="s">
        <v>1396</v>
      </c>
      <c r="C450" s="27" t="s">
        <v>1397</v>
      </c>
      <c r="D450" s="27" t="s">
        <v>1398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47700</f>
        <v>47700.0</v>
      </c>
      <c r="L450" s="34" t="s">
        <v>48</v>
      </c>
      <c r="M450" s="33" t="n">
        <f>48550</f>
        <v>48550.0</v>
      </c>
      <c r="N450" s="34" t="s">
        <v>51</v>
      </c>
      <c r="O450" s="33" t="n">
        <f>46750</f>
        <v>46750.0</v>
      </c>
      <c r="P450" s="34" t="s">
        <v>66</v>
      </c>
      <c r="Q450" s="33" t="n">
        <f>48050</f>
        <v>48050.0</v>
      </c>
      <c r="R450" s="34" t="s">
        <v>51</v>
      </c>
      <c r="S450" s="35" t="n">
        <f>47487.5</f>
        <v>47487.5</v>
      </c>
      <c r="T450" s="32" t="n">
        <f>37677</f>
        <v>37677.0</v>
      </c>
      <c r="U450" s="32" t="n">
        <f>543</f>
        <v>543.0</v>
      </c>
      <c r="V450" s="32" t="n">
        <f>1786769096</f>
        <v>1.786769096E9</v>
      </c>
      <c r="W450" s="32" t="n">
        <f>25564796</f>
        <v>2.5564796E7</v>
      </c>
      <c r="X450" s="36" t="n">
        <f>20</f>
        <v>20.0</v>
      </c>
    </row>
    <row r="451">
      <c r="A451" s="27" t="s">
        <v>42</v>
      </c>
      <c r="B451" s="27" t="s">
        <v>1399</v>
      </c>
      <c r="C451" s="27" t="s">
        <v>1400</v>
      </c>
      <c r="D451" s="27" t="s">
        <v>1401</v>
      </c>
      <c r="E451" s="28" t="s">
        <v>46</v>
      </c>
      <c r="F451" s="29" t="s">
        <v>46</v>
      </c>
      <c r="G451" s="30" t="s">
        <v>46</v>
      </c>
      <c r="H451" s="31"/>
      <c r="I451" s="31" t="s">
        <v>416</v>
      </c>
      <c r="J451" s="32" t="n">
        <v>1.0</v>
      </c>
      <c r="K451" s="33" t="n">
        <f>44150</f>
        <v>44150.0</v>
      </c>
      <c r="L451" s="34" t="s">
        <v>48</v>
      </c>
      <c r="M451" s="33" t="n">
        <f>44950</f>
        <v>44950.0</v>
      </c>
      <c r="N451" s="34" t="s">
        <v>159</v>
      </c>
      <c r="O451" s="33" t="n">
        <f>42150</f>
        <v>42150.0</v>
      </c>
      <c r="P451" s="34" t="s">
        <v>72</v>
      </c>
      <c r="Q451" s="33" t="n">
        <f>43200</f>
        <v>43200.0</v>
      </c>
      <c r="R451" s="34" t="s">
        <v>51</v>
      </c>
      <c r="S451" s="35" t="n">
        <f>43247.5</f>
        <v>43247.5</v>
      </c>
      <c r="T451" s="32" t="n">
        <f>42750</f>
        <v>42750.0</v>
      </c>
      <c r="U451" s="32" t="n">
        <f>3275</f>
        <v>3275.0</v>
      </c>
      <c r="V451" s="32" t="n">
        <f>1839524489</f>
        <v>1.839524489E9</v>
      </c>
      <c r="W451" s="32" t="n">
        <f>138712439</f>
        <v>1.38712439E8</v>
      </c>
      <c r="X451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