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2330"/>
  </bookViews>
  <sheets>
    <sheet name="BO_EM0004" sheetId="1" r:id="rId1"/>
  </sheets>
  <definedNames>
    <definedName name="_xlnm.Print_Titles" localSheetId="0">BO_EM0004!$1:$6</definedName>
  </definedNames>
  <calcPr calcId="145621"/>
</workbook>
</file>

<file path=xl/sharedStrings.xml><?xml version="1.0" encoding="utf-8"?>
<sst xmlns="http://schemas.openxmlformats.org/spreadsheetml/2006/main" count="5422" uniqueCount="1409">
  <si>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</si>
  <si>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sb="0" eb="1">
      <t>トウ</t>
    </rPh>
    <rPh sb="2" eb="3">
      <t>シン</t>
    </rPh>
    <rPh sb="4" eb="5">
      <t>トウ</t>
    </rPh>
    <rPh sb="6" eb="7">
      <t>ソウ</t>
    </rPh>
    <rPh sb="8" eb="9">
      <t>バ</t>
    </rPh>
    <rPh sb="10" eb="11">
      <t>ヒョウ</t>
    </rPh>
    <phoneticPr fontId="3"/>
  </si>
  <si>
    <t>Investment Trust Quotations</t>
    <phoneticPr fontId="3"/>
  </si>
  <si>
    <t>年月</t>
  </si>
  <si>
    <t>銘柄コード</t>
    <rPh sb="0" eb="2">
      <t>メイガラ</t>
    </rPh>
    <phoneticPr fontId="3"/>
  </si>
  <si>
    <t>銘柄名称</t>
    <rPh sb="0" eb="2">
      <t>メイガラ</t>
    </rPh>
    <rPh sb="2" eb="4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</si>
  <si>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</si>
  <si>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</si>
  <si>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</si>
  <si>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sb="0" eb="2">
      <t>ヒヅケ</t>
    </rPh>
    <phoneticPr fontId="3"/>
  </si>
  <si>
    <t>区分</t>
  </si>
  <si>
    <t>信用・貸借</t>
    <rPh sb="0" eb="2">
      <t>シンヨウ</t>
    </rPh>
    <rPh sb="3" eb="5">
      <t>タイシャク</t>
    </rPh>
    <phoneticPr fontId="3"/>
  </si>
  <si>
    <t>売買単位</t>
    <rPh sb="0" eb="2">
      <t>バイバイ</t>
    </rPh>
    <rPh sb="2" eb="4">
      <t>タンイ</t>
    </rPh>
    <phoneticPr fontId="3"/>
  </si>
  <si>
    <t>始値</t>
    <rPh sb="0" eb="2">
      <t>ハジメネ</t>
    </rPh>
    <phoneticPr fontId="3"/>
  </si>
  <si>
    <t>高値</t>
    <rPh sb="0" eb="1">
      <t>タカ</t>
    </rPh>
    <rPh sb="1" eb="2">
      <t>ネ</t>
    </rPh>
    <phoneticPr fontId="3"/>
  </si>
  <si>
    <t>安値</t>
    <rPh sb="0" eb="2">
      <t>ヤスネ</t>
    </rPh>
    <phoneticPr fontId="3"/>
  </si>
  <si>
    <t>終値</t>
    <rPh sb="0" eb="2">
      <t>オワリネ</t>
    </rPh>
    <phoneticPr fontId="3"/>
  </si>
  <si>
    <t>終値平均</t>
    <rPh sb="0" eb="2">
      <t>オワリネ</t>
    </rPh>
    <rPh sb="2" eb="4">
      <t>ヘイキン</t>
    </rPh>
    <phoneticPr fontId="3"/>
  </si>
  <si>
    <t>売買高</t>
    <rPh sb="0" eb="3">
      <t>バイバイダカ</t>
    </rPh>
    <phoneticPr fontId="3"/>
  </si>
  <si>
    <t>うちToSTNeT売買高</t>
  </si>
  <si>
    <t>売買代金</t>
    <rPh sb="0" eb="2">
      <t>バイバイ</t>
    </rPh>
    <rPh sb="2" eb="4">
      <t>ダイキン</t>
    </rPh>
    <phoneticPr fontId="3"/>
  </si>
  <si>
    <t>うちToSTNeT売買代金</t>
  </si>
  <si>
    <t>値付日数</t>
    <rPh sb="0" eb="2">
      <t>ネツ</t>
    </rPh>
    <rPh sb="2" eb="4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</si>
  <si>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</si>
  <si>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</si>
  <si>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</si>
  <si>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</si>
  <si>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</si>
  <si>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</si>
  <si>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</si>
  <si>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</si>
  <si>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</si>
  <si>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</si>
  <si>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</si>
  <si>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</si>
  <si>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</si>
  <si>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</si>
  <si>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</si>
  <si>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</si>
  <si>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</si>
  <si>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</si>
  <si>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</si>
  <si>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2025/04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</si>
  <si>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</si>
  <si>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</si>
  <si>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</si>
  <si>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</si>
  <si>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</si>
  <si>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</si>
  <si>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7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</si>
  <si>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</si>
  <si>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</si>
  <si>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</si>
  <si>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</si>
  <si>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</si>
  <si>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</si>
  <si>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Listed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</si>
  <si>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</si>
  <si>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</si>
  <si>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</si>
  <si>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8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</si>
  <si>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</si>
  <si>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</si>
  <si>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</si>
  <si>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</si>
  <si>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</si>
  <si>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</si>
  <si>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25</t>
  </si>
  <si>
    <t>1320</t>
  </si>
  <si>
    <t>ｉＦｒｅｅＥＴＦ　日経２２５（年１回決算型）　受益証券</t>
  </si>
  <si>
    <t>iFreeETF Nikkei225 (Yearly Dividend Type)</t>
  </si>
  <si>
    <t>28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</si>
  <si>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</si>
  <si>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</si>
  <si>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</si>
  <si>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</si>
  <si>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</si>
  <si>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</si>
  <si>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9</t>
  </si>
  <si>
    <t>1325</t>
  </si>
  <si>
    <t>ＮＥＸＴ　ＦＵＮＤＳ　ブラジル株式指数・ボベスパ連動型上場投信　受益証券</t>
  </si>
  <si>
    <t>NEXT FUNDS Ibovespa Linked Exchange Traded Fund</t>
  </si>
  <si>
    <t>2</t>
  </si>
  <si>
    <t>1326</t>
  </si>
  <si>
    <t>ＳＰＤＲゴールド・シェア　受益証券</t>
  </si>
  <si>
    <t>SPDR Gold Shares</t>
  </si>
  <si>
    <t>22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</si>
  <si>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</si>
  <si>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</si>
  <si>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</si>
  <si>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</si>
  <si>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</si>
  <si>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</si>
  <si>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 xml:space="preserve">新株落ち  </t>
  </si>
  <si>
    <t xml:space="preserve">ex-subscription right  </t>
  </si>
  <si>
    <t>3</t>
  </si>
  <si>
    <t>1330</t>
  </si>
  <si>
    <t>上場インデックスファンド２２５　受益証券</t>
  </si>
  <si>
    <t>Listed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</si>
  <si>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</si>
  <si>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</si>
  <si>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</si>
  <si>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</si>
  <si>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</si>
  <si>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</si>
  <si>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23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</si>
  <si>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</si>
  <si>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</si>
  <si>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</si>
  <si>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</si>
  <si>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</si>
  <si>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</si>
  <si>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</si>
  <si>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</si>
  <si>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</si>
  <si>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</si>
  <si>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</si>
  <si>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</si>
  <si>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</si>
  <si>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</si>
  <si>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</si>
  <si>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</si>
  <si>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</si>
  <si>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</si>
  <si>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</si>
  <si>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</si>
  <si>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</si>
  <si>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</si>
  <si>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</si>
  <si>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</si>
  <si>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</si>
  <si>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</si>
  <si>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</si>
  <si>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</si>
  <si>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</si>
  <si>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</si>
  <si>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</si>
  <si>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</si>
  <si>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</si>
  <si>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</si>
  <si>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</si>
  <si>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</si>
  <si>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</si>
  <si>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</si>
  <si>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</si>
  <si>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</si>
  <si>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</si>
  <si>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</si>
  <si>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</si>
  <si>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</si>
  <si>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</si>
  <si>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</si>
  <si>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</si>
  <si>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</si>
  <si>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</si>
  <si>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</si>
  <si>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</si>
  <si>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</si>
  <si>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</si>
  <si>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</si>
  <si>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14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</si>
  <si>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</si>
  <si>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</si>
  <si>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</si>
  <si>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</si>
  <si>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</si>
  <si>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</si>
  <si>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</si>
  <si>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</si>
  <si>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</si>
  <si>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</si>
  <si>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</si>
  <si>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</si>
  <si>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</si>
  <si>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</si>
  <si>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</si>
  <si>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</si>
  <si>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</si>
  <si>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</si>
  <si>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</si>
  <si>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</si>
  <si>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</si>
  <si>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</si>
  <si>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</si>
  <si>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</si>
  <si>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</si>
  <si>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</si>
  <si>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</si>
  <si>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</si>
  <si>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</si>
  <si>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</si>
  <si>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</si>
  <si>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</si>
  <si>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</si>
  <si>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</si>
  <si>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</si>
  <si>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</si>
  <si>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</si>
  <si>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</si>
  <si>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</si>
  <si>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</si>
  <si>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</si>
  <si>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</si>
  <si>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4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</si>
  <si>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</si>
  <si>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</si>
  <si>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</si>
  <si>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</si>
  <si>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</si>
  <si>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</si>
  <si>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</si>
  <si>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</si>
  <si>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</si>
  <si>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</si>
  <si>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</si>
  <si>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</si>
  <si>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</si>
  <si>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</si>
  <si>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</si>
  <si>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10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</si>
  <si>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</si>
  <si>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</si>
  <si>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</si>
  <si>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11</t>
  </si>
  <si>
    <t>18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</si>
  <si>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</si>
  <si>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</si>
  <si>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</si>
  <si>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</si>
  <si>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</si>
  <si>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</si>
  <si>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</si>
  <si>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</si>
  <si>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</si>
  <si>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</si>
  <si>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</si>
  <si>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</si>
  <si>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</si>
  <si>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</si>
  <si>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</si>
  <si>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16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</si>
  <si>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</si>
  <si>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</si>
  <si>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</si>
  <si>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</si>
  <si>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</si>
  <si>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</si>
  <si>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</si>
  <si>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</si>
  <si>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</si>
  <si>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</si>
  <si>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</si>
  <si>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</si>
  <si>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</si>
  <si>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</si>
  <si>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</si>
  <si>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</si>
  <si>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</si>
  <si>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</si>
  <si>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</si>
  <si>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</si>
  <si>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</si>
  <si>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</si>
  <si>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</si>
  <si>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</si>
  <si>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</si>
  <si>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</si>
  <si>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</si>
  <si>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</si>
  <si>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</si>
  <si>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</si>
  <si>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</si>
  <si>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</si>
  <si>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</si>
  <si>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</si>
  <si>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</si>
  <si>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</si>
  <si>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</si>
  <si>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</si>
  <si>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</si>
  <si>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</si>
  <si>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</si>
  <si>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</si>
  <si>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</si>
  <si>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</si>
  <si>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</si>
  <si>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</si>
  <si>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</si>
  <si>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</si>
  <si>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24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</si>
  <si>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</si>
  <si>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</si>
  <si>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</si>
  <si>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</si>
  <si>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</si>
  <si>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</si>
  <si>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</si>
  <si>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</si>
  <si>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</si>
  <si>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</si>
  <si>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</si>
  <si>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</si>
  <si>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</si>
  <si>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</si>
  <si>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</si>
  <si>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</si>
  <si>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</si>
  <si>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</si>
  <si>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</si>
  <si>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</si>
  <si>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</si>
  <si>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</si>
  <si>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</si>
  <si>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</si>
  <si>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</si>
  <si>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</si>
  <si>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</si>
  <si>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</si>
  <si>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</si>
  <si>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</si>
  <si>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</si>
  <si>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</si>
  <si>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</si>
  <si>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</si>
  <si>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</si>
  <si>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</si>
  <si>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</si>
  <si>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</si>
  <si>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</si>
  <si>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</si>
  <si>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</si>
  <si>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</si>
  <si>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</si>
  <si>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</si>
  <si>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</si>
  <si>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</si>
  <si>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</si>
  <si>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</si>
  <si>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</si>
  <si>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</si>
  <si>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</si>
  <si>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</si>
  <si>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</si>
  <si>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</si>
  <si>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</si>
  <si>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</si>
  <si>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</si>
  <si>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</si>
  <si>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</si>
  <si>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</si>
  <si>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</si>
  <si>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</si>
  <si>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</si>
  <si>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</si>
  <si>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</si>
  <si>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</si>
  <si>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</si>
  <si>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</si>
  <si>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</si>
  <si>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</si>
  <si>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</si>
  <si>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</si>
  <si>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</si>
  <si>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</si>
  <si>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</si>
  <si>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</si>
  <si>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</si>
  <si>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</si>
  <si>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</si>
  <si>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</si>
  <si>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</si>
  <si>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</si>
  <si>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</si>
  <si>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</si>
  <si>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</si>
  <si>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</si>
  <si>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</si>
  <si>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</si>
  <si>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</si>
  <si>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</si>
  <si>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</si>
  <si>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</si>
  <si>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</si>
  <si>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</si>
  <si>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</si>
  <si>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</si>
  <si>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</si>
  <si>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</si>
  <si>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</si>
  <si>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</si>
  <si>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</si>
  <si>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</si>
  <si>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</si>
  <si>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</si>
  <si>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</si>
  <si>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</si>
  <si>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</si>
  <si>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</si>
  <si>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</si>
  <si>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</si>
  <si>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</si>
  <si>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</si>
  <si>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</si>
  <si>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</si>
  <si>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</si>
  <si>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</si>
  <si>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</si>
  <si>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</si>
  <si>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</si>
  <si>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</si>
  <si>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</si>
  <si>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</si>
  <si>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</si>
  <si>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</si>
  <si>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</si>
  <si>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</si>
  <si>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</si>
  <si>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</si>
  <si>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</si>
  <si>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</si>
  <si>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</si>
  <si>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</si>
  <si>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</si>
  <si>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</si>
  <si>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</si>
  <si>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</si>
  <si>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</si>
  <si>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</si>
  <si>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</si>
  <si>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</si>
  <si>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</si>
  <si>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</si>
  <si>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</si>
  <si>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</si>
  <si>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</si>
  <si>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</si>
  <si>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</si>
  <si>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</si>
  <si>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</si>
  <si>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</si>
  <si>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</si>
  <si>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</si>
  <si>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</si>
  <si>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</si>
  <si>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17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</si>
  <si>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</si>
  <si>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</si>
  <si>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</si>
  <si>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</si>
  <si>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</si>
  <si>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</si>
  <si>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</si>
  <si>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</si>
  <si>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</si>
  <si>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</si>
  <si>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</si>
  <si>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</si>
  <si>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</si>
  <si>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</si>
  <si>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</si>
  <si>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</si>
  <si>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</si>
  <si>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</si>
  <si>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</si>
  <si>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</si>
  <si>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</si>
  <si>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</si>
  <si>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</si>
  <si>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</si>
  <si>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</si>
  <si>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</si>
  <si>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</si>
  <si>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</si>
  <si>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</si>
  <si>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</si>
  <si>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</si>
  <si>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</si>
  <si>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</si>
  <si>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</si>
  <si>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</si>
  <si>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</si>
  <si>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</si>
  <si>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</si>
  <si>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</si>
  <si>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</si>
  <si>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</si>
  <si>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</si>
  <si>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</si>
  <si>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</si>
  <si>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</si>
  <si>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</si>
  <si>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</si>
  <si>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</si>
  <si>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</si>
  <si>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</si>
  <si>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</si>
  <si>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</si>
  <si>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</si>
  <si>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</si>
  <si>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</si>
  <si>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</si>
  <si>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</si>
  <si>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</si>
  <si>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</si>
  <si>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</si>
  <si>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</si>
  <si>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</si>
  <si>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</si>
  <si>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</si>
  <si>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</si>
  <si>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</si>
  <si>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</si>
  <si>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</si>
  <si>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</si>
  <si>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</si>
  <si>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</si>
  <si>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</si>
  <si>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</si>
  <si>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</si>
  <si>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</si>
  <si>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</si>
  <si>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</si>
  <si>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</si>
  <si>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</si>
  <si>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</si>
  <si>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</si>
  <si>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</si>
  <si>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</si>
  <si>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</si>
  <si>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</si>
  <si>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</si>
  <si>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</si>
  <si>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</si>
  <si>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</si>
  <si>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</si>
  <si>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</si>
  <si>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</si>
  <si>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</si>
  <si>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</si>
  <si>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</si>
  <si>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</si>
  <si>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</si>
  <si>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</si>
  <si>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</si>
  <si>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</si>
  <si>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</si>
  <si>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</si>
  <si>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</si>
  <si>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</si>
  <si>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</si>
  <si>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</si>
  <si>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</si>
  <si>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</si>
  <si>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</si>
  <si>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</si>
  <si>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</si>
  <si>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</si>
  <si>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</si>
  <si>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</si>
  <si>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</si>
  <si>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</si>
  <si>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</si>
  <si>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</si>
  <si>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</si>
  <si>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</si>
  <si>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</si>
  <si>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</si>
  <si>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</si>
  <si>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</si>
  <si>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</si>
  <si>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</si>
  <si>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</si>
  <si>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</si>
  <si>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</si>
  <si>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</si>
  <si>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</si>
  <si>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</si>
  <si>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</si>
  <si>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</si>
  <si>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</si>
  <si>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</si>
  <si>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</si>
  <si>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</si>
  <si>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</si>
  <si>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</si>
  <si>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</si>
  <si>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</si>
  <si>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</si>
  <si>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</si>
  <si>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</si>
  <si>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</si>
  <si>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</si>
  <si>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</si>
  <si>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</si>
  <si>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</si>
  <si>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</si>
  <si>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</si>
  <si>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</si>
  <si>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</si>
  <si>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</si>
  <si>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</si>
  <si>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</si>
  <si>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</si>
  <si>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</si>
  <si>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</si>
  <si>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</si>
  <si>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</si>
  <si>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</si>
  <si>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</si>
  <si>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</si>
  <si>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</si>
  <si>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</si>
  <si>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</si>
  <si>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</si>
  <si>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</si>
  <si>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</si>
  <si>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</si>
  <si>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</si>
  <si>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</si>
  <si>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</si>
  <si>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</si>
  <si>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</si>
  <si>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</si>
  <si>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</si>
  <si>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</si>
  <si>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</si>
  <si>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</si>
  <si>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</si>
  <si>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</si>
  <si>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</si>
  <si>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</si>
  <si>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</si>
  <si>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</si>
  <si>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</si>
  <si>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21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</si>
  <si>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</si>
  <si>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</si>
  <si>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</si>
  <si>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</si>
  <si>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</si>
  <si>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</si>
  <si>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</si>
  <si>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</si>
  <si>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</si>
  <si>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</si>
  <si>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</si>
  <si>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</si>
  <si>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</si>
  <si>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</si>
  <si>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</si>
  <si>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</si>
  <si>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</si>
  <si>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</si>
  <si>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</si>
  <si>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</si>
  <si>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</si>
  <si>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</si>
  <si>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</si>
  <si>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</si>
  <si>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</si>
  <si>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</si>
  <si>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</si>
  <si>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</si>
  <si>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</si>
  <si>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</si>
  <si>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</si>
  <si>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</si>
  <si>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</si>
  <si>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</si>
  <si>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</si>
  <si>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</si>
  <si>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</si>
  <si>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</si>
  <si>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</si>
  <si>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</si>
  <si>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</si>
  <si>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</si>
  <si>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</si>
  <si>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</si>
  <si>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</si>
  <si>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</si>
  <si>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</si>
  <si>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</si>
  <si>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</si>
  <si>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</si>
  <si>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</si>
  <si>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</si>
  <si>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</si>
  <si>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</si>
  <si>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</si>
  <si>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</si>
  <si>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</si>
  <si>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</si>
  <si>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</si>
  <si>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</si>
  <si>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</si>
  <si>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</si>
  <si>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</si>
  <si>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</si>
  <si>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</si>
  <si>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</si>
  <si>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</si>
  <si>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</si>
  <si>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</si>
  <si>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</si>
  <si>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</si>
  <si>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</si>
  <si>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</si>
  <si>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</si>
  <si>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</si>
  <si>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</si>
  <si>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</si>
  <si>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</si>
  <si>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</si>
  <si>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</si>
  <si>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</si>
  <si>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</si>
  <si>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</si>
  <si>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</si>
  <si>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</si>
  <si>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</si>
  <si>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</si>
  <si>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</si>
  <si>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</si>
  <si>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</si>
  <si>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</si>
  <si>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</si>
  <si>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</si>
  <si>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</si>
  <si>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</si>
  <si>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</si>
  <si>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</si>
  <si>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</si>
  <si>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</si>
  <si>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</si>
  <si>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</si>
  <si>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</si>
  <si>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</si>
  <si>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</si>
  <si>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</si>
  <si>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</si>
  <si>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</si>
  <si>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</si>
  <si>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</si>
  <si>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</si>
  <si>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</si>
  <si>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</si>
  <si>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</si>
  <si>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</si>
  <si>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</si>
  <si>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</si>
  <si>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</si>
  <si>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</si>
  <si>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</si>
  <si>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</si>
  <si>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</si>
  <si>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</si>
  <si>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</si>
  <si>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</si>
  <si>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</si>
  <si>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</si>
  <si>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</si>
  <si>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</si>
  <si>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</si>
  <si>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</si>
  <si>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</si>
  <si>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</si>
  <si>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</si>
  <si>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</si>
  <si>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</si>
  <si>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</si>
  <si>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</si>
  <si>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</si>
  <si>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</si>
  <si>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</si>
  <si>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</si>
  <si>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</si>
  <si>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</si>
  <si>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</si>
  <si>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</si>
  <si>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</si>
  <si>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</si>
  <si>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</si>
  <si>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</si>
  <si>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</si>
  <si>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</si>
  <si>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</si>
  <si>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</si>
  <si>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</si>
  <si>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</si>
  <si>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</si>
  <si>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</si>
  <si>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</si>
  <si>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</si>
  <si>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</si>
  <si>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</si>
  <si>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</si>
  <si>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</si>
  <si>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</si>
  <si>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</si>
  <si>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</si>
  <si>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</si>
  <si>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</si>
  <si>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</si>
  <si>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</si>
  <si>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</si>
  <si>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</si>
  <si>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</si>
  <si>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</si>
  <si>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</si>
  <si>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</si>
  <si>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</si>
  <si>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</si>
  <si>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</si>
  <si>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</si>
  <si>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</si>
  <si>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</si>
  <si>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</si>
  <si>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</si>
  <si>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</si>
  <si>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</si>
  <si>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</si>
  <si>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</si>
  <si>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</si>
  <si>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</si>
  <si>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</si>
  <si>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</si>
  <si>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</si>
  <si>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</si>
  <si>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</si>
  <si>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</si>
  <si>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</si>
  <si>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</si>
  <si>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</si>
  <si>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</si>
  <si>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</si>
  <si>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</si>
  <si>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</si>
  <si>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</si>
  <si>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</si>
  <si>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</si>
  <si>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</si>
  <si>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</si>
  <si>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</si>
  <si>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</si>
  <si>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</si>
  <si>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</si>
  <si>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</si>
  <si>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</si>
  <si>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</si>
  <si>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</si>
  <si>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</si>
  <si>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</si>
  <si>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</si>
  <si>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</si>
  <si>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</si>
  <si>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</si>
  <si>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</si>
  <si>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</si>
  <si>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</si>
  <si>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</si>
  <si>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</si>
  <si>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</si>
  <si>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</si>
  <si>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</si>
  <si>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</si>
  <si>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</si>
  <si>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</si>
  <si>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</si>
  <si>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</si>
  <si>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</si>
  <si>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</si>
  <si>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</si>
  <si>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</si>
  <si>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</si>
  <si>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</si>
  <si>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</si>
  <si>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</si>
  <si>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</si>
  <si>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</si>
  <si>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</si>
  <si>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</si>
  <si>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</si>
  <si>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</si>
  <si>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</si>
  <si>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</si>
  <si>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</si>
  <si>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</si>
  <si>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</si>
  <si>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</si>
  <si>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</si>
  <si>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</si>
  <si>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</si>
  <si>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</si>
  <si>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</si>
  <si>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</si>
  <si>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</si>
  <si>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</si>
  <si>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</si>
  <si>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</si>
  <si>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</si>
  <si>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</si>
  <si>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</si>
  <si>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</si>
  <si>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</si>
  <si>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</si>
  <si>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</si>
  <si>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</si>
  <si>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</si>
  <si>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</si>
  <si>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</si>
  <si>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</si>
  <si>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</si>
  <si>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</si>
  <si>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</si>
  <si>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</si>
  <si>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</si>
  <si>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</si>
  <si>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</si>
  <si>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</si>
  <si>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</si>
  <si>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</si>
  <si>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</si>
  <si>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</si>
  <si>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</si>
  <si>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</si>
  <si>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</si>
  <si>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</si>
  <si>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</si>
  <si>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</si>
  <si>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</si>
  <si>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</si>
  <si>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</si>
  <si>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</si>
  <si>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</si>
  <si>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</si>
  <si>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</si>
  <si>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</si>
  <si>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</si>
  <si>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</si>
  <si>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</si>
  <si>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15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</si>
  <si>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</si>
  <si>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</si>
  <si>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</si>
  <si>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</si>
  <si>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</si>
  <si>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</si>
  <si>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</si>
  <si>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</si>
  <si>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</si>
  <si>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</si>
  <si>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</si>
  <si>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</si>
  <si>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</si>
  <si>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</si>
  <si>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</si>
  <si>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</si>
  <si>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</si>
  <si>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</si>
  <si>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</si>
  <si>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</si>
  <si>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</si>
  <si>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</si>
  <si>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</si>
  <si>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</si>
  <si>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</si>
  <si>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</si>
  <si>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</si>
  <si>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</si>
  <si>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</si>
  <si>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</si>
  <si>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</si>
  <si>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</si>
  <si>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</si>
  <si>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</si>
  <si>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</si>
  <si>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</si>
  <si>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</si>
  <si>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</si>
  <si>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</si>
  <si>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</si>
  <si>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</si>
  <si>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</si>
  <si>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</si>
  <si>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</si>
  <si>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</si>
  <si>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</si>
  <si>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</si>
  <si>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</si>
  <si>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</si>
  <si>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</si>
  <si>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</si>
  <si>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</si>
  <si>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</si>
  <si>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</si>
  <si>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</si>
  <si>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</si>
  <si>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</si>
  <si>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</si>
  <si>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</si>
  <si>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</si>
  <si>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</si>
  <si>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</si>
  <si>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</si>
  <si>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</si>
  <si>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</si>
  <si>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</si>
  <si>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</si>
  <si>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</si>
  <si>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</si>
  <si>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</si>
  <si>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</si>
  <si>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</si>
  <si>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</si>
  <si>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</si>
  <si>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</si>
  <si>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</si>
  <si>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５００スコアリング＆スクリーニング指数連動型上場投信　受益証券</t>
  </si>
  <si>
    <t>NEXT FUNDS S&amp;P 500 Scored &amp; Screened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</si>
  <si>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</si>
  <si>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</si>
  <si>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</si>
  <si>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</si>
  <si>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</si>
  <si>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</si>
  <si>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</si>
  <si>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</si>
  <si>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</si>
  <si>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</si>
  <si>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</si>
  <si>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</si>
  <si>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</si>
  <si>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</si>
  <si>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</si>
  <si>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</si>
  <si>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</si>
  <si>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</si>
  <si>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</si>
  <si>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</si>
  <si>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</si>
  <si>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</si>
  <si>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ＭＳＣＩジャパンカントリー指数（セレクト）連動型上場投信　受益証券</t>
  </si>
  <si>
    <t>NEXT FUNDS MSCI Japan Country Selection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</si>
  <si>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</si>
  <si>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</si>
  <si>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</si>
  <si>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</si>
  <si>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</si>
  <si>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</si>
  <si>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</si>
  <si>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</si>
  <si>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</si>
  <si>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</si>
  <si>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</si>
  <si>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</si>
  <si>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</si>
  <si>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</si>
  <si>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</si>
  <si>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</si>
  <si>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</si>
  <si>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</si>
  <si>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273A</t>
  </si>
  <si>
    <t>ＳＢＩ　サウジアラビア株式上場投信　受益証券</t>
  </si>
  <si>
    <t>SBI Saudi Arabia Equity Exchange Traded Fund</t>
  </si>
  <si>
    <t>282A</t>
  </si>
  <si>
    <t>グローバルＸ　半導体・トップ１０－日本株式　ＥＴＦ　受益証券</t>
  </si>
  <si>
    <t>Global X Japan Semiconductor Top 10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</si>
  <si>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</si>
  <si>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</si>
  <si>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</si>
  <si>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</si>
  <si>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</si>
  <si>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</si>
  <si>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</si>
  <si>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</si>
  <si>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</si>
  <si>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</si>
  <si>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</si>
  <si>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</si>
  <si>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283A</t>
  </si>
  <si>
    <t>グローバルＸ　ＵＳ　テック・配当貴族　ＥＴＦ　受益証券</t>
  </si>
  <si>
    <t>Global X US Tech Dividend Aristocrats ETF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</si>
  <si>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</si>
  <si>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</si>
  <si>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</si>
  <si>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</si>
  <si>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</si>
  <si>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</si>
  <si>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</si>
  <si>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</si>
  <si>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</si>
  <si>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</si>
  <si>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</si>
  <si>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</si>
  <si>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</si>
  <si>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</si>
  <si>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</si>
  <si>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</si>
  <si>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</si>
  <si>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</si>
  <si>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</si>
  <si>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</si>
  <si>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</si>
  <si>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</si>
  <si>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</si>
  <si>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</si>
  <si>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</si>
  <si>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</si>
  <si>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</si>
  <si>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</si>
  <si>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</si>
  <si>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</si>
  <si>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</si>
  <si>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</si>
  <si>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</si>
  <si>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確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</si>
  <si>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</si>
  <si>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</si>
  <si>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</si>
  <si>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</si>
  <si>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</si>
  <si>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</si>
  <si>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</si>
  <si>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</si>
  <si>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</si>
  <si>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</si>
  <si>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</si>
  <si>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</si>
  <si>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</si>
  <si>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</si>
  <si>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</si>
  <si>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</si>
  <si>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</si>
  <si>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</si>
  <si>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</si>
  <si>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</si>
  <si>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</si>
  <si>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</si>
  <si>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</si>
  <si>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</si>
  <si>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</si>
  <si>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</si>
  <si>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</si>
  <si>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</si>
  <si>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</si>
  <si>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</si>
  <si>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</si>
  <si>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</si>
  <si>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</si>
  <si>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</si>
  <si>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</si>
  <si>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</si>
  <si>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</si>
  <si>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</si>
  <si>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</si>
  <si>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</si>
  <si>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</si>
  <si>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</si>
  <si>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</si>
  <si>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</si>
  <si>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</si>
  <si>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</si>
  <si>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</si>
  <si>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</si>
  <si>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</si>
  <si>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</si>
  <si>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</si>
  <si>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</si>
  <si>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</si>
  <si>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</si>
  <si>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</si>
  <si>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</si>
  <si>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</si>
  <si>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</si>
  <si>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</si>
  <si>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</si>
  <si>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294A</t>
  </si>
  <si>
    <t>ＮＥＸＴ　ＦＵＮＤＳ　ＭＳＣＩジャパン気候変動指数（セレクト）連動型上場投信　受益証券</t>
  </si>
  <si>
    <t>NEXT FUNDS MSCI Global Climate 500 Japan Selection Index Exchange Traded Fund</t>
  </si>
  <si>
    <t>295A</t>
  </si>
  <si>
    <t>Ｏｎｅ　ＥＴＦ　ＦＴＳＥ・サウジアラビア・インデックス　受益証券</t>
  </si>
  <si>
    <t>One ETF FTSE Saudi Arabia Index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</si>
  <si>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</si>
  <si>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</si>
  <si>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</si>
  <si>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</si>
  <si>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</si>
  <si>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</si>
  <si>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</si>
  <si>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</si>
  <si>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</si>
  <si>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</si>
  <si>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</si>
  <si>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</si>
  <si>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313A</t>
  </si>
  <si>
    <t>ｉシェアーズ　Ｓ＆Ｐ　５００　トップ　２０　ＥＴＦ　受益証券</t>
  </si>
  <si>
    <t>iShares S&amp;P 500 Top 20 ETF</t>
  </si>
  <si>
    <t>314A</t>
  </si>
  <si>
    <t>ｉシェアーズ　ゴールド　ＥＴＦ　受益証券</t>
  </si>
  <si>
    <t>iShares Gold ETF</t>
  </si>
  <si>
    <t>315A</t>
  </si>
  <si>
    <t>グローバルＸ　銀行　高配当－日本株式　ＥＴＦ　受益証券</t>
  </si>
  <si>
    <t>Global X Japan Bank High Dividend ETF</t>
  </si>
  <si>
    <t>316A</t>
  </si>
  <si>
    <t>ｉＦｒｅｅＥＴＦ　ＦＡＮＧ＋　受益証券</t>
  </si>
  <si>
    <t>iFreeETF FANG+</t>
  </si>
  <si>
    <t>318A</t>
  </si>
  <si>
    <t>ＶＩＸ短期先物指数ＥＴＦ　受益証券</t>
  </si>
  <si>
    <t>SIMPLEX VIX Short-Term Futures ETF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</si>
  <si>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</si>
  <si>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</si>
  <si>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</si>
  <si>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</si>
  <si>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</si>
  <si>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</si>
  <si>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</si>
  <si>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</si>
  <si>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</si>
  <si>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</si>
  <si>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</si>
  <si>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</si>
  <si>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</si>
  <si>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</si>
  <si>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</si>
  <si>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</si>
  <si>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</si>
  <si>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</si>
  <si>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</si>
  <si>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</si>
  <si>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</si>
  <si>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</si>
  <si>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</si>
  <si>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</si>
  <si>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</si>
  <si>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</si>
  <si>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</si>
  <si>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328A</t>
  </si>
  <si>
    <t>グローバルＸ　プライシングパワー・リーダーズ－日本株式　ＥＴＦ　受益証券</t>
  </si>
  <si>
    <t>Global X Japan Pricing Power Leaders ETF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</si>
  <si>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</si>
  <si>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</si>
  <si>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</si>
  <si>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</si>
  <si>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</si>
  <si>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</si>
  <si>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</si>
  <si>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</si>
  <si>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</si>
  <si>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</si>
  <si>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</si>
  <si>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</si>
  <si>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</si>
  <si>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</si>
  <si>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</si>
  <si>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</si>
  <si>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</si>
  <si>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</si>
  <si>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</si>
  <si>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</si>
  <si>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</si>
  <si>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</si>
  <si>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</si>
  <si>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</si>
  <si>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345A</t>
  </si>
  <si>
    <t>高配当成長　日本株（ネットリターン）ＥＴＮ　受益証券</t>
  </si>
  <si>
    <t>High Dividend Growth Japan Equity Net Return ETN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</si>
  <si>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</si>
  <si>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</si>
  <si>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</si>
  <si>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</si>
  <si>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</si>
  <si>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</si>
  <si>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</si>
  <si>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</si>
  <si>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</si>
  <si>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</si>
  <si>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</si>
  <si>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</si>
  <si>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346A</t>
  </si>
  <si>
    <t>ＮＥＸＴ　ＦＵＮＤＳ　Ｓ＆Ｐ　５００　半導体・半導体製造装置３５％キャップ指数連動型上場投信　受益証券</t>
  </si>
  <si>
    <t>NEXT FUNDS S&amp;P 500 Semiconductors &amp; Semiconductor Equipment (Industry Group) 35% Capped Index Exchange Traded Fund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</si>
  <si>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</si>
  <si>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</si>
  <si>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</si>
  <si>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</si>
  <si>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</si>
  <si>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</si>
  <si>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</si>
  <si>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</si>
  <si>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</si>
  <si>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</si>
  <si>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</si>
  <si>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</si>
  <si>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</si>
  <si>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</si>
  <si>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</si>
  <si>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</si>
  <si>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</si>
  <si>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</si>
  <si>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</si>
  <si>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</si>
  <si>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</si>
  <si>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348A</t>
  </si>
  <si>
    <t>ＭＡＸＩＳ読売３３３日本株上場投信　受益証券</t>
  </si>
  <si>
    <t>MAXIS Yomiuri333 Japan Stock ETF</t>
  </si>
  <si>
    <t>3492</t>
  </si>
  <si>
    <t>タカラレーベン不動産投資法人　投資証券</t>
  </si>
  <si>
    <t>Takara Leben Real Estate Investment Corporation</t>
  </si>
  <si>
    <t>349A</t>
  </si>
  <si>
    <t>ＳＭＤＡＭ　Ａｃｔｉｖｅ　ＥＴＦ　日本グロース株式　受益証券</t>
  </si>
  <si>
    <t>SMDAM Active ETF Japan Growth Equity</t>
  </si>
  <si>
    <t>354A</t>
  </si>
  <si>
    <t>ｉＦｒｅｅＥＴＦ　ブルームバーグ日本株高配当５０指数　受益証券</t>
  </si>
  <si>
    <t>iFreeETF Bloomberg Japan High Dividend 50 Index</t>
  </si>
  <si>
    <t xml:space="preserve">新規上場  </t>
  </si>
  <si>
    <t xml:space="preserve">New Listing  </t>
  </si>
  <si>
    <t xml:space="preserve">2025/04/17  </t>
  </si>
  <si>
    <t>356A</t>
  </si>
  <si>
    <t>グローバルＸ　Ｓ＆Ｐ５００　キャッシュフロー・トップ１００　ＥＴＦ　受益証券</t>
  </si>
  <si>
    <t>Global X S&amp;P 500 Cash Flow Top 100 ETF</t>
  </si>
  <si>
    <t xml:space="preserve">2025/04/16  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</si>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</sst>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numFmtId="0" fontId="0" fillId="0" borderId="0">
      <alignment vertical="center"/>
    </xf>
    <xf numFmtId="0" fontId="1" fillId="0" borderId="0">
      <alignment vertical="center"/>
    </xf>
    <xf numFmtId="0" fontId="8" fillId="0" borderId="0"/>
    <xf numFmtId="9" fontId="2" fillId="0" borderId="0" applyFont="0" applyFill="0" applyBorder="0" applyAlignment="0" applyProtection="0"/>
    <xf numFmtId="0" fontId="12" fillId="0" borderId="0"/>
    <xf numFmtId="0" fontId="8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7" fillId="0" borderId="0">
      <alignment horizontal="center" wrapText="1"/>
      <protection locked="0"/>
    </xf>
    <xf numFmtId="0" fontId="18" fillId="0" borderId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176" fontId="13" fillId="0" borderId="0" applyFill="0" applyBorder="0" applyAlignment="0"/>
    <xf numFmtId="177" fontId="7" fillId="0" borderId="0" applyFill="0" applyBorder="0" applyAlignment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2" fillId="21" borderId="28" applyNumberFormat="0" applyAlignment="0" applyProtection="0"/>
    <xf numFmtId="0" fontId="23" fillId="0" borderId="0">
      <alignment vertical="top" wrapText="1"/>
    </xf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25" fillId="0" borderId="0">
      <alignment horizontal="left"/>
    </xf>
    <xf numFmtId="0" fontId="26" fillId="0" borderId="0" applyNumberFormat="0" applyFill="0" applyBorder="0" applyAlignment="0" applyProtection="0"/>
    <xf numFmtId="0" fontId="27" fillId="4" borderId="0" applyNumberFormat="0" applyBorder="0" applyAlignment="0" applyProtection="0"/>
    <xf numFmtId="38" fontId="28" fillId="22" borderId="0" applyNumberFormat="0" applyBorder="0" applyAlignment="0" applyProtection="0"/>
    <xf numFmtId="0" fontId="29" fillId="23" borderId="0"/>
    <xf numFmtId="0" fontId="30" fillId="0" borderId="29" applyNumberFormat="0" applyAlignment="0" applyProtection="0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1" fillId="0" borderId="30" applyNumberFormat="0" applyFill="0" applyAlignment="0" applyProtection="0"/>
    <xf numFmtId="0" fontId="32" fillId="0" borderId="31" applyNumberFormat="0" applyFill="0" applyAlignment="0" applyProtection="0"/>
    <xf numFmtId="0" fontId="33" fillId="0" borderId="32" applyNumberFormat="0" applyFill="0" applyAlignment="0" applyProtection="0"/>
    <xf numFmtId="0" fontId="33" fillId="0" borderId="0" applyNumberFormat="0" applyFill="0" applyBorder="0" applyAlignment="0" applyProtection="0"/>
    <xf numFmtId="0" fontId="7" fillId="0" borderId="0" applyBorder="0"/>
    <xf numFmtId="0" fontId="34" fillId="7" borderId="27" applyNumberFormat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7" fillId="0" borderId="0"/>
    <xf numFmtId="0" fontId="35" fillId="0" borderId="33" applyNumberFormat="0" applyFill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25" borderId="0" applyNumberFormat="0" applyBorder="0" applyAlignment="0" applyProtection="0"/>
    <xf numFmtId="37" fontId="38" fillId="0" borderId="0"/>
    <xf numFmtId="182" fontId="39" fillId="0" borderId="0"/>
    <xf numFmtId="183" fontId="7" fillId="0" borderId="0"/>
    <xf numFmtId="183" fontId="7" fillId="0" borderId="0"/>
    <xf numFmtId="182" fontId="39" fillId="0" borderId="0"/>
    <xf numFmtId="0" fontId="24" fillId="0" borderId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14" fontId="17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4" fontId="25" fillId="0" borderId="0">
      <alignment horizontal="right"/>
    </xf>
    <xf numFmtId="0" fontId="41" fillId="0" borderId="0" applyNumberFormat="0" applyFont="0" applyFill="0" applyBorder="0" applyAlignment="0" applyProtection="0">
      <alignment horizontal="left"/>
    </xf>
    <xf numFmtId="0" fontId="42" fillId="0" borderId="36">
      <alignment horizontal="center"/>
    </xf>
    <xf numFmtId="0" fontId="43" fillId="0" borderId="0" applyNumberFormat="0" applyFont="0" applyFill="0" applyBorder="0" applyAlignment="0"/>
    <xf numFmtId="4" fontId="44" fillId="0" borderId="0">
      <alignment horizontal="right"/>
    </xf>
    <xf numFmtId="0" fontId="45" fillId="0" borderId="0">
      <alignment horizontal="left"/>
    </xf>
    <xf numFmtId="0" fontId="46" fillId="0" borderId="0"/>
    <xf numFmtId="0" fontId="47" fillId="0" borderId="0">
      <alignment horizontal="center"/>
    </xf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9" fillId="0" borderId="0" applyNumberFormat="0" applyFill="0" applyBorder="0" applyAlignment="0" applyProtection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5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3" fillId="0" borderId="0"/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38" fontId="63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64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184" fontId="24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49" fontId="71" fillId="27" borderId="17" applyNumberFormat="0" applyFill="0" applyBorder="0" applyProtection="0"/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185" fontId="59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6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8" fillId="0" borderId="0" applyFont="0" applyFill="0" applyBorder="0" applyAlignment="0" applyProtection="0"/>
    <xf numFmtId="6" fontId="66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/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4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2" fillId="0" borderId="0"/>
    <xf numFmtId="0" fontId="64" fillId="0" borderId="0">
      <alignment vertical="center"/>
    </xf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79" fillId="0" borderId="0">
      <alignment vertical="center"/>
    </xf>
    <xf numFmtId="0" fontId="66" fillId="0" borderId="0">
      <alignment vertical="center"/>
    </xf>
    <xf numFmtId="0" fontId="8" fillId="0" borderId="0"/>
    <xf numFmtId="0" fontId="8" fillId="0" borderId="0"/>
    <xf numFmtId="0" fontId="8" fillId="0" borderId="0"/>
    <xf numFmtId="0" fontId="8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/>
    <xf numFmtId="0" fontId="66" fillId="0" borderId="0"/>
    <xf numFmtId="0" fontId="66" fillId="0" borderId="0">
      <alignment vertical="center"/>
    </xf>
    <xf numFmtId="0" fontId="81" fillId="0" borderId="0">
      <alignment vertical="center"/>
    </xf>
    <xf numFmtId="0" fontId="66" fillId="0" borderId="0"/>
    <xf numFmtId="0" fontId="81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/>
    <xf numFmtId="0" fontId="82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2" fillId="0" borderId="0"/>
    <xf numFmtId="0" fontId="64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7" fillId="0" borderId="0">
      <alignment vertical="center"/>
    </xf>
    <xf numFmtId="0" fontId="83" fillId="0" borderId="0"/>
    <xf numFmtId="0" fontId="66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/>
    <xf numFmtId="0" fontId="8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7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14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66" fillId="0" borderId="0"/>
    <xf numFmtId="0" fontId="66" fillId="0" borderId="0"/>
    <xf numFmtId="0" fontId="8" fillId="0" borderId="0"/>
    <xf numFmtId="0" fontId="8" fillId="0" borderId="0">
      <alignment vertical="center"/>
    </xf>
    <xf numFmtId="0" fontId="64" fillId="0" borderId="0">
      <alignment vertical="center"/>
    </xf>
    <xf numFmtId="0" fontId="83" fillId="0" borderId="0"/>
    <xf numFmtId="0" fontId="64" fillId="0" borderId="0">
      <alignment vertical="center"/>
    </xf>
    <xf numFmtId="0" fontId="8" fillId="0" borderId="0"/>
    <xf numFmtId="0" fontId="8" fillId="0" borderId="0">
      <alignment vertical="center"/>
    </xf>
    <xf numFmtId="0" fontId="83" fillId="0" borderId="0"/>
    <xf numFmtId="0" fontId="8" fillId="0" borderId="0"/>
    <xf numFmtId="0" fontId="8" fillId="0" borderId="0"/>
    <xf numFmtId="0" fontId="83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3" fillId="0" borderId="0"/>
    <xf numFmtId="0" fontId="83" fillId="0" borderId="0"/>
    <xf numFmtId="0" fontId="8" fillId="0" borderId="0"/>
    <xf numFmtId="0" fontId="83" fillId="0" borderId="0"/>
    <xf numFmtId="0" fontId="14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4" fillId="0" borderId="0">
      <alignment vertical="center"/>
    </xf>
    <xf numFmtId="0" fontId="8" fillId="0" borderId="0"/>
    <xf numFmtId="0" fontId="8" fillId="0" borderId="0"/>
    <xf numFmtId="0" fontId="66" fillId="0" borderId="0"/>
    <xf numFmtId="0" fontId="66" fillId="0" borderId="0"/>
    <xf numFmtId="0" fontId="8" fillId="0" borderId="0"/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64" fillId="0" borderId="0"/>
    <xf numFmtId="0" fontId="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1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7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2" fillId="0" borderId="0">
      <alignment vertical="center"/>
    </xf>
    <xf numFmtId="0" fontId="8" fillId="0" borderId="0"/>
    <xf numFmtId="0" fontId="8" fillId="0" borderId="0">
      <alignment vertical="center"/>
    </xf>
    <xf numFmtId="0" fontId="8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8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2" fillId="0" borderId="0"/>
    <xf numFmtId="0" fontId="87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8" fillId="0" borderId="0"/>
    <xf numFmtId="0" fontId="89" fillId="0" borderId="0"/>
    <xf numFmtId="0" fontId="53" fillId="0" borderId="0"/>
    <xf numFmtId="49" fontId="77" fillId="0" borderId="0" applyFill="0" applyBorder="0"/>
    <xf numFmtId="188" fontId="90" fillId="0" borderId="0"/>
    <xf numFmtId="0" fontId="91" fillId="0" borderId="0"/>
    <xf numFmtId="0" fontId="92" fillId="0" borderId="0"/>
    <xf numFmtId="0" fontId="91" fillId="0" borderId="0"/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8" fillId="0" borderId="0"/>
  </cellStyleXfs>
  <cellXfs count="47">
    <xf numFmtId="0" fontId="0" fillId="0" borderId="0" xfId="0">
      <alignment vertical="center"/>
    </xf>
    <xf numFmtId="0" fontId="4" fillId="0" borderId="0" xfId="1" applyFont="1">
      <alignment vertical="center"/>
    </xf>
    <xf numFmtId="0" fontId="9" fillId="0" borderId="0" xfId="1" applyFont="1">
      <alignment vertical="center"/>
    </xf>
    <xf numFmtId="0" fontId="4" fillId="0" borderId="0" xfId="1" applyNumberFormat="1" applyFont="1">
      <alignment vertical="center"/>
    </xf>
    <xf numFmtId="0" fontId="2" fillId="0" borderId="1" xfId="1" applyFont="1" applyFill="1" applyBorder="1">
      <alignment vertical="center"/>
    </xf>
    <xf numFmtId="0" fontId="2" fillId="0" borderId="2" xfId="1" applyFont="1" applyFill="1" applyBorder="1">
      <alignment vertical="center"/>
    </xf>
    <xf numFmtId="0" fontId="2" fillId="0" borderId="2" xfId="1" applyNumberFormat="1" applyFont="1" applyFill="1" applyBorder="1">
      <alignment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/>
    </xf>
    <xf numFmtId="49" fontId="7" fillId="0" borderId="9" xfId="2" applyNumberFormat="1" applyFont="1" applyFill="1" applyBorder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2" fillId="0" borderId="4" xfId="1" applyNumberFormat="1" applyFont="1" applyFill="1" applyBorder="1" applyAlignment="1">
      <alignment horizontal="center" vertical="center"/>
    </xf>
    <xf numFmtId="0" fontId="2" fillId="0" borderId="14" xfId="1" applyNumberFormat="1" applyFont="1" applyFill="1" applyBorder="1" applyAlignment="1">
      <alignment horizontal="center" vertical="center"/>
    </xf>
    <xf numFmtId="49" fontId="2" fillId="0" borderId="15" xfId="2" applyNumberFormat="1" applyFont="1" applyFill="1" applyBorder="1" applyAlignment="1">
      <alignment horizontal="center" vertical="center"/>
    </xf>
    <xf numFmtId="49" fontId="7" fillId="0" borderId="13" xfId="2" applyNumberFormat="1" applyFont="1" applyFill="1" applyBorder="1" applyAlignment="1">
      <alignment horizontal="center" vertical="center"/>
    </xf>
    <xf numFmtId="49" fontId="2" fillId="0" borderId="16" xfId="2" applyNumberFormat="1" applyFont="1" applyFill="1" applyBorder="1" applyAlignment="1">
      <alignment horizontal="center" vertical="center"/>
    </xf>
    <xf numFmtId="49" fontId="2" fillId="0" borderId="13" xfId="2" applyNumberFormat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horizontal="right" vertical="center"/>
    </xf>
    <xf numFmtId="0" fontId="2" fillId="0" borderId="6" xfId="1" applyNumberFormat="1" applyFont="1" applyFill="1" applyBorder="1" applyAlignment="1">
      <alignment horizontal="right" vertical="center"/>
    </xf>
    <xf numFmtId="0" fontId="2" fillId="0" borderId="18" xfId="1" applyNumberFormat="1" applyFont="1" applyFill="1" applyBorder="1" applyAlignment="1">
      <alignment horizontal="right" vertical="center"/>
    </xf>
    <xf numFmtId="0" fontId="2" fillId="0" borderId="19" xfId="1" applyNumberFormat="1" applyFont="1" applyFill="1" applyBorder="1" applyAlignment="1">
      <alignment horizontal="right" vertical="center"/>
    </xf>
    <xf numFmtId="49" fontId="11" fillId="0" borderId="17" xfId="2" applyNumberFormat="1" applyFont="1" applyFill="1" applyBorder="1" applyAlignment="1">
      <alignment horizontal="right"/>
    </xf>
    <xf numFmtId="49" fontId="11" fillId="0" borderId="20" xfId="2" applyNumberFormat="1" applyFont="1" applyFill="1" applyBorder="1" applyAlignment="1">
      <alignment horizontal="right"/>
    </xf>
    <xf numFmtId="49" fontId="11" fillId="0" borderId="19" xfId="2" applyNumberFormat="1" applyFont="1" applyFill="1" applyBorder="1" applyAlignment="1">
      <alignment horizontal="right"/>
    </xf>
    <xf numFmtId="49" fontId="7" fillId="0" borderId="21" xfId="1" applyNumberFormat="1" applyFont="1" applyFill="1" applyBorder="1" applyAlignment="1">
      <alignment horizontal="left" vertical="center"/>
    </xf>
    <xf numFmtId="49" fontId="7" fillId="0" borderId="22" xfId="1" applyNumberFormat="1" applyFont="1" applyFill="1" applyBorder="1" applyAlignment="1">
      <alignment horizontal="left" vertical="center"/>
    </xf>
    <xf numFmtId="49" fontId="7" fillId="0" borderId="23" xfId="1" applyNumberFormat="1" applyFont="1" applyFill="1" applyBorder="1" applyAlignment="1">
      <alignment horizontal="left" vertical="center"/>
    </xf>
    <xf numFmtId="49" fontId="7" fillId="0" borderId="24" xfId="1" applyNumberFormat="1" applyFont="1" applyFill="1" applyBorder="1" applyAlignment="1">
      <alignment horizontal="left" vertical="center"/>
    </xf>
    <xf numFmtId="49" fontId="7" fillId="0" borderId="21" xfId="2" applyNumberFormat="1" applyFont="1" applyFill="1" applyBorder="1" applyAlignment="1">
      <alignment horizontal="left"/>
    </xf>
    <xf numFmtId="3" fontId="7" fillId="0" borderId="21" xfId="2" applyNumberFormat="1" applyFont="1" applyFill="1" applyBorder="1" applyAlignment="1">
      <alignment horizontal="right"/>
    </xf>
    <xf numFmtId="4" fontId="7" fillId="0" borderId="25" xfId="2" applyNumberFormat="1" applyFont="1" applyFill="1" applyBorder="1" applyAlignment="1">
      <alignment horizontal="right"/>
    </xf>
    <xf numFmtId="49" fontId="7" fillId="0" borderId="24" xfId="2" applyNumberFormat="1" applyFont="1" applyFill="1" applyBorder="1" applyAlignment="1">
      <alignment horizontal="right"/>
    </xf>
    <xf numFmtId="4" fontId="7" fillId="0" borderId="21" xfId="2" applyNumberFormat="1" applyFont="1" applyFill="1" applyBorder="1" applyAlignment="1">
      <alignment horizontal="right"/>
    </xf>
    <xf numFmtId="189" fontId="7" fillId="0" borderId="21" xfId="2" applyNumberFormat="1" applyFont="1" applyFill="1" applyBorder="1" applyAlignment="1">
      <alignment horizontal="right"/>
    </xf>
    <xf numFmtId="0" fontId="2" fillId="0" borderId="2" xfId="1" applyFont="1" applyFill="1" applyBorder="1" applyAlignment="1">
      <alignment horizontal="left" vertical="top" wrapText="1"/>
    </xf>
    <xf numFmtId="0" fontId="2" fillId="0" borderId="3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horizontal="left" vertical="top" wrapText="1"/>
    </xf>
    <xf numFmtId="0" fontId="2" fillId="0" borderId="7" xfId="1" applyFont="1" applyFill="1" applyBorder="1" applyAlignment="1">
      <alignment horizontal="left" vertical="top" wrapText="1"/>
    </xf>
    <xf numFmtId="0" fontId="2" fillId="0" borderId="8" xfId="1" applyFont="1" applyFill="1" applyBorder="1" applyAlignment="1">
      <alignment horizontal="left" vertical="top" wrapText="1"/>
    </xf>
    <xf numFmtId="0" fontId="5" fillId="0" borderId="4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name="標準" xfId="0" builtin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3"/>
  <sheetViews>
    <sheetView showGridLines="0" tabSelected="1" view="pageBreakPreview" zoomScaleNormal="7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r="1" spans="1:24" ht="13.5" customHeight="1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r="2" spans="1:24" ht="99" customHeight="1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r="3" spans="1:24" ht="39" customHeight="1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r="4" spans="1:24" s="2" customFormat="1" ht="13.5" customHeight="1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r="7" spans="1:24" s="2" customFormat="1" ht="13.5" customHeight="1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2891.5</f>
        <v>2891.5</v>
      </c>
      <c r="L7" s="34" t="s">
        <v>48</v>
      </c>
      <c r="M7" s="33" t="n">
        <f>2894</f>
        <v>2894.0</v>
      </c>
      <c r="N7" s="34" t="s">
        <v>48</v>
      </c>
      <c r="O7" s="33" t="n">
        <f>2390</f>
        <v>2390.0</v>
      </c>
      <c r="P7" s="34" t="s">
        <v>49</v>
      </c>
      <c r="Q7" s="33" t="n">
        <f>2861</f>
        <v>2861.0</v>
      </c>
      <c r="R7" s="34" t="s">
        <v>50</v>
      </c>
      <c r="S7" s="35" t="n">
        <f>2717.69</f>
        <v>2717.69</v>
      </c>
      <c r="T7" s="32" t="n">
        <f>22947790</f>
        <v>2.294779E7</v>
      </c>
      <c r="U7" s="32" t="n">
        <f>15358140</f>
        <v>1.535814E7</v>
      </c>
      <c r="V7" s="32" t="n">
        <f>60364392647</f>
        <v>6.0364392647E10</v>
      </c>
      <c r="W7" s="32" t="n">
        <f>40004885312</f>
        <v>4.0004885312E10</v>
      </c>
      <c r="X7" s="36" t="n">
        <f>21</f>
        <v>21.0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2856.5</f>
        <v>2856.5</v>
      </c>
      <c r="L8" s="34" t="s">
        <v>48</v>
      </c>
      <c r="M8" s="33" t="n">
        <f>2863</f>
        <v>2863.0</v>
      </c>
      <c r="N8" s="34" t="s">
        <v>48</v>
      </c>
      <c r="O8" s="33" t="n">
        <f>2358.5</f>
        <v>2358.5</v>
      </c>
      <c r="P8" s="34" t="s">
        <v>49</v>
      </c>
      <c r="Q8" s="33" t="n">
        <f>2834.5</f>
        <v>2834.5</v>
      </c>
      <c r="R8" s="34" t="s">
        <v>50</v>
      </c>
      <c r="S8" s="35" t="n">
        <f>2689.33</f>
        <v>2689.33</v>
      </c>
      <c r="T8" s="32" t="n">
        <f>71781290</f>
        <v>7.178129E7</v>
      </c>
      <c r="U8" s="32" t="n">
        <f>14624570</f>
        <v>1.462457E7</v>
      </c>
      <c r="V8" s="32" t="n">
        <f>191734183851</f>
        <v>1.91734183851E11</v>
      </c>
      <c r="W8" s="32" t="n">
        <f>39543215316</f>
        <v>3.9543215316E10</v>
      </c>
      <c r="X8" s="36" t="n">
        <f>21</f>
        <v>21.0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2826</f>
        <v>2826.0</v>
      </c>
      <c r="L9" s="34" t="s">
        <v>48</v>
      </c>
      <c r="M9" s="33" t="n">
        <f>2829</f>
        <v>2829.0</v>
      </c>
      <c r="N9" s="34" t="s">
        <v>48</v>
      </c>
      <c r="O9" s="33" t="n">
        <f>2331</f>
        <v>2331.0</v>
      </c>
      <c r="P9" s="34" t="s">
        <v>49</v>
      </c>
      <c r="Q9" s="33" t="n">
        <f>2798</f>
        <v>2798.0</v>
      </c>
      <c r="R9" s="34" t="s">
        <v>50</v>
      </c>
      <c r="S9" s="35" t="n">
        <f>2658.38</f>
        <v>2658.38</v>
      </c>
      <c r="T9" s="32" t="n">
        <f>17710184</f>
        <v>1.7710184E7</v>
      </c>
      <c r="U9" s="32" t="n">
        <f>4807812</f>
        <v>4807812.0</v>
      </c>
      <c r="V9" s="32" t="n">
        <f>46504476458</f>
        <v>4.6504476458E10</v>
      </c>
      <c r="W9" s="32" t="n">
        <f>12949560411</f>
        <v>1.2949560411E10</v>
      </c>
      <c r="X9" s="36" t="n">
        <f>21</f>
        <v>21.0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43950</f>
        <v>43950.0</v>
      </c>
      <c r="L10" s="34" t="s">
        <v>48</v>
      </c>
      <c r="M10" s="33" t="n">
        <f>43950</f>
        <v>43950.0</v>
      </c>
      <c r="N10" s="34" t="s">
        <v>48</v>
      </c>
      <c r="O10" s="33" t="n">
        <f>37350</f>
        <v>37350.0</v>
      </c>
      <c r="P10" s="34" t="s">
        <v>60</v>
      </c>
      <c r="Q10" s="33" t="n">
        <f>41250</f>
        <v>41250.0</v>
      </c>
      <c r="R10" s="34" t="s">
        <v>50</v>
      </c>
      <c r="S10" s="35" t="n">
        <f>41255.24</f>
        <v>41255.24</v>
      </c>
      <c r="T10" s="32" t="n">
        <f>11174</f>
        <v>11174.0</v>
      </c>
      <c r="U10" s="32" t="str">
        <f>"－"</f>
        <v>－</v>
      </c>
      <c r="V10" s="32" t="n">
        <f>452572610</f>
        <v>4.5257261E8</v>
      </c>
      <c r="W10" s="32" t="str">
        <f>"－"</f>
        <v>－</v>
      </c>
      <c r="X10" s="36" t="n">
        <f>21</f>
        <v>21.0</v>
      </c>
    </row>
    <row r="11">
      <c r="A11" s="27" t="s">
        <v>42</v>
      </c>
      <c r="B11" s="27" t="s">
        <v>61</v>
      </c>
      <c r="C11" s="27" t="s">
        <v>62</v>
      </c>
      <c r="D11" s="27" t="s">
        <v>63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1426</f>
        <v>1426.0</v>
      </c>
      <c r="L11" s="34" t="s">
        <v>48</v>
      </c>
      <c r="M11" s="33" t="n">
        <f>1434</f>
        <v>1434.0</v>
      </c>
      <c r="N11" s="34" t="s">
        <v>50</v>
      </c>
      <c r="O11" s="33" t="n">
        <f>1130</f>
        <v>1130.0</v>
      </c>
      <c r="P11" s="34" t="s">
        <v>49</v>
      </c>
      <c r="Q11" s="33" t="n">
        <f>1418</f>
        <v>1418.0</v>
      </c>
      <c r="R11" s="34" t="s">
        <v>50</v>
      </c>
      <c r="S11" s="35" t="n">
        <f>1335.31</f>
        <v>1335.31</v>
      </c>
      <c r="T11" s="32" t="n">
        <f>639390</f>
        <v>639390.0</v>
      </c>
      <c r="U11" s="32" t="n">
        <f>150000</f>
        <v>150000.0</v>
      </c>
      <c r="V11" s="32" t="n">
        <f>835724940</f>
        <v>8.3572494E8</v>
      </c>
      <c r="W11" s="32" t="n">
        <f>199506500</f>
        <v>1.995065E8</v>
      </c>
      <c r="X11" s="36" t="n">
        <f>21</f>
        <v>21.0</v>
      </c>
    </row>
    <row r="12">
      <c r="A12" s="27" t="s">
        <v>42</v>
      </c>
      <c r="B12" s="27" t="s">
        <v>64</v>
      </c>
      <c r="C12" s="27" t="s">
        <v>65</v>
      </c>
      <c r="D12" s="27" t="s">
        <v>66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540.8</f>
        <v>540.8</v>
      </c>
      <c r="L12" s="34" t="s">
        <v>48</v>
      </c>
      <c r="M12" s="33" t="n">
        <f>544</f>
        <v>544.0</v>
      </c>
      <c r="N12" s="34" t="s">
        <v>50</v>
      </c>
      <c r="O12" s="33" t="n">
        <f>482</f>
        <v>482.0</v>
      </c>
      <c r="P12" s="34" t="s">
        <v>67</v>
      </c>
      <c r="Q12" s="33" t="n">
        <f>544</f>
        <v>544.0</v>
      </c>
      <c r="R12" s="34" t="s">
        <v>50</v>
      </c>
      <c r="S12" s="35" t="n">
        <f>509.16</f>
        <v>509.16</v>
      </c>
      <c r="T12" s="32" t="n">
        <f>104000</f>
        <v>104000.0</v>
      </c>
      <c r="U12" s="32" t="n">
        <f>1000</f>
        <v>1000.0</v>
      </c>
      <c r="V12" s="32" t="n">
        <f>54847700</f>
        <v>5.48477E7</v>
      </c>
      <c r="W12" s="32" t="n">
        <f>505900</f>
        <v>505900.0</v>
      </c>
      <c r="X12" s="36" t="n">
        <f>14</f>
        <v>14.0</v>
      </c>
    </row>
    <row r="13">
      <c r="A13" s="27" t="s">
        <v>42</v>
      </c>
      <c r="B13" s="27" t="s">
        <v>68</v>
      </c>
      <c r="C13" s="27" t="s">
        <v>69</v>
      </c>
      <c r="D13" s="27" t="s">
        <v>70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37520</f>
        <v>37520.0</v>
      </c>
      <c r="L13" s="34" t="s">
        <v>48</v>
      </c>
      <c r="M13" s="33" t="n">
        <f>37640</f>
        <v>37640.0</v>
      </c>
      <c r="N13" s="34" t="s">
        <v>71</v>
      </c>
      <c r="O13" s="33" t="n">
        <f>31980</f>
        <v>31980.0</v>
      </c>
      <c r="P13" s="34" t="s">
        <v>49</v>
      </c>
      <c r="Q13" s="33" t="n">
        <f>37600</f>
        <v>37600.0</v>
      </c>
      <c r="R13" s="34" t="s">
        <v>50</v>
      </c>
      <c r="S13" s="35" t="n">
        <f>35840</f>
        <v>35840.0</v>
      </c>
      <c r="T13" s="32" t="n">
        <f>2646778</f>
        <v>2646778.0</v>
      </c>
      <c r="U13" s="32" t="n">
        <f>1299637</f>
        <v>1299637.0</v>
      </c>
      <c r="V13" s="32" t="n">
        <f>94282461598</f>
        <v>9.4282461598E10</v>
      </c>
      <c r="W13" s="32" t="n">
        <f>46767743188</f>
        <v>4.6767743188E10</v>
      </c>
      <c r="X13" s="36" t="n">
        <f>21</f>
        <v>21.0</v>
      </c>
    </row>
    <row r="14">
      <c r="A14" s="27" t="s">
        <v>42</v>
      </c>
      <c r="B14" s="27" t="s">
        <v>72</v>
      </c>
      <c r="C14" s="27" t="s">
        <v>73</v>
      </c>
      <c r="D14" s="27" t="s">
        <v>74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37660</f>
        <v>37660.0</v>
      </c>
      <c r="L14" s="34" t="s">
        <v>48</v>
      </c>
      <c r="M14" s="33" t="n">
        <f>37780</f>
        <v>37780.0</v>
      </c>
      <c r="N14" s="34" t="s">
        <v>71</v>
      </c>
      <c r="O14" s="33" t="n">
        <f>32110</f>
        <v>32110.0</v>
      </c>
      <c r="P14" s="34" t="s">
        <v>49</v>
      </c>
      <c r="Q14" s="33" t="n">
        <f>37730</f>
        <v>37730.0</v>
      </c>
      <c r="R14" s="34" t="s">
        <v>50</v>
      </c>
      <c r="S14" s="35" t="n">
        <f>35996.19</f>
        <v>35996.19</v>
      </c>
      <c r="T14" s="32" t="n">
        <f>13262499</f>
        <v>1.3262499E7</v>
      </c>
      <c r="U14" s="32" t="n">
        <f>1090302</f>
        <v>1090302.0</v>
      </c>
      <c r="V14" s="32" t="n">
        <f>471709181143</f>
        <v>4.71709181143E11</v>
      </c>
      <c r="W14" s="32" t="n">
        <f>39654378243</f>
        <v>3.9654378243E10</v>
      </c>
      <c r="X14" s="36" t="n">
        <f>21</f>
        <v>21.0</v>
      </c>
    </row>
    <row r="15">
      <c r="A15" s="27" t="s">
        <v>42</v>
      </c>
      <c r="B15" s="27" t="s">
        <v>75</v>
      </c>
      <c r="C15" s="27" t="s">
        <v>76</v>
      </c>
      <c r="D15" s="27" t="s">
        <v>77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1.0</v>
      </c>
      <c r="K15" s="33" t="n">
        <f>8498</f>
        <v>8498.0</v>
      </c>
      <c r="L15" s="34" t="s">
        <v>48</v>
      </c>
      <c r="M15" s="33" t="n">
        <f>8700</f>
        <v>8700.0</v>
      </c>
      <c r="N15" s="34" t="s">
        <v>60</v>
      </c>
      <c r="O15" s="33" t="n">
        <f>7218</f>
        <v>7218.0</v>
      </c>
      <c r="P15" s="34" t="s">
        <v>78</v>
      </c>
      <c r="Q15" s="33" t="n">
        <f>7844</f>
        <v>7844.0</v>
      </c>
      <c r="R15" s="34" t="s">
        <v>50</v>
      </c>
      <c r="S15" s="35" t="n">
        <f>7859.71</f>
        <v>7859.71</v>
      </c>
      <c r="T15" s="32" t="n">
        <f>74708</f>
        <v>74708.0</v>
      </c>
      <c r="U15" s="32" t="str">
        <f>"－"</f>
        <v>－</v>
      </c>
      <c r="V15" s="32" t="n">
        <f>584869526</f>
        <v>5.84869526E8</v>
      </c>
      <c r="W15" s="32" t="str">
        <f>"－"</f>
        <v>－</v>
      </c>
      <c r="X15" s="36" t="n">
        <f>21</f>
        <v>21.0</v>
      </c>
    </row>
    <row r="16">
      <c r="A16" s="27" t="s">
        <v>42</v>
      </c>
      <c r="B16" s="27" t="s">
        <v>79</v>
      </c>
      <c r="C16" s="27" t="s">
        <v>80</v>
      </c>
      <c r="D16" s="27" t="s">
        <v>81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n">
        <f>201</f>
        <v>201.0</v>
      </c>
      <c r="L16" s="34" t="s">
        <v>48</v>
      </c>
      <c r="M16" s="33" t="n">
        <f>230</f>
        <v>230.0</v>
      </c>
      <c r="N16" s="34" t="s">
        <v>82</v>
      </c>
      <c r="O16" s="33" t="n">
        <f>187</f>
        <v>187.0</v>
      </c>
      <c r="P16" s="34" t="s">
        <v>78</v>
      </c>
      <c r="Q16" s="33" t="n">
        <f>207.5</f>
        <v>207.5</v>
      </c>
      <c r="R16" s="34" t="s">
        <v>50</v>
      </c>
      <c r="S16" s="35" t="n">
        <f>202.57</f>
        <v>202.57</v>
      </c>
      <c r="T16" s="32" t="n">
        <f>2884600</f>
        <v>2884600.0</v>
      </c>
      <c r="U16" s="32" t="n">
        <f>3200</f>
        <v>3200.0</v>
      </c>
      <c r="V16" s="32" t="n">
        <f>589761170</f>
        <v>5.8976117E8</v>
      </c>
      <c r="W16" s="32" t="n">
        <f>680400</f>
        <v>680400.0</v>
      </c>
      <c r="X16" s="36" t="n">
        <f>21</f>
        <v>21.0</v>
      </c>
    </row>
    <row r="17">
      <c r="A17" s="27" t="s">
        <v>42</v>
      </c>
      <c r="B17" s="27" t="s">
        <v>83</v>
      </c>
      <c r="C17" s="27" t="s">
        <v>84</v>
      </c>
      <c r="D17" s="27" t="s">
        <v>85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1.0</v>
      </c>
      <c r="K17" s="33" t="n">
        <f>43160</f>
        <v>43160.0</v>
      </c>
      <c r="L17" s="34" t="s">
        <v>48</v>
      </c>
      <c r="M17" s="33" t="n">
        <f>45140</f>
        <v>45140.0</v>
      </c>
      <c r="N17" s="34" t="s">
        <v>86</v>
      </c>
      <c r="O17" s="33" t="n">
        <f>39870</f>
        <v>39870.0</v>
      </c>
      <c r="P17" s="34" t="s">
        <v>49</v>
      </c>
      <c r="Q17" s="33" t="n">
        <f>43430</f>
        <v>43430.0</v>
      </c>
      <c r="R17" s="34" t="s">
        <v>50</v>
      </c>
      <c r="S17" s="35" t="n">
        <f>42873.81</f>
        <v>42873.81</v>
      </c>
      <c r="T17" s="32" t="n">
        <f>619462</f>
        <v>619462.0</v>
      </c>
      <c r="U17" s="32" t="n">
        <f>70</f>
        <v>70.0</v>
      </c>
      <c r="V17" s="32" t="n">
        <f>26742797130</f>
        <v>2.674279713E10</v>
      </c>
      <c r="W17" s="32" t="n">
        <f>2811300</f>
        <v>2811300.0</v>
      </c>
      <c r="X17" s="36" t="n">
        <f>21</f>
        <v>21.0</v>
      </c>
    </row>
    <row r="18">
      <c r="A18" s="27" t="s">
        <v>42</v>
      </c>
      <c r="B18" s="27" t="s">
        <v>87</v>
      </c>
      <c r="C18" s="27" t="s">
        <v>88</v>
      </c>
      <c r="D18" s="27" t="s">
        <v>89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10.0</v>
      </c>
      <c r="K18" s="33" t="n">
        <f>11325</f>
        <v>11325.0</v>
      </c>
      <c r="L18" s="34" t="s">
        <v>48</v>
      </c>
      <c r="M18" s="33" t="n">
        <f>11765</f>
        <v>11765.0</v>
      </c>
      <c r="N18" s="34" t="s">
        <v>86</v>
      </c>
      <c r="O18" s="33" t="n">
        <f>10390</f>
        <v>10390.0</v>
      </c>
      <c r="P18" s="34" t="s">
        <v>78</v>
      </c>
      <c r="Q18" s="33" t="n">
        <f>11330</f>
        <v>11330.0</v>
      </c>
      <c r="R18" s="34" t="s">
        <v>50</v>
      </c>
      <c r="S18" s="35" t="n">
        <f>11185.24</f>
        <v>11185.24</v>
      </c>
      <c r="T18" s="32" t="n">
        <f>1074090</f>
        <v>1074090.0</v>
      </c>
      <c r="U18" s="32" t="n">
        <f>110</f>
        <v>110.0</v>
      </c>
      <c r="V18" s="32" t="n">
        <f>12037606600</f>
        <v>1.20376066E10</v>
      </c>
      <c r="W18" s="32" t="n">
        <f>1231200</f>
        <v>1231200.0</v>
      </c>
      <c r="X18" s="36" t="n">
        <f>21</f>
        <v>21.0</v>
      </c>
    </row>
    <row r="19">
      <c r="A19" s="27" t="s">
        <v>42</v>
      </c>
      <c r="B19" s="27" t="s">
        <v>90</v>
      </c>
      <c r="C19" s="27" t="s">
        <v>91</v>
      </c>
      <c r="D19" s="27" t="s">
        <v>92</v>
      </c>
      <c r="E19" s="28" t="s">
        <v>93</v>
      </c>
      <c r="F19" s="29" t="s">
        <v>94</v>
      </c>
      <c r="G19" s="30" t="s">
        <v>46</v>
      </c>
      <c r="H19" s="31"/>
      <c r="I19" s="31" t="s">
        <v>47</v>
      </c>
      <c r="J19" s="32" t="n">
        <v>1.0</v>
      </c>
      <c r="K19" s="33" t="n">
        <f>37420</f>
        <v>37420.0</v>
      </c>
      <c r="L19" s="34" t="s">
        <v>48</v>
      </c>
      <c r="M19" s="33" t="n">
        <f>37520</f>
        <v>37520.0</v>
      </c>
      <c r="N19" s="34" t="s">
        <v>48</v>
      </c>
      <c r="O19" s="33" t="n">
        <f>36890</f>
        <v>36890.0</v>
      </c>
      <c r="P19" s="34" t="s">
        <v>82</v>
      </c>
      <c r="Q19" s="33" t="n">
        <f>37210</f>
        <v>37210.0</v>
      </c>
      <c r="R19" s="34" t="s">
        <v>82</v>
      </c>
      <c r="S19" s="35" t="n">
        <f>37130</f>
        <v>37130.0</v>
      </c>
      <c r="T19" s="32" t="n">
        <f>304846</f>
        <v>304846.0</v>
      </c>
      <c r="U19" s="32" t="n">
        <f>190639</f>
        <v>190639.0</v>
      </c>
      <c r="V19" s="32" t="n">
        <f>11312455229</f>
        <v>1.1312455229E10</v>
      </c>
      <c r="W19" s="32" t="n">
        <f>7067618389</f>
        <v>7.067618389E9</v>
      </c>
      <c r="X19" s="36" t="n">
        <f>2</f>
        <v>2.0</v>
      </c>
    </row>
    <row r="20">
      <c r="A20" s="27" t="s">
        <v>42</v>
      </c>
      <c r="B20" s="27" t="s">
        <v>90</v>
      </c>
      <c r="C20" s="27" t="s">
        <v>91</v>
      </c>
      <c r="D20" s="27" t="s">
        <v>92</v>
      </c>
      <c r="E20" s="28" t="s">
        <v>93</v>
      </c>
      <c r="F20" s="29" t="s">
        <v>94</v>
      </c>
      <c r="G20" s="30" t="s">
        <v>46</v>
      </c>
      <c r="H20" s="31"/>
      <c r="I20" s="31" t="s">
        <v>47</v>
      </c>
      <c r="J20" s="32" t="n">
        <v>1.0</v>
      </c>
      <c r="K20" s="33" t="n">
        <f>3540</f>
        <v>3540.0</v>
      </c>
      <c r="L20" s="34" t="s">
        <v>95</v>
      </c>
      <c r="M20" s="33" t="n">
        <f>3755</f>
        <v>3755.0</v>
      </c>
      <c r="N20" s="34" t="s">
        <v>71</v>
      </c>
      <c r="O20" s="33" t="n">
        <f>3190</f>
        <v>3190.0</v>
      </c>
      <c r="P20" s="34" t="s">
        <v>49</v>
      </c>
      <c r="Q20" s="33" t="n">
        <f>3750</f>
        <v>3750.0</v>
      </c>
      <c r="R20" s="34" t="s">
        <v>50</v>
      </c>
      <c r="S20" s="35" t="n">
        <f>3563.16</f>
        <v>3563.16</v>
      </c>
      <c r="T20" s="32" t="n">
        <f>19823966</f>
        <v>1.9823966E7</v>
      </c>
      <c r="U20" s="32" t="n">
        <f>7646983</f>
        <v>7646983.0</v>
      </c>
      <c r="V20" s="32" t="n">
        <f>69693159650</f>
        <v>6.969315965E10</v>
      </c>
      <c r="W20" s="32" t="n">
        <f>26717118755</f>
        <v>2.6717118755E10</v>
      </c>
      <c r="X20" s="36" t="n">
        <f>19</f>
        <v>19.0</v>
      </c>
    </row>
    <row r="21">
      <c r="A21" s="27" t="s">
        <v>42</v>
      </c>
      <c r="B21" s="27" t="s">
        <v>96</v>
      </c>
      <c r="C21" s="27" t="s">
        <v>97</v>
      </c>
      <c r="D21" s="27" t="s">
        <v>98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37710</f>
        <v>37710.0</v>
      </c>
      <c r="L21" s="34" t="s">
        <v>48</v>
      </c>
      <c r="M21" s="33" t="n">
        <f>37810</f>
        <v>37810.0</v>
      </c>
      <c r="N21" s="34" t="s">
        <v>71</v>
      </c>
      <c r="O21" s="33" t="n">
        <f>32120</f>
        <v>32120.0</v>
      </c>
      <c r="P21" s="34" t="s">
        <v>49</v>
      </c>
      <c r="Q21" s="33" t="n">
        <f>37770</f>
        <v>37770.0</v>
      </c>
      <c r="R21" s="34" t="s">
        <v>50</v>
      </c>
      <c r="S21" s="35" t="n">
        <f>36023.33</f>
        <v>36023.33</v>
      </c>
      <c r="T21" s="32" t="n">
        <f>2867349</f>
        <v>2867349.0</v>
      </c>
      <c r="U21" s="32" t="n">
        <f>1245629</f>
        <v>1245629.0</v>
      </c>
      <c r="V21" s="32" t="n">
        <f>102191070154</f>
        <v>1.02191070154E11</v>
      </c>
      <c r="W21" s="32" t="n">
        <f>45049135654</f>
        <v>4.5049135654E10</v>
      </c>
      <c r="X21" s="36" t="n">
        <f>21</f>
        <v>21.0</v>
      </c>
    </row>
    <row r="22">
      <c r="A22" s="27" t="s">
        <v>42</v>
      </c>
      <c r="B22" s="27" t="s">
        <v>99</v>
      </c>
      <c r="C22" s="27" t="s">
        <v>100</v>
      </c>
      <c r="D22" s="27" t="s">
        <v>101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1018</f>
        <v>1018.0</v>
      </c>
      <c r="L22" s="34" t="s">
        <v>48</v>
      </c>
      <c r="M22" s="33" t="n">
        <f>1019</f>
        <v>1019.0</v>
      </c>
      <c r="N22" s="34" t="s">
        <v>82</v>
      </c>
      <c r="O22" s="33" t="n">
        <f>948</f>
        <v>948.0</v>
      </c>
      <c r="P22" s="34" t="s">
        <v>86</v>
      </c>
      <c r="Q22" s="33" t="n">
        <f>967</f>
        <v>967.0</v>
      </c>
      <c r="R22" s="34" t="s">
        <v>50</v>
      </c>
      <c r="S22" s="35" t="n">
        <f>979.81</f>
        <v>979.81</v>
      </c>
      <c r="T22" s="32" t="n">
        <f>8796619</f>
        <v>8796619.0</v>
      </c>
      <c r="U22" s="32" t="n">
        <f>8081000</f>
        <v>8081000.0</v>
      </c>
      <c r="V22" s="32" t="n">
        <f>8761405579</f>
        <v>8.761405579E9</v>
      </c>
      <c r="W22" s="32" t="n">
        <f>8054826600</f>
        <v>8.0548266E9</v>
      </c>
      <c r="X22" s="36" t="n">
        <f>21</f>
        <v>21.0</v>
      </c>
    </row>
    <row r="23">
      <c r="A23" s="27" t="s">
        <v>42</v>
      </c>
      <c r="B23" s="27" t="s">
        <v>102</v>
      </c>
      <c r="C23" s="27" t="s">
        <v>103</v>
      </c>
      <c r="D23" s="27" t="s">
        <v>104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1847</f>
        <v>1847.0</v>
      </c>
      <c r="L23" s="34" t="s">
        <v>48</v>
      </c>
      <c r="M23" s="33" t="n">
        <f>1875</f>
        <v>1875.0</v>
      </c>
      <c r="N23" s="34" t="s">
        <v>105</v>
      </c>
      <c r="O23" s="33" t="n">
        <f>1751.5</f>
        <v>1751.5</v>
      </c>
      <c r="P23" s="34" t="s">
        <v>49</v>
      </c>
      <c r="Q23" s="33" t="n">
        <f>1858</f>
        <v>1858.0</v>
      </c>
      <c r="R23" s="34" t="s">
        <v>50</v>
      </c>
      <c r="S23" s="35" t="n">
        <f>1840.21</f>
        <v>1840.21</v>
      </c>
      <c r="T23" s="32" t="n">
        <f>20899590</f>
        <v>2.089959E7</v>
      </c>
      <c r="U23" s="32" t="n">
        <f>9180450</f>
        <v>9180450.0</v>
      </c>
      <c r="V23" s="32" t="n">
        <f>38302364764</f>
        <v>3.8302364764E10</v>
      </c>
      <c r="W23" s="32" t="n">
        <f>16893226319</f>
        <v>1.6893226319E10</v>
      </c>
      <c r="X23" s="36" t="n">
        <f>21</f>
        <v>21.0</v>
      </c>
    </row>
    <row r="24">
      <c r="A24" s="27" t="s">
        <v>42</v>
      </c>
      <c r="B24" s="27" t="s">
        <v>106</v>
      </c>
      <c r="C24" s="27" t="s">
        <v>107</v>
      </c>
      <c r="D24" s="27" t="s">
        <v>108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1726</f>
        <v>1726.0</v>
      </c>
      <c r="L24" s="34" t="s">
        <v>48</v>
      </c>
      <c r="M24" s="33" t="n">
        <f>1753</f>
        <v>1753.0</v>
      </c>
      <c r="N24" s="34" t="s">
        <v>105</v>
      </c>
      <c r="O24" s="33" t="n">
        <f>1640</f>
        <v>1640.0</v>
      </c>
      <c r="P24" s="34" t="s">
        <v>49</v>
      </c>
      <c r="Q24" s="33" t="n">
        <f>1739.5</f>
        <v>1739.5</v>
      </c>
      <c r="R24" s="34" t="s">
        <v>50</v>
      </c>
      <c r="S24" s="35" t="n">
        <f>1722.62</f>
        <v>1722.62</v>
      </c>
      <c r="T24" s="32" t="n">
        <f>2643800</f>
        <v>2643800.0</v>
      </c>
      <c r="U24" s="32" t="n">
        <f>1399600</f>
        <v>1399600.0</v>
      </c>
      <c r="V24" s="32" t="n">
        <f>4543786591</f>
        <v>4.543786591E9</v>
      </c>
      <c r="W24" s="32" t="n">
        <f>2422694841</f>
        <v>2.422694841E9</v>
      </c>
      <c r="X24" s="36" t="n">
        <f>21</f>
        <v>21.0</v>
      </c>
    </row>
    <row r="25">
      <c r="A25" s="27" t="s">
        <v>42</v>
      </c>
      <c r="B25" s="27" t="s">
        <v>109</v>
      </c>
      <c r="C25" s="27" t="s">
        <v>110</v>
      </c>
      <c r="D25" s="27" t="s">
        <v>111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37410</f>
        <v>37410.0</v>
      </c>
      <c r="L25" s="34" t="s">
        <v>48</v>
      </c>
      <c r="M25" s="33" t="n">
        <f>37510</f>
        <v>37510.0</v>
      </c>
      <c r="N25" s="34" t="s">
        <v>71</v>
      </c>
      <c r="O25" s="33" t="n">
        <f>31900</f>
        <v>31900.0</v>
      </c>
      <c r="P25" s="34" t="s">
        <v>49</v>
      </c>
      <c r="Q25" s="33" t="n">
        <f>37470</f>
        <v>37470.0</v>
      </c>
      <c r="R25" s="34" t="s">
        <v>50</v>
      </c>
      <c r="S25" s="35" t="n">
        <f>35751.43</f>
        <v>35751.43</v>
      </c>
      <c r="T25" s="32" t="n">
        <f>1702909</f>
        <v>1702909.0</v>
      </c>
      <c r="U25" s="32" t="n">
        <f>878004</f>
        <v>878004.0</v>
      </c>
      <c r="V25" s="32" t="n">
        <f>60483480104</f>
        <v>6.0483480104E10</v>
      </c>
      <c r="W25" s="32" t="n">
        <f>31441653594</f>
        <v>3.1441653594E10</v>
      </c>
      <c r="X25" s="36" t="n">
        <f>21</f>
        <v>21.0</v>
      </c>
    </row>
    <row r="26">
      <c r="A26" s="27" t="s">
        <v>42</v>
      </c>
      <c r="B26" s="27" t="s">
        <v>112</v>
      </c>
      <c r="C26" s="27" t="s">
        <v>113</v>
      </c>
      <c r="D26" s="27" t="s">
        <v>114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2818.5</f>
        <v>2818.5</v>
      </c>
      <c r="L26" s="34" t="s">
        <v>48</v>
      </c>
      <c r="M26" s="33" t="n">
        <f>2822.5</f>
        <v>2822.5</v>
      </c>
      <c r="N26" s="34" t="s">
        <v>48</v>
      </c>
      <c r="O26" s="33" t="n">
        <f>2330</f>
        <v>2330.0</v>
      </c>
      <c r="P26" s="34" t="s">
        <v>49</v>
      </c>
      <c r="Q26" s="33" t="n">
        <f>2791.5</f>
        <v>2791.5</v>
      </c>
      <c r="R26" s="34" t="s">
        <v>50</v>
      </c>
      <c r="S26" s="35" t="n">
        <f>2654.31</f>
        <v>2654.31</v>
      </c>
      <c r="T26" s="32" t="n">
        <f>21356040</f>
        <v>2.135604E7</v>
      </c>
      <c r="U26" s="32" t="n">
        <f>17936060</f>
        <v>1.793606E7</v>
      </c>
      <c r="V26" s="32" t="n">
        <f>54866331414</f>
        <v>5.4866331414E10</v>
      </c>
      <c r="W26" s="32" t="n">
        <f>45970701204</f>
        <v>4.5970701204E10</v>
      </c>
      <c r="X26" s="36" t="n">
        <f>21</f>
        <v>21.0</v>
      </c>
    </row>
    <row r="27">
      <c r="A27" s="27" t="s">
        <v>42</v>
      </c>
      <c r="B27" s="27" t="s">
        <v>115</v>
      </c>
      <c r="C27" s="27" t="s">
        <v>116</v>
      </c>
      <c r="D27" s="27" t="s">
        <v>117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16250</f>
        <v>16250.0</v>
      </c>
      <c r="L27" s="34" t="s">
        <v>82</v>
      </c>
      <c r="M27" s="33" t="n">
        <f>16280</f>
        <v>16280.0</v>
      </c>
      <c r="N27" s="34" t="s">
        <v>82</v>
      </c>
      <c r="O27" s="33" t="n">
        <f>15440</f>
        <v>15440.0</v>
      </c>
      <c r="P27" s="34" t="s">
        <v>82</v>
      </c>
      <c r="Q27" s="33" t="n">
        <f>15940</f>
        <v>15940.0</v>
      </c>
      <c r="R27" s="34" t="s">
        <v>50</v>
      </c>
      <c r="S27" s="35" t="n">
        <f>15881.39</f>
        <v>15881.39</v>
      </c>
      <c r="T27" s="32" t="n">
        <f>1045</f>
        <v>1045.0</v>
      </c>
      <c r="U27" s="32" t="str">
        <f>"－"</f>
        <v>－</v>
      </c>
      <c r="V27" s="32" t="n">
        <f>16537985</f>
        <v>1.6537985E7</v>
      </c>
      <c r="W27" s="32" t="str">
        <f>"－"</f>
        <v>－</v>
      </c>
      <c r="X27" s="36" t="n">
        <f>18</f>
        <v>18.0</v>
      </c>
    </row>
    <row r="28">
      <c r="A28" s="27" t="s">
        <v>42</v>
      </c>
      <c r="B28" s="27" t="s">
        <v>118</v>
      </c>
      <c r="C28" s="27" t="s">
        <v>119</v>
      </c>
      <c r="D28" s="27" t="s">
        <v>120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317.4</f>
        <v>317.4</v>
      </c>
      <c r="L28" s="34" t="s">
        <v>48</v>
      </c>
      <c r="M28" s="33" t="n">
        <f>443.7</f>
        <v>443.7</v>
      </c>
      <c r="N28" s="34" t="s">
        <v>49</v>
      </c>
      <c r="O28" s="33" t="n">
        <f>296.8</f>
        <v>296.8</v>
      </c>
      <c r="P28" s="34" t="s">
        <v>50</v>
      </c>
      <c r="Q28" s="33" t="n">
        <f>298.6</f>
        <v>298.6</v>
      </c>
      <c r="R28" s="34" t="s">
        <v>50</v>
      </c>
      <c r="S28" s="35" t="n">
        <f>340.05</f>
        <v>340.05</v>
      </c>
      <c r="T28" s="32" t="n">
        <f>67964530</f>
        <v>6.796453E7</v>
      </c>
      <c r="U28" s="32" t="n">
        <f>19450</f>
        <v>19450.0</v>
      </c>
      <c r="V28" s="32" t="n">
        <f>24082513680</f>
        <v>2.408251368E10</v>
      </c>
      <c r="W28" s="32" t="n">
        <f>6868986</f>
        <v>6868986.0</v>
      </c>
      <c r="X28" s="36" t="n">
        <f>21</f>
        <v>21.0</v>
      </c>
    </row>
    <row r="29">
      <c r="A29" s="27" t="s">
        <v>42</v>
      </c>
      <c r="B29" s="27" t="s">
        <v>121</v>
      </c>
      <c r="C29" s="27" t="s">
        <v>122</v>
      </c>
      <c r="D29" s="27" t="s">
        <v>123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13520</f>
        <v>13520.0</v>
      </c>
      <c r="L29" s="34" t="s">
        <v>48</v>
      </c>
      <c r="M29" s="33" t="n">
        <f>18030</f>
        <v>18030.0</v>
      </c>
      <c r="N29" s="34" t="s">
        <v>49</v>
      </c>
      <c r="O29" s="33" t="n">
        <f>12465</f>
        <v>12465.0</v>
      </c>
      <c r="P29" s="34" t="s">
        <v>71</v>
      </c>
      <c r="Q29" s="33" t="n">
        <f>12480</f>
        <v>12480.0</v>
      </c>
      <c r="R29" s="34" t="s">
        <v>50</v>
      </c>
      <c r="S29" s="35" t="n">
        <f>14118.33</f>
        <v>14118.33</v>
      </c>
      <c r="T29" s="32" t="n">
        <f>43172253</f>
        <v>4.3172253E7</v>
      </c>
      <c r="U29" s="32" t="n">
        <f>699273</f>
        <v>699273.0</v>
      </c>
      <c r="V29" s="32" t="n">
        <f>630359056212</f>
        <v>6.30359056212E11</v>
      </c>
      <c r="W29" s="32" t="n">
        <f>9888747912</f>
        <v>9.888747912E9</v>
      </c>
      <c r="X29" s="36" t="n">
        <f>21</f>
        <v>21.0</v>
      </c>
    </row>
    <row r="30">
      <c r="A30" s="27" t="s">
        <v>42</v>
      </c>
      <c r="B30" s="27" t="s">
        <v>124</v>
      </c>
      <c r="C30" s="27" t="s">
        <v>125</v>
      </c>
      <c r="D30" s="27" t="s">
        <v>126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43250</f>
        <v>43250.0</v>
      </c>
      <c r="L30" s="34" t="s">
        <v>48</v>
      </c>
      <c r="M30" s="33" t="n">
        <f>43580</f>
        <v>43580.0</v>
      </c>
      <c r="N30" s="34" t="s">
        <v>48</v>
      </c>
      <c r="O30" s="33" t="n">
        <f>31500</f>
        <v>31500.0</v>
      </c>
      <c r="P30" s="34" t="s">
        <v>49</v>
      </c>
      <c r="Q30" s="33" t="n">
        <f>42430</f>
        <v>42430.0</v>
      </c>
      <c r="R30" s="34" t="s">
        <v>50</v>
      </c>
      <c r="S30" s="35" t="n">
        <f>38891.43</f>
        <v>38891.43</v>
      </c>
      <c r="T30" s="32" t="n">
        <f>571771</f>
        <v>571771.0</v>
      </c>
      <c r="U30" s="32" t="n">
        <f>12</f>
        <v>12.0</v>
      </c>
      <c r="V30" s="32" t="n">
        <f>21824759600</f>
        <v>2.18247596E10</v>
      </c>
      <c r="W30" s="32" t="n">
        <f>484660</f>
        <v>484660.0</v>
      </c>
      <c r="X30" s="36" t="n">
        <f>21</f>
        <v>21.0</v>
      </c>
    </row>
    <row r="31">
      <c r="A31" s="27" t="s">
        <v>42</v>
      </c>
      <c r="B31" s="27" t="s">
        <v>127</v>
      </c>
      <c r="C31" s="27" t="s">
        <v>128</v>
      </c>
      <c r="D31" s="27" t="s">
        <v>129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332.4</f>
        <v>332.4</v>
      </c>
      <c r="L31" s="34" t="s">
        <v>48</v>
      </c>
      <c r="M31" s="33" t="n">
        <f>443.5</f>
        <v>443.5</v>
      </c>
      <c r="N31" s="34" t="s">
        <v>49</v>
      </c>
      <c r="O31" s="33" t="n">
        <f>306</f>
        <v>306.0</v>
      </c>
      <c r="P31" s="34" t="s">
        <v>71</v>
      </c>
      <c r="Q31" s="33" t="n">
        <f>306.3</f>
        <v>306.3</v>
      </c>
      <c r="R31" s="34" t="s">
        <v>50</v>
      </c>
      <c r="S31" s="35" t="n">
        <f>347.06</f>
        <v>347.06</v>
      </c>
      <c r="T31" s="32" t="n">
        <f>1213174410</f>
        <v>1.21317441E9</v>
      </c>
      <c r="U31" s="32" t="n">
        <f>20092420</f>
        <v>2.009242E7</v>
      </c>
      <c r="V31" s="32" t="n">
        <f>432707944984</f>
        <v>4.32707944984E11</v>
      </c>
      <c r="W31" s="32" t="n">
        <f>6819192928</f>
        <v>6.819192928E9</v>
      </c>
      <c r="X31" s="36" t="n">
        <f>21</f>
        <v>21.0</v>
      </c>
    </row>
    <row r="32">
      <c r="A32" s="27" t="s">
        <v>42</v>
      </c>
      <c r="B32" s="27" t="s">
        <v>130</v>
      </c>
      <c r="C32" s="27" t="s">
        <v>131</v>
      </c>
      <c r="D32" s="27" t="s">
        <v>132</v>
      </c>
      <c r="E32" s="28" t="s">
        <v>93</v>
      </c>
      <c r="F32" s="29" t="s">
        <v>94</v>
      </c>
      <c r="G32" s="30" t="s">
        <v>46</v>
      </c>
      <c r="H32" s="31"/>
      <c r="I32" s="31" t="s">
        <v>47</v>
      </c>
      <c r="J32" s="32" t="n">
        <v>1.0</v>
      </c>
      <c r="K32" s="33" t="n">
        <f>25395</f>
        <v>25395.0</v>
      </c>
      <c r="L32" s="34" t="s">
        <v>48</v>
      </c>
      <c r="M32" s="33" t="n">
        <f>25395</f>
        <v>25395.0</v>
      </c>
      <c r="N32" s="34" t="s">
        <v>48</v>
      </c>
      <c r="O32" s="33" t="n">
        <f>24560</f>
        <v>24560.0</v>
      </c>
      <c r="P32" s="34" t="s">
        <v>82</v>
      </c>
      <c r="Q32" s="33" t="n">
        <f>24765</f>
        <v>24765.0</v>
      </c>
      <c r="R32" s="34" t="s">
        <v>82</v>
      </c>
      <c r="S32" s="35" t="n">
        <f>24797.5</f>
        <v>24797.5</v>
      </c>
      <c r="T32" s="32" t="n">
        <f>56433</f>
        <v>56433.0</v>
      </c>
      <c r="U32" s="32" t="n">
        <f>44000</f>
        <v>44000.0</v>
      </c>
      <c r="V32" s="32" t="n">
        <f>1396403705</f>
        <v>1.396403705E9</v>
      </c>
      <c r="W32" s="32" t="n">
        <f>1087334000</f>
        <v>1.087334E9</v>
      </c>
      <c r="X32" s="36" t="n">
        <f>2</f>
        <v>2.0</v>
      </c>
    </row>
    <row r="33">
      <c r="A33" s="27" t="s">
        <v>42</v>
      </c>
      <c r="B33" s="27" t="s">
        <v>130</v>
      </c>
      <c r="C33" s="27" t="s">
        <v>131</v>
      </c>
      <c r="D33" s="27" t="s">
        <v>132</v>
      </c>
      <c r="E33" s="28" t="s">
        <v>93</v>
      </c>
      <c r="F33" s="29" t="s">
        <v>94</v>
      </c>
      <c r="G33" s="30" t="s">
        <v>46</v>
      </c>
      <c r="H33" s="31"/>
      <c r="I33" s="31" t="s">
        <v>47</v>
      </c>
      <c r="J33" s="32" t="n">
        <v>1.0</v>
      </c>
      <c r="K33" s="33" t="n">
        <f>2427</f>
        <v>2427.0</v>
      </c>
      <c r="L33" s="34" t="s">
        <v>95</v>
      </c>
      <c r="M33" s="33" t="n">
        <f>2493</f>
        <v>2493.0</v>
      </c>
      <c r="N33" s="34" t="s">
        <v>50</v>
      </c>
      <c r="O33" s="33" t="n">
        <f>2100</f>
        <v>2100.0</v>
      </c>
      <c r="P33" s="34" t="s">
        <v>49</v>
      </c>
      <c r="Q33" s="33" t="n">
        <f>2493</f>
        <v>2493.0</v>
      </c>
      <c r="R33" s="34" t="s">
        <v>50</v>
      </c>
      <c r="S33" s="35" t="n">
        <f>2359.26</f>
        <v>2359.26</v>
      </c>
      <c r="T33" s="32" t="n">
        <f>801305</f>
        <v>801305.0</v>
      </c>
      <c r="U33" s="32" t="n">
        <f>467403</f>
        <v>467403.0</v>
      </c>
      <c r="V33" s="32" t="n">
        <f>1857267123</f>
        <v>1.857267123E9</v>
      </c>
      <c r="W33" s="32" t="n">
        <f>1098894278</f>
        <v>1.098894278E9</v>
      </c>
      <c r="X33" s="36" t="n">
        <f>19</f>
        <v>19.0</v>
      </c>
    </row>
    <row r="34">
      <c r="A34" s="27" t="s">
        <v>42</v>
      </c>
      <c r="B34" s="27" t="s">
        <v>133</v>
      </c>
      <c r="C34" s="27" t="s">
        <v>134</v>
      </c>
      <c r="D34" s="27" t="s">
        <v>135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35360</f>
        <v>35360.0</v>
      </c>
      <c r="L34" s="34" t="s">
        <v>48</v>
      </c>
      <c r="M34" s="33" t="n">
        <f>35540</f>
        <v>35540.0</v>
      </c>
      <c r="N34" s="34" t="s">
        <v>48</v>
      </c>
      <c r="O34" s="33" t="n">
        <f>25725</f>
        <v>25725.0</v>
      </c>
      <c r="P34" s="34" t="s">
        <v>49</v>
      </c>
      <c r="Q34" s="33" t="n">
        <f>34620</f>
        <v>34620.0</v>
      </c>
      <c r="R34" s="34" t="s">
        <v>50</v>
      </c>
      <c r="S34" s="35" t="n">
        <f>31720.48</f>
        <v>31720.48</v>
      </c>
      <c r="T34" s="32" t="n">
        <f>2265688</f>
        <v>2265688.0</v>
      </c>
      <c r="U34" s="32" t="n">
        <f>24423</f>
        <v>24423.0</v>
      </c>
      <c r="V34" s="32" t="n">
        <f>70105174383</f>
        <v>7.0105174383E10</v>
      </c>
      <c r="W34" s="32" t="n">
        <f>776310553</f>
        <v>7.76310553E8</v>
      </c>
      <c r="X34" s="36" t="n">
        <f>21</f>
        <v>21.0</v>
      </c>
    </row>
    <row r="35">
      <c r="A35" s="27" t="s">
        <v>42</v>
      </c>
      <c r="B35" s="27" t="s">
        <v>136</v>
      </c>
      <c r="C35" s="27" t="s">
        <v>137</v>
      </c>
      <c r="D35" s="27" t="s">
        <v>138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340</f>
        <v>340.0</v>
      </c>
      <c r="L35" s="34" t="s">
        <v>48</v>
      </c>
      <c r="M35" s="33" t="n">
        <f>454</f>
        <v>454.0</v>
      </c>
      <c r="N35" s="34" t="s">
        <v>49</v>
      </c>
      <c r="O35" s="33" t="n">
        <f>314</f>
        <v>314.0</v>
      </c>
      <c r="P35" s="34" t="s">
        <v>71</v>
      </c>
      <c r="Q35" s="33" t="n">
        <f>315</f>
        <v>315.0</v>
      </c>
      <c r="R35" s="34" t="s">
        <v>50</v>
      </c>
      <c r="S35" s="35" t="n">
        <f>355.33</f>
        <v>355.33</v>
      </c>
      <c r="T35" s="32" t="n">
        <f>105613237</f>
        <v>1.05613237E8</v>
      </c>
      <c r="U35" s="32" t="n">
        <f>392656</f>
        <v>392656.0</v>
      </c>
      <c r="V35" s="32" t="n">
        <f>39508173483</f>
        <v>3.9508173483E10</v>
      </c>
      <c r="W35" s="32" t="n">
        <f>140164865</f>
        <v>1.40164865E8</v>
      </c>
      <c r="X35" s="36" t="n">
        <f>21</f>
        <v>21.0</v>
      </c>
    </row>
    <row r="36">
      <c r="A36" s="27" t="s">
        <v>42</v>
      </c>
      <c r="B36" s="27" t="s">
        <v>139</v>
      </c>
      <c r="C36" s="27" t="s">
        <v>140</v>
      </c>
      <c r="D36" s="27" t="s">
        <v>141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35390</f>
        <v>35390.0</v>
      </c>
      <c r="L36" s="34" t="s">
        <v>48</v>
      </c>
      <c r="M36" s="33" t="n">
        <f>35520</f>
        <v>35520.0</v>
      </c>
      <c r="N36" s="34" t="s">
        <v>48</v>
      </c>
      <c r="O36" s="33" t="n">
        <f>24990</f>
        <v>24990.0</v>
      </c>
      <c r="P36" s="34" t="s">
        <v>49</v>
      </c>
      <c r="Q36" s="33" t="n">
        <f>33720</f>
        <v>33720.0</v>
      </c>
      <c r="R36" s="34" t="s">
        <v>50</v>
      </c>
      <c r="S36" s="35" t="n">
        <f>30800.95</f>
        <v>30800.95</v>
      </c>
      <c r="T36" s="32" t="n">
        <f>314998</f>
        <v>314998.0</v>
      </c>
      <c r="U36" s="32" t="n">
        <f>8290</f>
        <v>8290.0</v>
      </c>
      <c r="V36" s="32" t="n">
        <f>9243297169</f>
        <v>9.243297169E9</v>
      </c>
      <c r="W36" s="32" t="n">
        <f>237254719</f>
        <v>2.37254719E8</v>
      </c>
      <c r="X36" s="36" t="n">
        <f>21</f>
        <v>21.0</v>
      </c>
    </row>
    <row r="37">
      <c r="A37" s="27" t="s">
        <v>42</v>
      </c>
      <c r="B37" s="27" t="s">
        <v>142</v>
      </c>
      <c r="C37" s="27" t="s">
        <v>143</v>
      </c>
      <c r="D37" s="27" t="s">
        <v>144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460</f>
        <v>460.0</v>
      </c>
      <c r="L37" s="34" t="s">
        <v>48</v>
      </c>
      <c r="M37" s="33" t="n">
        <f>635</f>
        <v>635.0</v>
      </c>
      <c r="N37" s="34" t="s">
        <v>49</v>
      </c>
      <c r="O37" s="33" t="n">
        <f>432</f>
        <v>432.0</v>
      </c>
      <c r="P37" s="34" t="s">
        <v>50</v>
      </c>
      <c r="Q37" s="33" t="n">
        <f>435</f>
        <v>435.0</v>
      </c>
      <c r="R37" s="34" t="s">
        <v>50</v>
      </c>
      <c r="S37" s="35" t="n">
        <f>492.52</f>
        <v>492.52</v>
      </c>
      <c r="T37" s="32" t="n">
        <f>8428282</f>
        <v>8428282.0</v>
      </c>
      <c r="U37" s="32" t="n">
        <f>23337</f>
        <v>23337.0</v>
      </c>
      <c r="V37" s="32" t="n">
        <f>4474475740</f>
        <v>4.47447574E9</v>
      </c>
      <c r="W37" s="32" t="n">
        <f>12832456</f>
        <v>1.2832456E7</v>
      </c>
      <c r="X37" s="36" t="n">
        <f>21</f>
        <v>21.0</v>
      </c>
    </row>
    <row r="38">
      <c r="A38" s="27" t="s">
        <v>42</v>
      </c>
      <c r="B38" s="27" t="s">
        <v>145</v>
      </c>
      <c r="C38" s="27" t="s">
        <v>146</v>
      </c>
      <c r="D38" s="27" t="s">
        <v>147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36360</f>
        <v>36360.0</v>
      </c>
      <c r="L38" s="34" t="s">
        <v>48</v>
      </c>
      <c r="M38" s="33" t="n">
        <f>36440</f>
        <v>36440.0</v>
      </c>
      <c r="N38" s="34" t="s">
        <v>48</v>
      </c>
      <c r="O38" s="33" t="n">
        <f>31000</f>
        <v>31000.0</v>
      </c>
      <c r="P38" s="34" t="s">
        <v>49</v>
      </c>
      <c r="Q38" s="33" t="n">
        <f>36410</f>
        <v>36410.0</v>
      </c>
      <c r="R38" s="34" t="s">
        <v>50</v>
      </c>
      <c r="S38" s="35" t="n">
        <f>34670</f>
        <v>34670.0</v>
      </c>
      <c r="T38" s="32" t="n">
        <f>473923</f>
        <v>473923.0</v>
      </c>
      <c r="U38" s="32" t="n">
        <f>115134</f>
        <v>115134.0</v>
      </c>
      <c r="V38" s="32" t="n">
        <f>16156160511</f>
        <v>1.6156160511E10</v>
      </c>
      <c r="W38" s="32" t="n">
        <f>3893907591</f>
        <v>3.893907591E9</v>
      </c>
      <c r="X38" s="36" t="n">
        <f>21</f>
        <v>21.0</v>
      </c>
    </row>
    <row r="39">
      <c r="A39" s="27" t="s">
        <v>42</v>
      </c>
      <c r="B39" s="27" t="s">
        <v>148</v>
      </c>
      <c r="C39" s="27" t="s">
        <v>149</v>
      </c>
      <c r="D39" s="27" t="s">
        <v>150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1.0</v>
      </c>
      <c r="K39" s="33" t="n">
        <f>36680</f>
        <v>36680.0</v>
      </c>
      <c r="L39" s="34" t="s">
        <v>48</v>
      </c>
      <c r="M39" s="33" t="n">
        <f>36710</f>
        <v>36710.0</v>
      </c>
      <c r="N39" s="34" t="s">
        <v>48</v>
      </c>
      <c r="O39" s="33" t="n">
        <f>30910</f>
        <v>30910.0</v>
      </c>
      <c r="P39" s="34" t="s">
        <v>49</v>
      </c>
      <c r="Q39" s="33" t="n">
        <f>36400</f>
        <v>36400.0</v>
      </c>
      <c r="R39" s="34" t="s">
        <v>50</v>
      </c>
      <c r="S39" s="35" t="n">
        <f>34772.38</f>
        <v>34772.38</v>
      </c>
      <c r="T39" s="32" t="n">
        <f>201354</f>
        <v>201354.0</v>
      </c>
      <c r="U39" s="32" t="n">
        <f>47489</f>
        <v>47489.0</v>
      </c>
      <c r="V39" s="32" t="n">
        <f>6804723942</f>
        <v>6.804723942E9</v>
      </c>
      <c r="W39" s="32" t="n">
        <f>1588163822</f>
        <v>1.588163822E9</v>
      </c>
      <c r="X39" s="36" t="n">
        <f>21</f>
        <v>21.0</v>
      </c>
    </row>
    <row r="40">
      <c r="A40" s="27" t="s">
        <v>42</v>
      </c>
      <c r="B40" s="27" t="s">
        <v>151</v>
      </c>
      <c r="C40" s="27" t="s">
        <v>152</v>
      </c>
      <c r="D40" s="27" t="s">
        <v>153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1748</f>
        <v>1748.0</v>
      </c>
      <c r="L40" s="34" t="s">
        <v>48</v>
      </c>
      <c r="M40" s="33" t="n">
        <f>1774</f>
        <v>1774.0</v>
      </c>
      <c r="N40" s="34" t="s">
        <v>105</v>
      </c>
      <c r="O40" s="33" t="n">
        <f>1609.5</f>
        <v>1609.5</v>
      </c>
      <c r="P40" s="34" t="s">
        <v>49</v>
      </c>
      <c r="Q40" s="33" t="n">
        <f>1755</f>
        <v>1755.0</v>
      </c>
      <c r="R40" s="34" t="s">
        <v>50</v>
      </c>
      <c r="S40" s="35" t="n">
        <f>1741.67</f>
        <v>1741.67</v>
      </c>
      <c r="T40" s="32" t="n">
        <f>1904370</f>
        <v>1904370.0</v>
      </c>
      <c r="U40" s="32" t="n">
        <f>299110</f>
        <v>299110.0</v>
      </c>
      <c r="V40" s="32" t="n">
        <f>3307167934</f>
        <v>3.307167934E9</v>
      </c>
      <c r="W40" s="32" t="n">
        <f>525074414</f>
        <v>5.25074414E8</v>
      </c>
      <c r="X40" s="36" t="n">
        <f>21</f>
        <v>21.0</v>
      </c>
    </row>
    <row r="41">
      <c r="A41" s="27" t="s">
        <v>42</v>
      </c>
      <c r="B41" s="27" t="s">
        <v>154</v>
      </c>
      <c r="C41" s="27" t="s">
        <v>155</v>
      </c>
      <c r="D41" s="27" t="s">
        <v>156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2260</f>
        <v>2260.0</v>
      </c>
      <c r="L41" s="34" t="s">
        <v>48</v>
      </c>
      <c r="M41" s="33" t="n">
        <f>2260</f>
        <v>2260.0</v>
      </c>
      <c r="N41" s="34" t="s">
        <v>48</v>
      </c>
      <c r="O41" s="33" t="n">
        <f>1970</f>
        <v>1970.0</v>
      </c>
      <c r="P41" s="34" t="s">
        <v>78</v>
      </c>
      <c r="Q41" s="33" t="n">
        <f>2177</f>
        <v>2177.0</v>
      </c>
      <c r="R41" s="34" t="s">
        <v>50</v>
      </c>
      <c r="S41" s="35" t="n">
        <f>2118.6</f>
        <v>2118.6</v>
      </c>
      <c r="T41" s="32" t="n">
        <f>43920</f>
        <v>43920.0</v>
      </c>
      <c r="U41" s="32" t="n">
        <f>2660</f>
        <v>2660.0</v>
      </c>
      <c r="V41" s="32" t="n">
        <f>93191331</f>
        <v>9.3191331E7</v>
      </c>
      <c r="W41" s="32" t="n">
        <f>5778620</f>
        <v>5778620.0</v>
      </c>
      <c r="X41" s="36" t="n">
        <f>21</f>
        <v>21.0</v>
      </c>
    </row>
    <row r="42">
      <c r="A42" s="27" t="s">
        <v>42</v>
      </c>
      <c r="B42" s="27" t="s">
        <v>157</v>
      </c>
      <c r="C42" s="27" t="s">
        <v>158</v>
      </c>
      <c r="D42" s="27" t="s">
        <v>159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1974</f>
        <v>1974.0</v>
      </c>
      <c r="L42" s="34" t="s">
        <v>48</v>
      </c>
      <c r="M42" s="33" t="n">
        <f>2011</f>
        <v>2011.0</v>
      </c>
      <c r="N42" s="34" t="s">
        <v>160</v>
      </c>
      <c r="O42" s="33" t="n">
        <f>1916</f>
        <v>1916.0</v>
      </c>
      <c r="P42" s="34" t="s">
        <v>49</v>
      </c>
      <c r="Q42" s="33" t="n">
        <f>1964</f>
        <v>1964.0</v>
      </c>
      <c r="R42" s="34" t="s">
        <v>50</v>
      </c>
      <c r="S42" s="35" t="n">
        <f>1980.71</f>
        <v>1980.71</v>
      </c>
      <c r="T42" s="32" t="n">
        <f>18533</f>
        <v>18533.0</v>
      </c>
      <c r="U42" s="32" t="str">
        <f>"－"</f>
        <v>－</v>
      </c>
      <c r="V42" s="32" t="n">
        <f>36436502</f>
        <v>3.6436502E7</v>
      </c>
      <c r="W42" s="32" t="str">
        <f>"－"</f>
        <v>－</v>
      </c>
      <c r="X42" s="36" t="n">
        <f>21</f>
        <v>21.0</v>
      </c>
    </row>
    <row r="43">
      <c r="A43" s="27" t="s">
        <v>42</v>
      </c>
      <c r="B43" s="27" t="s">
        <v>161</v>
      </c>
      <c r="C43" s="27" t="s">
        <v>162</v>
      </c>
      <c r="D43" s="27" t="s">
        <v>163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2633</f>
        <v>2633.0</v>
      </c>
      <c r="L43" s="34" t="s">
        <v>48</v>
      </c>
      <c r="M43" s="33" t="n">
        <f>3060</f>
        <v>3060.0</v>
      </c>
      <c r="N43" s="34" t="s">
        <v>49</v>
      </c>
      <c r="O43" s="33" t="n">
        <f>2562</f>
        <v>2562.0</v>
      </c>
      <c r="P43" s="34" t="s">
        <v>71</v>
      </c>
      <c r="Q43" s="33" t="n">
        <f>2564</f>
        <v>2564.0</v>
      </c>
      <c r="R43" s="34" t="s">
        <v>50</v>
      </c>
      <c r="S43" s="35" t="n">
        <f>2713.24</f>
        <v>2713.24</v>
      </c>
      <c r="T43" s="32" t="n">
        <f>2807296</f>
        <v>2807296.0</v>
      </c>
      <c r="U43" s="32" t="n">
        <f>161300</f>
        <v>161300.0</v>
      </c>
      <c r="V43" s="32" t="n">
        <f>7796516732</f>
        <v>7.796516732E9</v>
      </c>
      <c r="W43" s="32" t="n">
        <f>452127355</f>
        <v>4.52127355E8</v>
      </c>
      <c r="X43" s="36" t="n">
        <f>21</f>
        <v>21.0</v>
      </c>
    </row>
    <row r="44">
      <c r="A44" s="27" t="s">
        <v>42</v>
      </c>
      <c r="B44" s="27" t="s">
        <v>164</v>
      </c>
      <c r="C44" s="27" t="s">
        <v>165</v>
      </c>
      <c r="D44" s="27" t="s">
        <v>166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2937</f>
        <v>2937.0</v>
      </c>
      <c r="L44" s="34" t="s">
        <v>48</v>
      </c>
      <c r="M44" s="33" t="n">
        <f>3520</f>
        <v>3520.0</v>
      </c>
      <c r="N44" s="34" t="s">
        <v>49</v>
      </c>
      <c r="O44" s="33" t="n">
        <f>2894</f>
        <v>2894.0</v>
      </c>
      <c r="P44" s="34" t="s">
        <v>50</v>
      </c>
      <c r="Q44" s="33" t="n">
        <f>2894</f>
        <v>2894.0</v>
      </c>
      <c r="R44" s="34" t="s">
        <v>50</v>
      </c>
      <c r="S44" s="35" t="n">
        <f>3072.95</f>
        <v>3072.95</v>
      </c>
      <c r="T44" s="32" t="n">
        <f>488783</f>
        <v>488783.0</v>
      </c>
      <c r="U44" s="32" t="n">
        <f>74510</f>
        <v>74510.0</v>
      </c>
      <c r="V44" s="32" t="n">
        <f>1565444570</f>
        <v>1.56544457E9</v>
      </c>
      <c r="W44" s="32" t="n">
        <f>251757710</f>
        <v>2.5175771E8</v>
      </c>
      <c r="X44" s="36" t="n">
        <f>21</f>
        <v>21.0</v>
      </c>
    </row>
    <row r="45">
      <c r="A45" s="27" t="s">
        <v>42</v>
      </c>
      <c r="B45" s="27" t="s">
        <v>167</v>
      </c>
      <c r="C45" s="27" t="s">
        <v>168</v>
      </c>
      <c r="D45" s="27" t="s">
        <v>169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27195</f>
        <v>27195.0</v>
      </c>
      <c r="L45" s="34" t="s">
        <v>48</v>
      </c>
      <c r="M45" s="33" t="n">
        <f>27340</f>
        <v>27340.0</v>
      </c>
      <c r="N45" s="34" t="s">
        <v>48</v>
      </c>
      <c r="O45" s="33" t="n">
        <f>19620</f>
        <v>19620.0</v>
      </c>
      <c r="P45" s="34" t="s">
        <v>49</v>
      </c>
      <c r="Q45" s="33" t="n">
        <f>26610</f>
        <v>26610.0</v>
      </c>
      <c r="R45" s="34" t="s">
        <v>50</v>
      </c>
      <c r="S45" s="35" t="n">
        <f>24392.38</f>
        <v>24392.38</v>
      </c>
      <c r="T45" s="32" t="n">
        <f>11227774</f>
        <v>1.1227774E7</v>
      </c>
      <c r="U45" s="32" t="n">
        <f>20019</f>
        <v>20019.0</v>
      </c>
      <c r="V45" s="32" t="n">
        <f>269683515155</f>
        <v>2.69683515155E11</v>
      </c>
      <c r="W45" s="32" t="n">
        <f>513860070</f>
        <v>5.1386007E8</v>
      </c>
      <c r="X45" s="36" t="n">
        <f>21</f>
        <v>21.0</v>
      </c>
    </row>
    <row r="46">
      <c r="A46" s="27" t="s">
        <v>42</v>
      </c>
      <c r="B46" s="27" t="s">
        <v>170</v>
      </c>
      <c r="C46" s="27" t="s">
        <v>171</v>
      </c>
      <c r="D46" s="27" t="s">
        <v>172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546</f>
        <v>546.0</v>
      </c>
      <c r="L46" s="34" t="s">
        <v>48</v>
      </c>
      <c r="M46" s="33" t="n">
        <f>715</f>
        <v>715.0</v>
      </c>
      <c r="N46" s="34" t="s">
        <v>49</v>
      </c>
      <c r="O46" s="33" t="n">
        <f>501</f>
        <v>501.0</v>
      </c>
      <c r="P46" s="34" t="s">
        <v>71</v>
      </c>
      <c r="Q46" s="33" t="n">
        <f>502</f>
        <v>502.0</v>
      </c>
      <c r="R46" s="34" t="s">
        <v>50</v>
      </c>
      <c r="S46" s="35" t="n">
        <f>569.71</f>
        <v>569.71</v>
      </c>
      <c r="T46" s="32" t="n">
        <f>304722769</f>
        <v>3.04722769E8</v>
      </c>
      <c r="U46" s="32" t="n">
        <f>4236215</f>
        <v>4236215.0</v>
      </c>
      <c r="V46" s="32" t="n">
        <f>182047540356</f>
        <v>1.82047540356E11</v>
      </c>
      <c r="W46" s="32" t="n">
        <f>2459404815</f>
        <v>2.459404815E9</v>
      </c>
      <c r="X46" s="36" t="n">
        <f>21</f>
        <v>21.0</v>
      </c>
    </row>
    <row r="47">
      <c r="A47" s="27" t="s">
        <v>42</v>
      </c>
      <c r="B47" s="27" t="s">
        <v>173</v>
      </c>
      <c r="C47" s="27" t="s">
        <v>174</v>
      </c>
      <c r="D47" s="27" t="s">
        <v>175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586</f>
        <v>586.0</v>
      </c>
      <c r="L47" s="34" t="s">
        <v>48</v>
      </c>
      <c r="M47" s="33" t="n">
        <f>783</f>
        <v>783.0</v>
      </c>
      <c r="N47" s="34" t="s">
        <v>49</v>
      </c>
      <c r="O47" s="33" t="n">
        <f>556</f>
        <v>556.0</v>
      </c>
      <c r="P47" s="34" t="s">
        <v>50</v>
      </c>
      <c r="Q47" s="33" t="n">
        <f>556</f>
        <v>556.0</v>
      </c>
      <c r="R47" s="34" t="s">
        <v>50</v>
      </c>
      <c r="S47" s="35" t="n">
        <f>629.29</f>
        <v>629.29</v>
      </c>
      <c r="T47" s="32" t="n">
        <f>512917</f>
        <v>512917.0</v>
      </c>
      <c r="U47" s="32" t="str">
        <f>"－"</f>
        <v>－</v>
      </c>
      <c r="V47" s="32" t="n">
        <f>346169148</f>
        <v>3.46169148E8</v>
      </c>
      <c r="W47" s="32" t="str">
        <f>"－"</f>
        <v>－</v>
      </c>
      <c r="X47" s="36" t="n">
        <f>21</f>
        <v>21.0</v>
      </c>
    </row>
    <row r="48">
      <c r="A48" s="27" t="s">
        <v>42</v>
      </c>
      <c r="B48" s="27" t="s">
        <v>176</v>
      </c>
      <c r="C48" s="27" t="s">
        <v>177</v>
      </c>
      <c r="D48" s="27" t="s">
        <v>178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10.0</v>
      </c>
      <c r="K48" s="33" t="n">
        <f>597.5</f>
        <v>597.5</v>
      </c>
      <c r="L48" s="34" t="s">
        <v>48</v>
      </c>
      <c r="M48" s="33" t="n">
        <f>751.6</f>
        <v>751.6</v>
      </c>
      <c r="N48" s="34" t="s">
        <v>49</v>
      </c>
      <c r="O48" s="33" t="n">
        <f>541</f>
        <v>541.0</v>
      </c>
      <c r="P48" s="34" t="s">
        <v>50</v>
      </c>
      <c r="Q48" s="33" t="n">
        <f>541.7</f>
        <v>541.7</v>
      </c>
      <c r="R48" s="34" t="s">
        <v>50</v>
      </c>
      <c r="S48" s="35" t="n">
        <f>611.02</f>
        <v>611.02</v>
      </c>
      <c r="T48" s="32" t="n">
        <f>880670</f>
        <v>880670.0</v>
      </c>
      <c r="U48" s="32" t="str">
        <f>"－"</f>
        <v>－</v>
      </c>
      <c r="V48" s="32" t="n">
        <f>567479527</f>
        <v>5.67479527E8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179</v>
      </c>
      <c r="C49" s="27" t="s">
        <v>180</v>
      </c>
      <c r="D49" s="27" t="s">
        <v>181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1.0</v>
      </c>
      <c r="K49" s="33" t="n">
        <f>233</f>
        <v>233.0</v>
      </c>
      <c r="L49" s="34" t="s">
        <v>48</v>
      </c>
      <c r="M49" s="33" t="n">
        <f>351</f>
        <v>351.0</v>
      </c>
      <c r="N49" s="34" t="s">
        <v>49</v>
      </c>
      <c r="O49" s="33" t="n">
        <f>215</f>
        <v>215.0</v>
      </c>
      <c r="P49" s="34" t="s">
        <v>50</v>
      </c>
      <c r="Q49" s="33" t="n">
        <f>220</f>
        <v>220.0</v>
      </c>
      <c r="R49" s="34" t="s">
        <v>50</v>
      </c>
      <c r="S49" s="35" t="n">
        <f>248.14</f>
        <v>248.14</v>
      </c>
      <c r="T49" s="32" t="n">
        <f>1037644</f>
        <v>1037644.0</v>
      </c>
      <c r="U49" s="32" t="str">
        <f>"－"</f>
        <v>－</v>
      </c>
      <c r="V49" s="32" t="n">
        <f>280341405</f>
        <v>2.80341405E8</v>
      </c>
      <c r="W49" s="32" t="str">
        <f>"－"</f>
        <v>－</v>
      </c>
      <c r="X49" s="36" t="n">
        <f>21</f>
        <v>21.0</v>
      </c>
    </row>
    <row r="50">
      <c r="A50" s="27" t="s">
        <v>42</v>
      </c>
      <c r="B50" s="27" t="s">
        <v>182</v>
      </c>
      <c r="C50" s="27" t="s">
        <v>183</v>
      </c>
      <c r="D50" s="27" t="s">
        <v>184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10.0</v>
      </c>
      <c r="K50" s="33" t="n">
        <f>2762.5</f>
        <v>2762.5</v>
      </c>
      <c r="L50" s="34" t="s">
        <v>48</v>
      </c>
      <c r="M50" s="33" t="n">
        <f>2764</f>
        <v>2764.0</v>
      </c>
      <c r="N50" s="34" t="s">
        <v>48</v>
      </c>
      <c r="O50" s="33" t="n">
        <f>2300</f>
        <v>2300.0</v>
      </c>
      <c r="P50" s="34" t="s">
        <v>49</v>
      </c>
      <c r="Q50" s="33" t="n">
        <f>2738</f>
        <v>2738.0</v>
      </c>
      <c r="R50" s="34" t="s">
        <v>50</v>
      </c>
      <c r="S50" s="35" t="n">
        <f>2599.83</f>
        <v>2599.83</v>
      </c>
      <c r="T50" s="32" t="n">
        <f>2492300</f>
        <v>2492300.0</v>
      </c>
      <c r="U50" s="32" t="n">
        <f>1253700</f>
        <v>1253700.0</v>
      </c>
      <c r="V50" s="32" t="n">
        <f>6382904565</f>
        <v>6.382904565E9</v>
      </c>
      <c r="W50" s="32" t="n">
        <f>3220720805</f>
        <v>3.220720805E9</v>
      </c>
      <c r="X50" s="36" t="n">
        <f>21</f>
        <v>21.0</v>
      </c>
    </row>
    <row r="51">
      <c r="A51" s="27" t="s">
        <v>42</v>
      </c>
      <c r="B51" s="27" t="s">
        <v>185</v>
      </c>
      <c r="C51" s="27" t="s">
        <v>186</v>
      </c>
      <c r="D51" s="27" t="s">
        <v>187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24835</f>
        <v>24835.0</v>
      </c>
      <c r="L51" s="34" t="s">
        <v>48</v>
      </c>
      <c r="M51" s="33" t="n">
        <f>24835</f>
        <v>24835.0</v>
      </c>
      <c r="N51" s="34" t="s">
        <v>48</v>
      </c>
      <c r="O51" s="33" t="n">
        <f>20850</f>
        <v>20850.0</v>
      </c>
      <c r="P51" s="34" t="s">
        <v>49</v>
      </c>
      <c r="Q51" s="33" t="n">
        <f>24665</f>
        <v>24665.0</v>
      </c>
      <c r="R51" s="34" t="s">
        <v>50</v>
      </c>
      <c r="S51" s="35" t="n">
        <f>23575.24</f>
        <v>23575.24</v>
      </c>
      <c r="T51" s="32" t="n">
        <f>198743</f>
        <v>198743.0</v>
      </c>
      <c r="U51" s="32" t="n">
        <f>134250</f>
        <v>134250.0</v>
      </c>
      <c r="V51" s="32" t="n">
        <f>4471853570</f>
        <v>4.47185357E9</v>
      </c>
      <c r="W51" s="32" t="n">
        <f>2980970355</f>
        <v>2.980970355E9</v>
      </c>
      <c r="X51" s="36" t="n">
        <f>21</f>
        <v>21.0</v>
      </c>
    </row>
    <row r="52">
      <c r="A52" s="27" t="s">
        <v>42</v>
      </c>
      <c r="B52" s="27" t="s">
        <v>188</v>
      </c>
      <c r="C52" s="27" t="s">
        <v>189</v>
      </c>
      <c r="D52" s="27" t="s">
        <v>190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10.0</v>
      </c>
      <c r="K52" s="33" t="n">
        <f>278.6</f>
        <v>278.6</v>
      </c>
      <c r="L52" s="34" t="s">
        <v>48</v>
      </c>
      <c r="M52" s="33" t="n">
        <f>278.9</f>
        <v>278.9</v>
      </c>
      <c r="N52" s="34" t="s">
        <v>48</v>
      </c>
      <c r="O52" s="33" t="n">
        <f>230</f>
        <v>230.0</v>
      </c>
      <c r="P52" s="34" t="s">
        <v>49</v>
      </c>
      <c r="Q52" s="33" t="n">
        <f>275.2</f>
        <v>275.2</v>
      </c>
      <c r="R52" s="34" t="s">
        <v>50</v>
      </c>
      <c r="S52" s="35" t="n">
        <f>262.05</f>
        <v>262.05</v>
      </c>
      <c r="T52" s="32" t="n">
        <f>210751690</f>
        <v>2.1075169E8</v>
      </c>
      <c r="U52" s="32" t="n">
        <f>127605450</f>
        <v>1.2760545E8</v>
      </c>
      <c r="V52" s="32" t="n">
        <f>53860023374</f>
        <v>5.3860023374E10</v>
      </c>
      <c r="W52" s="32" t="n">
        <f>32580376534</f>
        <v>3.2580376534E10</v>
      </c>
      <c r="X52" s="36" t="n">
        <f>21</f>
        <v>21.0</v>
      </c>
    </row>
    <row r="53">
      <c r="A53" s="27" t="s">
        <v>42</v>
      </c>
      <c r="B53" s="27" t="s">
        <v>191</v>
      </c>
      <c r="C53" s="27" t="s">
        <v>192</v>
      </c>
      <c r="D53" s="27" t="s">
        <v>193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1767</f>
        <v>1767.0</v>
      </c>
      <c r="L53" s="34" t="s">
        <v>48</v>
      </c>
      <c r="M53" s="33" t="n">
        <f>1796</f>
        <v>1796.0</v>
      </c>
      <c r="N53" s="34" t="s">
        <v>105</v>
      </c>
      <c r="O53" s="33" t="n">
        <f>1680</f>
        <v>1680.0</v>
      </c>
      <c r="P53" s="34" t="s">
        <v>49</v>
      </c>
      <c r="Q53" s="33" t="n">
        <f>1782</f>
        <v>1782.0</v>
      </c>
      <c r="R53" s="34" t="s">
        <v>50</v>
      </c>
      <c r="S53" s="35" t="n">
        <f>1764.1</f>
        <v>1764.1</v>
      </c>
      <c r="T53" s="32" t="n">
        <f>19180299</f>
        <v>1.9180299E7</v>
      </c>
      <c r="U53" s="32" t="n">
        <f>16256854</f>
        <v>1.6256854E7</v>
      </c>
      <c r="V53" s="32" t="n">
        <f>33741411644</f>
        <v>3.3741411644E10</v>
      </c>
      <c r="W53" s="32" t="n">
        <f>28602216749</f>
        <v>2.8602216749E10</v>
      </c>
      <c r="X53" s="36" t="n">
        <f>21</f>
        <v>21.0</v>
      </c>
    </row>
    <row r="54">
      <c r="A54" s="27" t="s">
        <v>42</v>
      </c>
      <c r="B54" s="27" t="s">
        <v>194</v>
      </c>
      <c r="C54" s="27" t="s">
        <v>195</v>
      </c>
      <c r="D54" s="27" t="s">
        <v>196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2561</f>
        <v>2561.0</v>
      </c>
      <c r="L54" s="34" t="s">
        <v>48</v>
      </c>
      <c r="M54" s="33" t="n">
        <f>2591</f>
        <v>2591.0</v>
      </c>
      <c r="N54" s="34" t="s">
        <v>50</v>
      </c>
      <c r="O54" s="33" t="n">
        <f>2212</f>
        <v>2212.0</v>
      </c>
      <c r="P54" s="34" t="s">
        <v>49</v>
      </c>
      <c r="Q54" s="33" t="n">
        <f>2591</f>
        <v>2591.0</v>
      </c>
      <c r="R54" s="34" t="s">
        <v>50</v>
      </c>
      <c r="S54" s="35" t="n">
        <f>2480.62</f>
        <v>2480.62</v>
      </c>
      <c r="T54" s="32" t="n">
        <f>125675</f>
        <v>125675.0</v>
      </c>
      <c r="U54" s="32" t="n">
        <f>18307</f>
        <v>18307.0</v>
      </c>
      <c r="V54" s="32" t="n">
        <f>309103200</f>
        <v>3.091032E8</v>
      </c>
      <c r="W54" s="32" t="n">
        <f>47366914</f>
        <v>4.7366914E7</v>
      </c>
      <c r="X54" s="36" t="n">
        <f>21</f>
        <v>21.0</v>
      </c>
    </row>
    <row r="55">
      <c r="A55" s="27" t="s">
        <v>42</v>
      </c>
      <c r="B55" s="27" t="s">
        <v>197</v>
      </c>
      <c r="C55" s="27" t="s">
        <v>198</v>
      </c>
      <c r="D55" s="27" t="s">
        <v>199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3775</f>
        <v>3775.0</v>
      </c>
      <c r="L55" s="34" t="s">
        <v>48</v>
      </c>
      <c r="M55" s="33" t="n">
        <f>3830</f>
        <v>3830.0</v>
      </c>
      <c r="N55" s="34" t="s">
        <v>50</v>
      </c>
      <c r="O55" s="33" t="n">
        <f>3210</f>
        <v>3210.0</v>
      </c>
      <c r="P55" s="34" t="s">
        <v>49</v>
      </c>
      <c r="Q55" s="33" t="n">
        <f>3800</f>
        <v>3800.0</v>
      </c>
      <c r="R55" s="34" t="s">
        <v>50</v>
      </c>
      <c r="S55" s="35" t="n">
        <f>3613.81</f>
        <v>3613.81</v>
      </c>
      <c r="T55" s="32" t="n">
        <f>3364274</f>
        <v>3364274.0</v>
      </c>
      <c r="U55" s="32" t="n">
        <f>1756331</f>
        <v>1756331.0</v>
      </c>
      <c r="V55" s="32" t="n">
        <f>12050611477</f>
        <v>1.2050611477E10</v>
      </c>
      <c r="W55" s="32" t="n">
        <f>6319395097</f>
        <v>6.319395097E9</v>
      </c>
      <c r="X55" s="36" t="n">
        <f>21</f>
        <v>21.0</v>
      </c>
    </row>
    <row r="56">
      <c r="A56" s="27" t="s">
        <v>42</v>
      </c>
      <c r="B56" s="27" t="s">
        <v>200</v>
      </c>
      <c r="C56" s="27" t="s">
        <v>201</v>
      </c>
      <c r="D56" s="27" t="s">
        <v>202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31600</f>
        <v>31600.0</v>
      </c>
      <c r="L56" s="34" t="s">
        <v>203</v>
      </c>
      <c r="M56" s="33" t="n">
        <f>34410</f>
        <v>34410.0</v>
      </c>
      <c r="N56" s="34" t="s">
        <v>71</v>
      </c>
      <c r="O56" s="33" t="n">
        <f>31020</f>
        <v>31020.0</v>
      </c>
      <c r="P56" s="34" t="s">
        <v>60</v>
      </c>
      <c r="Q56" s="33" t="n">
        <f>33880</f>
        <v>33880.0</v>
      </c>
      <c r="R56" s="34" t="s">
        <v>50</v>
      </c>
      <c r="S56" s="35" t="n">
        <f>32570</f>
        <v>32570.0</v>
      </c>
      <c r="T56" s="32" t="n">
        <f>343</f>
        <v>343.0</v>
      </c>
      <c r="U56" s="32" t="str">
        <f>"－"</f>
        <v>－</v>
      </c>
      <c r="V56" s="32" t="n">
        <f>10732830</f>
        <v>1.073283E7</v>
      </c>
      <c r="W56" s="32" t="str">
        <f>"－"</f>
        <v>－</v>
      </c>
      <c r="X56" s="36" t="n">
        <f>6</f>
        <v>6.0</v>
      </c>
    </row>
    <row r="57">
      <c r="A57" s="27" t="s">
        <v>42</v>
      </c>
      <c r="B57" s="27" t="s">
        <v>204</v>
      </c>
      <c r="C57" s="27" t="s">
        <v>205</v>
      </c>
      <c r="D57" s="27" t="s">
        <v>206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27615</f>
        <v>27615.0</v>
      </c>
      <c r="L57" s="34" t="s">
        <v>82</v>
      </c>
      <c r="M57" s="33" t="n">
        <f>27615</f>
        <v>27615.0</v>
      </c>
      <c r="N57" s="34" t="s">
        <v>82</v>
      </c>
      <c r="O57" s="33" t="n">
        <f>23880</f>
        <v>23880.0</v>
      </c>
      <c r="P57" s="34" t="s">
        <v>60</v>
      </c>
      <c r="Q57" s="33" t="n">
        <f>26155</f>
        <v>26155.0</v>
      </c>
      <c r="R57" s="34" t="s">
        <v>50</v>
      </c>
      <c r="S57" s="35" t="n">
        <f>25453.33</f>
        <v>25453.33</v>
      </c>
      <c r="T57" s="32" t="n">
        <f>40</f>
        <v>40.0</v>
      </c>
      <c r="U57" s="32" t="str">
        <f>"－"</f>
        <v>－</v>
      </c>
      <c r="V57" s="32" t="n">
        <f>1012040</f>
        <v>1012040.0</v>
      </c>
      <c r="W57" s="32" t="str">
        <f>"－"</f>
        <v>－</v>
      </c>
      <c r="X57" s="36" t="n">
        <f>6</f>
        <v>6.0</v>
      </c>
    </row>
    <row r="58">
      <c r="A58" s="27" t="s">
        <v>42</v>
      </c>
      <c r="B58" s="27" t="s">
        <v>207</v>
      </c>
      <c r="C58" s="27" t="s">
        <v>208</v>
      </c>
      <c r="D58" s="27" t="s">
        <v>209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2786</f>
        <v>2786.0</v>
      </c>
      <c r="L58" s="34" t="s">
        <v>48</v>
      </c>
      <c r="M58" s="33" t="n">
        <f>2835</f>
        <v>2835.0</v>
      </c>
      <c r="N58" s="34" t="s">
        <v>71</v>
      </c>
      <c r="O58" s="33" t="n">
        <f>2500</f>
        <v>2500.0</v>
      </c>
      <c r="P58" s="34" t="s">
        <v>78</v>
      </c>
      <c r="Q58" s="33" t="n">
        <f>2831</f>
        <v>2831.0</v>
      </c>
      <c r="R58" s="34" t="s">
        <v>50</v>
      </c>
      <c r="S58" s="35" t="n">
        <f>2696.43</f>
        <v>2696.43</v>
      </c>
      <c r="T58" s="32" t="n">
        <f>1017</f>
        <v>1017.0</v>
      </c>
      <c r="U58" s="32" t="str">
        <f>"－"</f>
        <v>－</v>
      </c>
      <c r="V58" s="32" t="n">
        <f>2757133</f>
        <v>2757133.0</v>
      </c>
      <c r="W58" s="32" t="str">
        <f>"－"</f>
        <v>－</v>
      </c>
      <c r="X58" s="36" t="n">
        <f>21</f>
        <v>21.0</v>
      </c>
    </row>
    <row r="59">
      <c r="A59" s="27" t="s">
        <v>42</v>
      </c>
      <c r="B59" s="27" t="s">
        <v>210</v>
      </c>
      <c r="C59" s="27" t="s">
        <v>211</v>
      </c>
      <c r="D59" s="27" t="s">
        <v>212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1675</f>
        <v>1675.0</v>
      </c>
      <c r="L59" s="34" t="s">
        <v>48</v>
      </c>
      <c r="M59" s="33" t="n">
        <f>1713</f>
        <v>1713.0</v>
      </c>
      <c r="N59" s="34" t="s">
        <v>49</v>
      </c>
      <c r="O59" s="33" t="n">
        <f>1624</f>
        <v>1624.0</v>
      </c>
      <c r="P59" s="34" t="s">
        <v>160</v>
      </c>
      <c r="Q59" s="33" t="n">
        <f>1661</f>
        <v>1661.0</v>
      </c>
      <c r="R59" s="34" t="s">
        <v>50</v>
      </c>
      <c r="S59" s="35" t="n">
        <f>1655.29</f>
        <v>1655.29</v>
      </c>
      <c r="T59" s="32" t="n">
        <f>10690079</f>
        <v>1.0690079E7</v>
      </c>
      <c r="U59" s="32" t="n">
        <f>7814907</f>
        <v>7814907.0</v>
      </c>
      <c r="V59" s="32" t="n">
        <f>17828342422</f>
        <v>1.7828342422E10</v>
      </c>
      <c r="W59" s="32" t="n">
        <f>13042563473</f>
        <v>1.3042563473E10</v>
      </c>
      <c r="X59" s="36" t="n">
        <f>21</f>
        <v>21.0</v>
      </c>
    </row>
    <row r="60">
      <c r="A60" s="27" t="s">
        <v>42</v>
      </c>
      <c r="B60" s="27" t="s">
        <v>213</v>
      </c>
      <c r="C60" s="27" t="s">
        <v>214</v>
      </c>
      <c r="D60" s="27" t="s">
        <v>215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2771</f>
        <v>2771.0</v>
      </c>
      <c r="L60" s="34" t="s">
        <v>48</v>
      </c>
      <c r="M60" s="33" t="n">
        <f>2814</f>
        <v>2814.0</v>
      </c>
      <c r="N60" s="34" t="s">
        <v>50</v>
      </c>
      <c r="O60" s="33" t="n">
        <f>2467</f>
        <v>2467.0</v>
      </c>
      <c r="P60" s="34" t="s">
        <v>60</v>
      </c>
      <c r="Q60" s="33" t="n">
        <f>2795</f>
        <v>2795.0</v>
      </c>
      <c r="R60" s="34" t="s">
        <v>50</v>
      </c>
      <c r="S60" s="35" t="n">
        <f>2663</f>
        <v>2663.0</v>
      </c>
      <c r="T60" s="32" t="n">
        <f>510</f>
        <v>510.0</v>
      </c>
      <c r="U60" s="32" t="str">
        <f>"－"</f>
        <v>－</v>
      </c>
      <c r="V60" s="32" t="n">
        <f>1358108</f>
        <v>1358108.0</v>
      </c>
      <c r="W60" s="32" t="str">
        <f>"－"</f>
        <v>－</v>
      </c>
      <c r="X60" s="36" t="n">
        <f>21</f>
        <v>21.0</v>
      </c>
    </row>
    <row r="61">
      <c r="A61" s="27" t="s">
        <v>42</v>
      </c>
      <c r="B61" s="27" t="s">
        <v>216</v>
      </c>
      <c r="C61" s="27" t="s">
        <v>217</v>
      </c>
      <c r="D61" s="27" t="s">
        <v>218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10.0</v>
      </c>
      <c r="K61" s="33" t="n">
        <f>2747.5</f>
        <v>2747.5</v>
      </c>
      <c r="L61" s="34" t="s">
        <v>48</v>
      </c>
      <c r="M61" s="33" t="n">
        <f>2882.5</f>
        <v>2882.5</v>
      </c>
      <c r="N61" s="34" t="s">
        <v>219</v>
      </c>
      <c r="O61" s="33" t="n">
        <f>2457.5</f>
        <v>2457.5</v>
      </c>
      <c r="P61" s="34" t="s">
        <v>49</v>
      </c>
      <c r="Q61" s="33" t="n">
        <f>2800.5</f>
        <v>2800.5</v>
      </c>
      <c r="R61" s="34" t="s">
        <v>50</v>
      </c>
      <c r="S61" s="35" t="n">
        <f>2660.86</f>
        <v>2660.86</v>
      </c>
      <c r="T61" s="32" t="n">
        <f>9210</f>
        <v>9210.0</v>
      </c>
      <c r="U61" s="32" t="str">
        <f>"－"</f>
        <v>－</v>
      </c>
      <c r="V61" s="32" t="n">
        <f>24143465</f>
        <v>2.4143465E7</v>
      </c>
      <c r="W61" s="32" t="str">
        <f>"－"</f>
        <v>－</v>
      </c>
      <c r="X61" s="36" t="n">
        <f>21</f>
        <v>21.0</v>
      </c>
    </row>
    <row r="62">
      <c r="A62" s="27" t="s">
        <v>42</v>
      </c>
      <c r="B62" s="27" t="s">
        <v>220</v>
      </c>
      <c r="C62" s="27" t="s">
        <v>221</v>
      </c>
      <c r="D62" s="27" t="s">
        <v>222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36380</f>
        <v>36380.0</v>
      </c>
      <c r="L62" s="34" t="s">
        <v>223</v>
      </c>
      <c r="M62" s="33" t="n">
        <f>37620</f>
        <v>37620.0</v>
      </c>
      <c r="N62" s="34" t="s">
        <v>224</v>
      </c>
      <c r="O62" s="33" t="n">
        <f>36380</f>
        <v>36380.0</v>
      </c>
      <c r="P62" s="34" t="s">
        <v>223</v>
      </c>
      <c r="Q62" s="33" t="n">
        <f>37620</f>
        <v>37620.0</v>
      </c>
      <c r="R62" s="34" t="s">
        <v>224</v>
      </c>
      <c r="S62" s="35" t="n">
        <f>37080</f>
        <v>37080.0</v>
      </c>
      <c r="T62" s="32" t="n">
        <f>42</f>
        <v>42.0</v>
      </c>
      <c r="U62" s="32" t="str">
        <f>"－"</f>
        <v>－</v>
      </c>
      <c r="V62" s="32" t="n">
        <f>1545450</f>
        <v>1545450.0</v>
      </c>
      <c r="W62" s="32" t="str">
        <f>"－"</f>
        <v>－</v>
      </c>
      <c r="X62" s="36" t="n">
        <f>4</f>
        <v>4.0</v>
      </c>
    </row>
    <row r="63">
      <c r="A63" s="27" t="s">
        <v>42</v>
      </c>
      <c r="B63" s="27" t="s">
        <v>225</v>
      </c>
      <c r="C63" s="27" t="s">
        <v>226</v>
      </c>
      <c r="D63" s="27" t="s">
        <v>227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23500</f>
        <v>23500.0</v>
      </c>
      <c r="L63" s="34" t="s">
        <v>48</v>
      </c>
      <c r="M63" s="33" t="n">
        <f>23500</f>
        <v>23500.0</v>
      </c>
      <c r="N63" s="34" t="s">
        <v>48</v>
      </c>
      <c r="O63" s="33" t="n">
        <f>21590</f>
        <v>21590.0</v>
      </c>
      <c r="P63" s="34" t="s">
        <v>86</v>
      </c>
      <c r="Q63" s="33" t="n">
        <f>22440</f>
        <v>22440.0</v>
      </c>
      <c r="R63" s="34" t="s">
        <v>50</v>
      </c>
      <c r="S63" s="35" t="n">
        <f>22516.9</f>
        <v>22516.9</v>
      </c>
      <c r="T63" s="32" t="n">
        <f>577680</f>
        <v>577680.0</v>
      </c>
      <c r="U63" s="32" t="n">
        <f>518500</f>
        <v>518500.0</v>
      </c>
      <c r="V63" s="32" t="n">
        <f>13443146895</f>
        <v>1.3443146895E10</v>
      </c>
      <c r="W63" s="32" t="n">
        <f>12124812725</f>
        <v>1.2124812725E10</v>
      </c>
      <c r="X63" s="36" t="n">
        <f>21</f>
        <v>21.0</v>
      </c>
    </row>
    <row r="64">
      <c r="A64" s="27" t="s">
        <v>42</v>
      </c>
      <c r="B64" s="27" t="s">
        <v>228</v>
      </c>
      <c r="C64" s="27" t="s">
        <v>229</v>
      </c>
      <c r="D64" s="27" t="s">
        <v>230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12810</f>
        <v>12810.0</v>
      </c>
      <c r="L64" s="34" t="s">
        <v>48</v>
      </c>
      <c r="M64" s="33" t="n">
        <f>13195</f>
        <v>13195.0</v>
      </c>
      <c r="N64" s="34" t="s">
        <v>49</v>
      </c>
      <c r="O64" s="33" t="n">
        <f>12545</f>
        <v>12545.0</v>
      </c>
      <c r="P64" s="34" t="s">
        <v>160</v>
      </c>
      <c r="Q64" s="33" t="n">
        <f>12880</f>
        <v>12880.0</v>
      </c>
      <c r="R64" s="34" t="s">
        <v>50</v>
      </c>
      <c r="S64" s="35" t="n">
        <f>12802.14</f>
        <v>12802.14</v>
      </c>
      <c r="T64" s="32" t="n">
        <f>67315</f>
        <v>67315.0</v>
      </c>
      <c r="U64" s="32" t="n">
        <f>19800</f>
        <v>19800.0</v>
      </c>
      <c r="V64" s="32" t="n">
        <f>863809221</f>
        <v>8.63809221E8</v>
      </c>
      <c r="W64" s="32" t="n">
        <f>254592276</f>
        <v>2.54592276E8</v>
      </c>
      <c r="X64" s="36" t="n">
        <f>21</f>
        <v>21.0</v>
      </c>
    </row>
    <row r="65">
      <c r="A65" s="27" t="s">
        <v>42</v>
      </c>
      <c r="B65" s="27" t="s">
        <v>231</v>
      </c>
      <c r="C65" s="27" t="s">
        <v>232</v>
      </c>
      <c r="D65" s="27" t="s">
        <v>233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1761</f>
        <v>1761.0</v>
      </c>
      <c r="L65" s="34" t="s">
        <v>48</v>
      </c>
      <c r="M65" s="33" t="n">
        <f>1789</f>
        <v>1789.0</v>
      </c>
      <c r="N65" s="34" t="s">
        <v>105</v>
      </c>
      <c r="O65" s="33" t="n">
        <f>1668</f>
        <v>1668.0</v>
      </c>
      <c r="P65" s="34" t="s">
        <v>49</v>
      </c>
      <c r="Q65" s="33" t="n">
        <f>1769</f>
        <v>1769.0</v>
      </c>
      <c r="R65" s="34" t="s">
        <v>50</v>
      </c>
      <c r="S65" s="35" t="n">
        <f>1752.52</f>
        <v>1752.52</v>
      </c>
      <c r="T65" s="32" t="n">
        <f>3492307</f>
        <v>3492307.0</v>
      </c>
      <c r="U65" s="32" t="n">
        <f>1287612</f>
        <v>1287612.0</v>
      </c>
      <c r="V65" s="32" t="n">
        <f>6070022740</f>
        <v>6.07002274E9</v>
      </c>
      <c r="W65" s="32" t="n">
        <f>2226639186</f>
        <v>2.226639186E9</v>
      </c>
      <c r="X65" s="36" t="n">
        <f>21</f>
        <v>21.0</v>
      </c>
    </row>
    <row r="66">
      <c r="A66" s="27" t="s">
        <v>42</v>
      </c>
      <c r="B66" s="27" t="s">
        <v>234</v>
      </c>
      <c r="C66" s="27" t="s">
        <v>235</v>
      </c>
      <c r="D66" s="27" t="s">
        <v>236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2369</f>
        <v>2369.0</v>
      </c>
      <c r="L66" s="34" t="s">
        <v>48</v>
      </c>
      <c r="M66" s="33" t="n">
        <f>2371</f>
        <v>2371.0</v>
      </c>
      <c r="N66" s="34" t="s">
        <v>48</v>
      </c>
      <c r="O66" s="33" t="n">
        <f>1873</f>
        <v>1873.0</v>
      </c>
      <c r="P66" s="34" t="s">
        <v>49</v>
      </c>
      <c r="Q66" s="33" t="n">
        <f>2201</f>
        <v>2201.0</v>
      </c>
      <c r="R66" s="34" t="s">
        <v>50</v>
      </c>
      <c r="S66" s="35" t="n">
        <f>2139.33</f>
        <v>2139.33</v>
      </c>
      <c r="T66" s="32" t="n">
        <f>24316723</f>
        <v>2.4316723E7</v>
      </c>
      <c r="U66" s="32" t="n">
        <f>3457610</f>
        <v>3457610.0</v>
      </c>
      <c r="V66" s="32" t="n">
        <f>50789682807</f>
        <v>5.0789682807E10</v>
      </c>
      <c r="W66" s="32" t="n">
        <f>7105538785</f>
        <v>7.105538785E9</v>
      </c>
      <c r="X66" s="36" t="n">
        <f>21</f>
        <v>21.0</v>
      </c>
    </row>
    <row r="67">
      <c r="A67" s="27" t="s">
        <v>42</v>
      </c>
      <c r="B67" s="27" t="s">
        <v>237</v>
      </c>
      <c r="C67" s="27" t="s">
        <v>238</v>
      </c>
      <c r="D67" s="27" t="s">
        <v>239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6676</f>
        <v>6676.0</v>
      </c>
      <c r="L67" s="34" t="s">
        <v>78</v>
      </c>
      <c r="M67" s="33" t="n">
        <f>7749</f>
        <v>7749.0</v>
      </c>
      <c r="N67" s="34" t="s">
        <v>160</v>
      </c>
      <c r="O67" s="33" t="n">
        <f>6676</f>
        <v>6676.0</v>
      </c>
      <c r="P67" s="34" t="s">
        <v>78</v>
      </c>
      <c r="Q67" s="33" t="n">
        <f>7455</f>
        <v>7455.0</v>
      </c>
      <c r="R67" s="34" t="s">
        <v>240</v>
      </c>
      <c r="S67" s="35" t="n">
        <f>7554.33</f>
        <v>7554.33</v>
      </c>
      <c r="T67" s="32" t="n">
        <f>62</f>
        <v>62.0</v>
      </c>
      <c r="U67" s="32" t="str">
        <f>"－"</f>
        <v>－</v>
      </c>
      <c r="V67" s="32" t="n">
        <f>468166</f>
        <v>468166.0</v>
      </c>
      <c r="W67" s="32" t="str">
        <f>"－"</f>
        <v>－</v>
      </c>
      <c r="X67" s="36" t="n">
        <f>3</f>
        <v>3.0</v>
      </c>
    </row>
    <row r="68">
      <c r="A68" s="27" t="s">
        <v>42</v>
      </c>
      <c r="B68" s="27" t="s">
        <v>241</v>
      </c>
      <c r="C68" s="27" t="s">
        <v>242</v>
      </c>
      <c r="D68" s="27" t="s">
        <v>243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19180</f>
        <v>19180.0</v>
      </c>
      <c r="L68" s="34" t="s">
        <v>48</v>
      </c>
      <c r="M68" s="33" t="n">
        <f>19540</f>
        <v>19540.0</v>
      </c>
      <c r="N68" s="34" t="s">
        <v>67</v>
      </c>
      <c r="O68" s="33" t="n">
        <f>16200</f>
        <v>16200.0</v>
      </c>
      <c r="P68" s="34" t="s">
        <v>49</v>
      </c>
      <c r="Q68" s="33" t="n">
        <f>19110</f>
        <v>19110.0</v>
      </c>
      <c r="R68" s="34" t="s">
        <v>50</v>
      </c>
      <c r="S68" s="35" t="n">
        <f>18214.52</f>
        <v>18214.52</v>
      </c>
      <c r="T68" s="32" t="n">
        <f>8971</f>
        <v>8971.0</v>
      </c>
      <c r="U68" s="32" t="n">
        <f>50</f>
        <v>50.0</v>
      </c>
      <c r="V68" s="32" t="n">
        <f>161560340</f>
        <v>1.6156034E8</v>
      </c>
      <c r="W68" s="32" t="n">
        <f>911200</f>
        <v>911200.0</v>
      </c>
      <c r="X68" s="36" t="n">
        <f>21</f>
        <v>21.0</v>
      </c>
    </row>
    <row r="69">
      <c r="A69" s="27" t="s">
        <v>42</v>
      </c>
      <c r="B69" s="27" t="s">
        <v>244</v>
      </c>
      <c r="C69" s="27" t="s">
        <v>245</v>
      </c>
      <c r="D69" s="27" t="s">
        <v>246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31930</f>
        <v>31930.0</v>
      </c>
      <c r="L69" s="34" t="s">
        <v>48</v>
      </c>
      <c r="M69" s="33" t="n">
        <f>32360</f>
        <v>32360.0</v>
      </c>
      <c r="N69" s="34" t="s">
        <v>48</v>
      </c>
      <c r="O69" s="33" t="n">
        <f>27945</f>
        <v>27945.0</v>
      </c>
      <c r="P69" s="34" t="s">
        <v>78</v>
      </c>
      <c r="Q69" s="33" t="n">
        <f>30850</f>
        <v>30850.0</v>
      </c>
      <c r="R69" s="34" t="s">
        <v>50</v>
      </c>
      <c r="S69" s="35" t="n">
        <f>30251.43</f>
        <v>30251.43</v>
      </c>
      <c r="T69" s="32" t="n">
        <f>194861</f>
        <v>194861.0</v>
      </c>
      <c r="U69" s="32" t="n">
        <f>120749</f>
        <v>120749.0</v>
      </c>
      <c r="V69" s="32" t="n">
        <f>5891419396</f>
        <v>5.891419396E9</v>
      </c>
      <c r="W69" s="32" t="n">
        <f>3667870166</f>
        <v>3.667870166E9</v>
      </c>
      <c r="X69" s="36" t="n">
        <f>21</f>
        <v>21.0</v>
      </c>
    </row>
    <row r="70">
      <c r="A70" s="27" t="s">
        <v>42</v>
      </c>
      <c r="B70" s="27" t="s">
        <v>247</v>
      </c>
      <c r="C70" s="27" t="s">
        <v>248</v>
      </c>
      <c r="D70" s="27" t="s">
        <v>249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10060</f>
        <v>10060.0</v>
      </c>
      <c r="L70" s="34" t="s">
        <v>48</v>
      </c>
      <c r="M70" s="33" t="n">
        <f>10200</f>
        <v>10200.0</v>
      </c>
      <c r="N70" s="34" t="s">
        <v>95</v>
      </c>
      <c r="O70" s="33" t="n">
        <f>9250</f>
        <v>9250.0</v>
      </c>
      <c r="P70" s="34" t="s">
        <v>78</v>
      </c>
      <c r="Q70" s="33" t="n">
        <f>9660</f>
        <v>9660.0</v>
      </c>
      <c r="R70" s="34" t="s">
        <v>50</v>
      </c>
      <c r="S70" s="35" t="n">
        <f>9649.67</f>
        <v>9649.67</v>
      </c>
      <c r="T70" s="32" t="n">
        <f>20683</f>
        <v>20683.0</v>
      </c>
      <c r="U70" s="32" t="str">
        <f>"－"</f>
        <v>－</v>
      </c>
      <c r="V70" s="32" t="n">
        <f>198091499</f>
        <v>1.98091499E8</v>
      </c>
      <c r="W70" s="32" t="str">
        <f>"－"</f>
        <v>－</v>
      </c>
      <c r="X70" s="36" t="n">
        <f>21</f>
        <v>21.0</v>
      </c>
    </row>
    <row r="71">
      <c r="A71" s="27" t="s">
        <v>42</v>
      </c>
      <c r="B71" s="27" t="s">
        <v>250</v>
      </c>
      <c r="C71" s="27" t="s">
        <v>251</v>
      </c>
      <c r="D71" s="27" t="s">
        <v>252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1770</f>
        <v>1770.0</v>
      </c>
      <c r="L71" s="34" t="s">
        <v>48</v>
      </c>
      <c r="M71" s="33" t="n">
        <f>1794</f>
        <v>1794.0</v>
      </c>
      <c r="N71" s="34" t="s">
        <v>203</v>
      </c>
      <c r="O71" s="33" t="n">
        <f>1682</f>
        <v>1682.0</v>
      </c>
      <c r="P71" s="34" t="s">
        <v>78</v>
      </c>
      <c r="Q71" s="33" t="n">
        <f>1739</f>
        <v>1739.0</v>
      </c>
      <c r="R71" s="34" t="s">
        <v>50</v>
      </c>
      <c r="S71" s="35" t="n">
        <f>1729.33</f>
        <v>1729.33</v>
      </c>
      <c r="T71" s="32" t="n">
        <f>817059</f>
        <v>817059.0</v>
      </c>
      <c r="U71" s="32" t="n">
        <f>233000</f>
        <v>233000.0</v>
      </c>
      <c r="V71" s="32" t="n">
        <f>1413494875</f>
        <v>1.413494875E9</v>
      </c>
      <c r="W71" s="32" t="n">
        <f>397428100</f>
        <v>3.974281E8</v>
      </c>
      <c r="X71" s="36" t="n">
        <f>21</f>
        <v>21.0</v>
      </c>
    </row>
    <row r="72">
      <c r="A72" s="27" t="s">
        <v>42</v>
      </c>
      <c r="B72" s="27" t="s">
        <v>253</v>
      </c>
      <c r="C72" s="27" t="s">
        <v>254</v>
      </c>
      <c r="D72" s="27" t="s">
        <v>255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1828</f>
        <v>1828.0</v>
      </c>
      <c r="L72" s="34" t="s">
        <v>48</v>
      </c>
      <c r="M72" s="33" t="n">
        <f>1828</f>
        <v>1828.0</v>
      </c>
      <c r="N72" s="34" t="s">
        <v>48</v>
      </c>
      <c r="O72" s="33" t="n">
        <f>1732</f>
        <v>1732.0</v>
      </c>
      <c r="P72" s="34" t="s">
        <v>78</v>
      </c>
      <c r="Q72" s="33" t="n">
        <f>1797</f>
        <v>1797.0</v>
      </c>
      <c r="R72" s="34" t="s">
        <v>50</v>
      </c>
      <c r="S72" s="35" t="n">
        <f>1779.57</f>
        <v>1779.57</v>
      </c>
      <c r="T72" s="32" t="n">
        <f>875077</f>
        <v>875077.0</v>
      </c>
      <c r="U72" s="32" t="str">
        <f>"－"</f>
        <v>－</v>
      </c>
      <c r="V72" s="32" t="n">
        <f>1545836100</f>
        <v>1.5458361E9</v>
      </c>
      <c r="W72" s="32" t="str">
        <f>"－"</f>
        <v>－</v>
      </c>
      <c r="X72" s="36" t="n">
        <f>21</f>
        <v>21.0</v>
      </c>
    </row>
    <row r="73">
      <c r="A73" s="27" t="s">
        <v>42</v>
      </c>
      <c r="B73" s="27" t="s">
        <v>256</v>
      </c>
      <c r="C73" s="27" t="s">
        <v>257</v>
      </c>
      <c r="D73" s="27" t="s">
        <v>258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21255</f>
        <v>21255.0</v>
      </c>
      <c r="L73" s="34" t="s">
        <v>48</v>
      </c>
      <c r="M73" s="33" t="n">
        <f>21255</f>
        <v>21255.0</v>
      </c>
      <c r="N73" s="34" t="s">
        <v>48</v>
      </c>
      <c r="O73" s="33" t="n">
        <f>18195</f>
        <v>18195.0</v>
      </c>
      <c r="P73" s="34" t="s">
        <v>49</v>
      </c>
      <c r="Q73" s="33" t="n">
        <f>21220</f>
        <v>21220.0</v>
      </c>
      <c r="R73" s="34" t="s">
        <v>50</v>
      </c>
      <c r="S73" s="35" t="n">
        <f>20128.57</f>
        <v>20128.57</v>
      </c>
      <c r="T73" s="32" t="n">
        <f>4864</f>
        <v>4864.0</v>
      </c>
      <c r="U73" s="32" t="n">
        <f>1</f>
        <v>1.0</v>
      </c>
      <c r="V73" s="32" t="n">
        <f>96108995</f>
        <v>9.6108995E7</v>
      </c>
      <c r="W73" s="32" t="n">
        <f>18905</f>
        <v>18905.0</v>
      </c>
      <c r="X73" s="36" t="n">
        <f>21</f>
        <v>21.0</v>
      </c>
    </row>
    <row r="74">
      <c r="A74" s="27" t="s">
        <v>42</v>
      </c>
      <c r="B74" s="27" t="s">
        <v>259</v>
      </c>
      <c r="C74" s="27" t="s">
        <v>260</v>
      </c>
      <c r="D74" s="27" t="s">
        <v>261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9439</f>
        <v>9439.0</v>
      </c>
      <c r="L74" s="34" t="s">
        <v>48</v>
      </c>
      <c r="M74" s="33" t="n">
        <f>9544</f>
        <v>9544.0</v>
      </c>
      <c r="N74" s="34" t="s">
        <v>60</v>
      </c>
      <c r="O74" s="33" t="n">
        <f>9270</f>
        <v>9270.0</v>
      </c>
      <c r="P74" s="34" t="s">
        <v>50</v>
      </c>
      <c r="Q74" s="33" t="n">
        <f>9271</f>
        <v>9271.0</v>
      </c>
      <c r="R74" s="34" t="s">
        <v>50</v>
      </c>
      <c r="S74" s="35" t="n">
        <f>9344.43</f>
        <v>9344.43</v>
      </c>
      <c r="T74" s="32" t="n">
        <f>3765</f>
        <v>3765.0</v>
      </c>
      <c r="U74" s="32" t="n">
        <f>472</f>
        <v>472.0</v>
      </c>
      <c r="V74" s="32" t="n">
        <f>35433744</f>
        <v>3.5433744E7</v>
      </c>
      <c r="W74" s="32" t="n">
        <f>4386151</f>
        <v>4386151.0</v>
      </c>
      <c r="X74" s="36" t="n">
        <f>21</f>
        <v>21.0</v>
      </c>
    </row>
    <row r="75">
      <c r="A75" s="27" t="s">
        <v>42</v>
      </c>
      <c r="B75" s="27" t="s">
        <v>262</v>
      </c>
      <c r="C75" s="27" t="s">
        <v>263</v>
      </c>
      <c r="D75" s="27" t="s">
        <v>264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14345</f>
        <v>14345.0</v>
      </c>
      <c r="L75" s="34" t="s">
        <v>48</v>
      </c>
      <c r="M75" s="33" t="n">
        <f>14905</f>
        <v>14905.0</v>
      </c>
      <c r="N75" s="34" t="s">
        <v>86</v>
      </c>
      <c r="O75" s="33" t="n">
        <f>13030</f>
        <v>13030.0</v>
      </c>
      <c r="P75" s="34" t="s">
        <v>49</v>
      </c>
      <c r="Q75" s="33" t="n">
        <f>14240</f>
        <v>14240.0</v>
      </c>
      <c r="R75" s="34" t="s">
        <v>50</v>
      </c>
      <c r="S75" s="35" t="n">
        <f>14107.86</f>
        <v>14107.86</v>
      </c>
      <c r="T75" s="32" t="n">
        <f>14540347</f>
        <v>1.4540347E7</v>
      </c>
      <c r="U75" s="32" t="n">
        <f>578304</f>
        <v>578304.0</v>
      </c>
      <c r="V75" s="32" t="n">
        <f>205456812301</f>
        <v>2.05456812301E11</v>
      </c>
      <c r="W75" s="32" t="n">
        <f>7889611706</f>
        <v>7.889611706E9</v>
      </c>
      <c r="X75" s="36" t="n">
        <f>21</f>
        <v>21.0</v>
      </c>
    </row>
    <row r="76">
      <c r="A76" s="27" t="s">
        <v>42</v>
      </c>
      <c r="B76" s="27" t="s">
        <v>265</v>
      </c>
      <c r="C76" s="27" t="s">
        <v>266</v>
      </c>
      <c r="D76" s="27" t="s">
        <v>267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4455</f>
        <v>4455.0</v>
      </c>
      <c r="L76" s="34" t="s">
        <v>48</v>
      </c>
      <c r="M76" s="33" t="n">
        <f>4455</f>
        <v>4455.0</v>
      </c>
      <c r="N76" s="34" t="s">
        <v>48</v>
      </c>
      <c r="O76" s="33" t="n">
        <f>3840</f>
        <v>3840.0</v>
      </c>
      <c r="P76" s="34" t="s">
        <v>49</v>
      </c>
      <c r="Q76" s="33" t="n">
        <f>4125</f>
        <v>4125.0</v>
      </c>
      <c r="R76" s="34" t="s">
        <v>50</v>
      </c>
      <c r="S76" s="35" t="n">
        <f>4110.71</f>
        <v>4110.71</v>
      </c>
      <c r="T76" s="32" t="n">
        <f>431806</f>
        <v>431806.0</v>
      </c>
      <c r="U76" s="32" t="n">
        <f>76</f>
        <v>76.0</v>
      </c>
      <c r="V76" s="32" t="n">
        <f>1769191590</f>
        <v>1.76919159E9</v>
      </c>
      <c r="W76" s="32" t="n">
        <f>334065</f>
        <v>334065.0</v>
      </c>
      <c r="X76" s="36" t="n">
        <f>21</f>
        <v>21.0</v>
      </c>
    </row>
    <row r="77">
      <c r="A77" s="27" t="s">
        <v>42</v>
      </c>
      <c r="B77" s="27" t="s">
        <v>268</v>
      </c>
      <c r="C77" s="27" t="s">
        <v>269</v>
      </c>
      <c r="D77" s="27" t="s">
        <v>270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15330</f>
        <v>15330.0</v>
      </c>
      <c r="L77" s="34" t="s">
        <v>48</v>
      </c>
      <c r="M77" s="33" t="n">
        <f>15480</f>
        <v>15480.0</v>
      </c>
      <c r="N77" s="34" t="s">
        <v>48</v>
      </c>
      <c r="O77" s="33" t="n">
        <f>11875</f>
        <v>11875.0</v>
      </c>
      <c r="P77" s="34" t="s">
        <v>49</v>
      </c>
      <c r="Q77" s="33" t="n">
        <f>13910</f>
        <v>13910.0</v>
      </c>
      <c r="R77" s="34" t="s">
        <v>50</v>
      </c>
      <c r="S77" s="35" t="n">
        <f>13815.24</f>
        <v>13815.24</v>
      </c>
      <c r="T77" s="32" t="n">
        <f>673597</f>
        <v>673597.0</v>
      </c>
      <c r="U77" s="32" t="n">
        <f>9555</f>
        <v>9555.0</v>
      </c>
      <c r="V77" s="32" t="n">
        <f>9244255684</f>
        <v>9.244255684E9</v>
      </c>
      <c r="W77" s="32" t="n">
        <f>132083369</f>
        <v>1.32083369E8</v>
      </c>
      <c r="X77" s="36" t="n">
        <f>21</f>
        <v>21.0</v>
      </c>
    </row>
    <row r="78">
      <c r="A78" s="27" t="s">
        <v>42</v>
      </c>
      <c r="B78" s="27" t="s">
        <v>271</v>
      </c>
      <c r="C78" s="27" t="s">
        <v>272</v>
      </c>
      <c r="D78" s="27" t="s">
        <v>273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43760</f>
        <v>43760.0</v>
      </c>
      <c r="L78" s="34" t="s">
        <v>48</v>
      </c>
      <c r="M78" s="33" t="n">
        <f>43760</f>
        <v>43760.0</v>
      </c>
      <c r="N78" s="34" t="s">
        <v>48</v>
      </c>
      <c r="O78" s="33" t="n">
        <f>37900</f>
        <v>37900.0</v>
      </c>
      <c r="P78" s="34" t="s">
        <v>49</v>
      </c>
      <c r="Q78" s="33" t="n">
        <f>39190</f>
        <v>39190.0</v>
      </c>
      <c r="R78" s="34" t="s">
        <v>50</v>
      </c>
      <c r="S78" s="35" t="n">
        <f>40372.86</f>
        <v>40372.86</v>
      </c>
      <c r="T78" s="32" t="n">
        <f>19189</f>
        <v>19189.0</v>
      </c>
      <c r="U78" s="32" t="n">
        <f>92</f>
        <v>92.0</v>
      </c>
      <c r="V78" s="32" t="n">
        <f>775433855</f>
        <v>7.75433855E8</v>
      </c>
      <c r="W78" s="32" t="n">
        <f>3604855</f>
        <v>3604855.0</v>
      </c>
      <c r="X78" s="36" t="n">
        <f>21</f>
        <v>21.0</v>
      </c>
    </row>
    <row r="79">
      <c r="A79" s="27" t="s">
        <v>42</v>
      </c>
      <c r="B79" s="27" t="s">
        <v>274</v>
      </c>
      <c r="C79" s="27" t="s">
        <v>275</v>
      </c>
      <c r="D79" s="27" t="s">
        <v>276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29125</f>
        <v>29125.0</v>
      </c>
      <c r="L79" s="34" t="s">
        <v>48</v>
      </c>
      <c r="M79" s="33" t="n">
        <f>29530</f>
        <v>29530.0</v>
      </c>
      <c r="N79" s="34" t="s">
        <v>82</v>
      </c>
      <c r="O79" s="33" t="n">
        <f>24290</f>
        <v>24290.0</v>
      </c>
      <c r="P79" s="34" t="s">
        <v>49</v>
      </c>
      <c r="Q79" s="33" t="n">
        <f>28085</f>
        <v>28085.0</v>
      </c>
      <c r="R79" s="34" t="s">
        <v>50</v>
      </c>
      <c r="S79" s="35" t="n">
        <f>27063.33</f>
        <v>27063.33</v>
      </c>
      <c r="T79" s="32" t="n">
        <f>1565287</f>
        <v>1565287.0</v>
      </c>
      <c r="U79" s="32" t="n">
        <f>13781</f>
        <v>13781.0</v>
      </c>
      <c r="V79" s="32" t="n">
        <f>41777841295</f>
        <v>4.1777841295E10</v>
      </c>
      <c r="W79" s="32" t="n">
        <f>375067885</f>
        <v>3.75067885E8</v>
      </c>
      <c r="X79" s="36" t="n">
        <f>21</f>
        <v>21.0</v>
      </c>
    </row>
    <row r="80">
      <c r="A80" s="27" t="s">
        <v>42</v>
      </c>
      <c r="B80" s="27" t="s">
        <v>277</v>
      </c>
      <c r="C80" s="27" t="s">
        <v>278</v>
      </c>
      <c r="D80" s="27" t="s">
        <v>279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61340</f>
        <v>61340.0</v>
      </c>
      <c r="L80" s="34" t="s">
        <v>48</v>
      </c>
      <c r="M80" s="33" t="n">
        <f>61560</f>
        <v>61560.0</v>
      </c>
      <c r="N80" s="34" t="s">
        <v>82</v>
      </c>
      <c r="O80" s="33" t="n">
        <f>52050</f>
        <v>52050.0</v>
      </c>
      <c r="P80" s="34" t="s">
        <v>78</v>
      </c>
      <c r="Q80" s="33" t="n">
        <f>56410</f>
        <v>56410.0</v>
      </c>
      <c r="R80" s="34" t="s">
        <v>50</v>
      </c>
      <c r="S80" s="35" t="n">
        <f>56217.62</f>
        <v>56217.62</v>
      </c>
      <c r="T80" s="32" t="n">
        <f>68752</f>
        <v>68752.0</v>
      </c>
      <c r="U80" s="32" t="n">
        <f>5000</f>
        <v>5000.0</v>
      </c>
      <c r="V80" s="32" t="n">
        <f>3836062540</f>
        <v>3.83606254E9</v>
      </c>
      <c r="W80" s="32" t="n">
        <f>307085500</f>
        <v>3.070855E8</v>
      </c>
      <c r="X80" s="36" t="n">
        <f>21</f>
        <v>21.0</v>
      </c>
    </row>
    <row r="81">
      <c r="A81" s="27" t="s">
        <v>42</v>
      </c>
      <c r="B81" s="27" t="s">
        <v>280</v>
      </c>
      <c r="C81" s="27" t="s">
        <v>281</v>
      </c>
      <c r="D81" s="27" t="s">
        <v>282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9092</f>
        <v>9092.0</v>
      </c>
      <c r="L81" s="34" t="s">
        <v>48</v>
      </c>
      <c r="M81" s="33" t="n">
        <f>9169</f>
        <v>9169.0</v>
      </c>
      <c r="N81" s="34" t="s">
        <v>82</v>
      </c>
      <c r="O81" s="33" t="n">
        <f>7619</f>
        <v>7619.0</v>
      </c>
      <c r="P81" s="34" t="s">
        <v>78</v>
      </c>
      <c r="Q81" s="33" t="n">
        <f>8579</f>
        <v>8579.0</v>
      </c>
      <c r="R81" s="34" t="s">
        <v>50</v>
      </c>
      <c r="S81" s="35" t="n">
        <f>8379.52</f>
        <v>8379.52</v>
      </c>
      <c r="T81" s="32" t="n">
        <f>1300967</f>
        <v>1300967.0</v>
      </c>
      <c r="U81" s="32" t="n">
        <f>52160</f>
        <v>52160.0</v>
      </c>
      <c r="V81" s="32" t="n">
        <f>10777158267</f>
        <v>1.0777158267E10</v>
      </c>
      <c r="W81" s="32" t="n">
        <f>433637490</f>
        <v>4.3363749E8</v>
      </c>
      <c r="X81" s="36" t="n">
        <f>21</f>
        <v>21.0</v>
      </c>
    </row>
    <row r="82">
      <c r="A82" s="27" t="s">
        <v>42</v>
      </c>
      <c r="B82" s="27" t="s">
        <v>283</v>
      </c>
      <c r="C82" s="27" t="s">
        <v>284</v>
      </c>
      <c r="D82" s="27" t="s">
        <v>285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5662</f>
        <v>5662.0</v>
      </c>
      <c r="L82" s="34" t="s">
        <v>48</v>
      </c>
      <c r="M82" s="33" t="n">
        <f>5723</f>
        <v>5723.0</v>
      </c>
      <c r="N82" s="34" t="s">
        <v>82</v>
      </c>
      <c r="O82" s="33" t="n">
        <f>4790</f>
        <v>4790.0</v>
      </c>
      <c r="P82" s="34" t="s">
        <v>78</v>
      </c>
      <c r="Q82" s="33" t="n">
        <f>5408</f>
        <v>5408.0</v>
      </c>
      <c r="R82" s="34" t="s">
        <v>50</v>
      </c>
      <c r="S82" s="35" t="n">
        <f>5261.81</f>
        <v>5261.81</v>
      </c>
      <c r="T82" s="32" t="n">
        <f>241490</f>
        <v>241490.0</v>
      </c>
      <c r="U82" s="32" t="n">
        <f>56640</f>
        <v>56640.0</v>
      </c>
      <c r="V82" s="32" t="n">
        <f>1249092588</f>
        <v>1.249092588E9</v>
      </c>
      <c r="W82" s="32" t="n">
        <f>298585218</f>
        <v>2.98585218E8</v>
      </c>
      <c r="X82" s="36" t="n">
        <f>21</f>
        <v>21.0</v>
      </c>
    </row>
    <row r="83">
      <c r="A83" s="27" t="s">
        <v>42</v>
      </c>
      <c r="B83" s="27" t="s">
        <v>286</v>
      </c>
      <c r="C83" s="27" t="s">
        <v>287</v>
      </c>
      <c r="D83" s="27" t="s">
        <v>288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5302</f>
        <v>5302.0</v>
      </c>
      <c r="L83" s="34" t="s">
        <v>82</v>
      </c>
      <c r="M83" s="33" t="n">
        <f>5400</f>
        <v>5400.0</v>
      </c>
      <c r="N83" s="34" t="s">
        <v>289</v>
      </c>
      <c r="O83" s="33" t="n">
        <f>4360</f>
        <v>4360.0</v>
      </c>
      <c r="P83" s="34" t="s">
        <v>49</v>
      </c>
      <c r="Q83" s="33" t="n">
        <f>5388</f>
        <v>5388.0</v>
      </c>
      <c r="R83" s="34" t="s">
        <v>50</v>
      </c>
      <c r="S83" s="35" t="n">
        <f>5151.05</f>
        <v>5151.05</v>
      </c>
      <c r="T83" s="32" t="n">
        <f>6160</f>
        <v>6160.0</v>
      </c>
      <c r="U83" s="32" t="n">
        <f>10</f>
        <v>10.0</v>
      </c>
      <c r="V83" s="32" t="n">
        <f>31564820</f>
        <v>3.156482E7</v>
      </c>
      <c r="W83" s="32" t="n">
        <f>52230</f>
        <v>52230.0</v>
      </c>
      <c r="X83" s="36" t="n">
        <f>20</f>
        <v>20.0</v>
      </c>
    </row>
    <row r="84">
      <c r="A84" s="27" t="s">
        <v>42</v>
      </c>
      <c r="B84" s="27" t="s">
        <v>290</v>
      </c>
      <c r="C84" s="27" t="s">
        <v>291</v>
      </c>
      <c r="D84" s="27" t="s">
        <v>292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1.0</v>
      </c>
      <c r="K84" s="33" t="n">
        <f>4646</f>
        <v>4646.0</v>
      </c>
      <c r="L84" s="34" t="s">
        <v>48</v>
      </c>
      <c r="M84" s="33" t="n">
        <f>4685</f>
        <v>4685.0</v>
      </c>
      <c r="N84" s="34" t="s">
        <v>82</v>
      </c>
      <c r="O84" s="33" t="n">
        <f>3935</f>
        <v>3935.0</v>
      </c>
      <c r="P84" s="34" t="s">
        <v>78</v>
      </c>
      <c r="Q84" s="33" t="n">
        <f>4430</f>
        <v>4430.0</v>
      </c>
      <c r="R84" s="34" t="s">
        <v>50</v>
      </c>
      <c r="S84" s="35" t="n">
        <f>4312.81</f>
        <v>4312.81</v>
      </c>
      <c r="T84" s="32" t="n">
        <f>110267</f>
        <v>110267.0</v>
      </c>
      <c r="U84" s="32" t="str">
        <f>"－"</f>
        <v>－</v>
      </c>
      <c r="V84" s="32" t="n">
        <f>467561590</f>
        <v>4.6756159E8</v>
      </c>
      <c r="W84" s="32" t="str">
        <f>"－"</f>
        <v>－</v>
      </c>
      <c r="X84" s="36" t="n">
        <f>21</f>
        <v>21.0</v>
      </c>
    </row>
    <row r="85">
      <c r="A85" s="27" t="s">
        <v>42</v>
      </c>
      <c r="B85" s="27" t="s">
        <v>293</v>
      </c>
      <c r="C85" s="27" t="s">
        <v>294</v>
      </c>
      <c r="D85" s="27" t="s">
        <v>295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1.0</v>
      </c>
      <c r="K85" s="33" t="n">
        <f>2013.5</f>
        <v>2013.5</v>
      </c>
      <c r="L85" s="34" t="s">
        <v>48</v>
      </c>
      <c r="M85" s="33" t="n">
        <f>2089.5</f>
        <v>2089.5</v>
      </c>
      <c r="N85" s="34" t="s">
        <v>82</v>
      </c>
      <c r="O85" s="33" t="n">
        <f>1760</f>
        <v>1760.0</v>
      </c>
      <c r="P85" s="34" t="s">
        <v>78</v>
      </c>
      <c r="Q85" s="33" t="n">
        <f>2013</f>
        <v>2013.0</v>
      </c>
      <c r="R85" s="34" t="s">
        <v>50</v>
      </c>
      <c r="S85" s="35" t="n">
        <f>1945.1</f>
        <v>1945.1</v>
      </c>
      <c r="T85" s="32" t="n">
        <f>369805</f>
        <v>369805.0</v>
      </c>
      <c r="U85" s="32" t="n">
        <f>270000</f>
        <v>270000.0</v>
      </c>
      <c r="V85" s="32" t="n">
        <f>714131479</f>
        <v>7.14131479E8</v>
      </c>
      <c r="W85" s="32" t="n">
        <f>519690006</f>
        <v>5.19690006E8</v>
      </c>
      <c r="X85" s="36" t="n">
        <f>21</f>
        <v>21.0</v>
      </c>
    </row>
    <row r="86">
      <c r="A86" s="27" t="s">
        <v>42</v>
      </c>
      <c r="B86" s="27" t="s">
        <v>296</v>
      </c>
      <c r="C86" s="27" t="s">
        <v>297</v>
      </c>
      <c r="D86" s="27" t="s">
        <v>298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1.0</v>
      </c>
      <c r="K86" s="33" t="n">
        <f>83480</f>
        <v>83480.0</v>
      </c>
      <c r="L86" s="34" t="s">
        <v>48</v>
      </c>
      <c r="M86" s="33" t="n">
        <f>84130</f>
        <v>84130.0</v>
      </c>
      <c r="N86" s="34" t="s">
        <v>82</v>
      </c>
      <c r="O86" s="33" t="n">
        <f>70050</f>
        <v>70050.0</v>
      </c>
      <c r="P86" s="34" t="s">
        <v>78</v>
      </c>
      <c r="Q86" s="33" t="n">
        <f>78830</f>
        <v>78830.0</v>
      </c>
      <c r="R86" s="34" t="s">
        <v>50</v>
      </c>
      <c r="S86" s="35" t="n">
        <f>76983.81</f>
        <v>76983.81</v>
      </c>
      <c r="T86" s="32" t="n">
        <f>131197</f>
        <v>131197.0</v>
      </c>
      <c r="U86" s="32" t="n">
        <f>5556</f>
        <v>5556.0</v>
      </c>
      <c r="V86" s="32" t="n">
        <f>9985327853</f>
        <v>9.985327853E9</v>
      </c>
      <c r="W86" s="32" t="n">
        <f>426035493</f>
        <v>4.26035493E8</v>
      </c>
      <c r="X86" s="36" t="n">
        <f>21</f>
        <v>21.0</v>
      </c>
    </row>
    <row r="87">
      <c r="A87" s="27" t="s">
        <v>42</v>
      </c>
      <c r="B87" s="27" t="s">
        <v>299</v>
      </c>
      <c r="C87" s="27" t="s">
        <v>300</v>
      </c>
      <c r="D87" s="27" t="s">
        <v>301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3155</f>
        <v>3155.0</v>
      </c>
      <c r="L87" s="34" t="s">
        <v>48</v>
      </c>
      <c r="M87" s="33" t="n">
        <f>3160</f>
        <v>3160.0</v>
      </c>
      <c r="N87" s="34" t="s">
        <v>48</v>
      </c>
      <c r="O87" s="33" t="n">
        <f>2737</f>
        <v>2737.0</v>
      </c>
      <c r="P87" s="34" t="s">
        <v>78</v>
      </c>
      <c r="Q87" s="33" t="n">
        <f>3085</f>
        <v>3085.0</v>
      </c>
      <c r="R87" s="34" t="s">
        <v>50</v>
      </c>
      <c r="S87" s="35" t="n">
        <f>3023.57</f>
        <v>3023.57</v>
      </c>
      <c r="T87" s="32" t="n">
        <f>17083</f>
        <v>17083.0</v>
      </c>
      <c r="U87" s="32" t="str">
        <f>"－"</f>
        <v>－</v>
      </c>
      <c r="V87" s="32" t="n">
        <f>51075380</f>
        <v>5.107538E7</v>
      </c>
      <c r="W87" s="32" t="str">
        <f>"－"</f>
        <v>－</v>
      </c>
      <c r="X87" s="36" t="n">
        <f>21</f>
        <v>21.0</v>
      </c>
    </row>
    <row r="88">
      <c r="A88" s="27" t="s">
        <v>42</v>
      </c>
      <c r="B88" s="27" t="s">
        <v>302</v>
      </c>
      <c r="C88" s="27" t="s">
        <v>303</v>
      </c>
      <c r="D88" s="27" t="s">
        <v>304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5210</f>
        <v>5210.0</v>
      </c>
      <c r="L88" s="34" t="s">
        <v>48</v>
      </c>
      <c r="M88" s="33" t="n">
        <f>5230</f>
        <v>5230.0</v>
      </c>
      <c r="N88" s="34" t="s">
        <v>82</v>
      </c>
      <c r="O88" s="33" t="n">
        <f>4555</f>
        <v>4555.0</v>
      </c>
      <c r="P88" s="34" t="s">
        <v>78</v>
      </c>
      <c r="Q88" s="33" t="n">
        <f>4820</f>
        <v>4820.0</v>
      </c>
      <c r="R88" s="34" t="s">
        <v>50</v>
      </c>
      <c r="S88" s="35" t="n">
        <f>4810.48</f>
        <v>4810.48</v>
      </c>
      <c r="T88" s="32" t="n">
        <f>8179</f>
        <v>8179.0</v>
      </c>
      <c r="U88" s="32" t="str">
        <f>"－"</f>
        <v>－</v>
      </c>
      <c r="V88" s="32" t="n">
        <f>39386600</f>
        <v>3.93866E7</v>
      </c>
      <c r="W88" s="32" t="str">
        <f>"－"</f>
        <v>－</v>
      </c>
      <c r="X88" s="36" t="n">
        <f>21</f>
        <v>21.0</v>
      </c>
    </row>
    <row r="89">
      <c r="A89" s="27" t="s">
        <v>42</v>
      </c>
      <c r="B89" s="27" t="s">
        <v>305</v>
      </c>
      <c r="C89" s="27" t="s">
        <v>306</v>
      </c>
      <c r="D89" s="27" t="s">
        <v>307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2200</f>
        <v>2200.0</v>
      </c>
      <c r="L89" s="34" t="s">
        <v>48</v>
      </c>
      <c r="M89" s="33" t="n">
        <f>2279</f>
        <v>2279.0</v>
      </c>
      <c r="N89" s="34" t="s">
        <v>50</v>
      </c>
      <c r="O89" s="33" t="n">
        <f>1748</f>
        <v>1748.0</v>
      </c>
      <c r="P89" s="34" t="s">
        <v>49</v>
      </c>
      <c r="Q89" s="33" t="n">
        <f>2277</f>
        <v>2277.0</v>
      </c>
      <c r="R89" s="34" t="s">
        <v>50</v>
      </c>
      <c r="S89" s="35" t="n">
        <f>2106.71</f>
        <v>2106.71</v>
      </c>
      <c r="T89" s="32" t="n">
        <f>806022</f>
        <v>806022.0</v>
      </c>
      <c r="U89" s="32" t="n">
        <f>40004</f>
        <v>40004.0</v>
      </c>
      <c r="V89" s="32" t="n">
        <f>1664370020</f>
        <v>1.66437002E9</v>
      </c>
      <c r="W89" s="32" t="n">
        <f>88498026</f>
        <v>8.8498026E7</v>
      </c>
      <c r="X89" s="36" t="n">
        <f>21</f>
        <v>21.0</v>
      </c>
    </row>
    <row r="90">
      <c r="A90" s="27" t="s">
        <v>42</v>
      </c>
      <c r="B90" s="27" t="s">
        <v>308</v>
      </c>
      <c r="C90" s="27" t="s">
        <v>309</v>
      </c>
      <c r="D90" s="27" t="s">
        <v>310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48100</f>
        <v>48100.0</v>
      </c>
      <c r="L90" s="34" t="s">
        <v>48</v>
      </c>
      <c r="M90" s="33" t="n">
        <f>48280</f>
        <v>48280.0</v>
      </c>
      <c r="N90" s="34" t="s">
        <v>82</v>
      </c>
      <c r="O90" s="33" t="n">
        <f>46150</f>
        <v>46150.0</v>
      </c>
      <c r="P90" s="34" t="s">
        <v>78</v>
      </c>
      <c r="Q90" s="33" t="n">
        <f>47520</f>
        <v>47520.0</v>
      </c>
      <c r="R90" s="34" t="s">
        <v>50</v>
      </c>
      <c r="S90" s="35" t="n">
        <f>47101.43</f>
        <v>47101.43</v>
      </c>
      <c r="T90" s="32" t="n">
        <f>12051</f>
        <v>12051.0</v>
      </c>
      <c r="U90" s="32" t="n">
        <f>7</f>
        <v>7.0</v>
      </c>
      <c r="V90" s="32" t="n">
        <f>567079780</f>
        <v>5.6707978E8</v>
      </c>
      <c r="W90" s="32" t="n">
        <f>318720</f>
        <v>318720.0</v>
      </c>
      <c r="X90" s="36" t="n">
        <f>21</f>
        <v>21.0</v>
      </c>
    </row>
    <row r="91">
      <c r="A91" s="27" t="s">
        <v>42</v>
      </c>
      <c r="B91" s="27" t="s">
        <v>311</v>
      </c>
      <c r="C91" s="27" t="s">
        <v>312</v>
      </c>
      <c r="D91" s="27" t="s">
        <v>313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10.0</v>
      </c>
      <c r="K91" s="33" t="n">
        <f>455</f>
        <v>455.0</v>
      </c>
      <c r="L91" s="34" t="s">
        <v>48</v>
      </c>
      <c r="M91" s="33" t="n">
        <f>459.5</f>
        <v>459.5</v>
      </c>
      <c r="N91" s="34" t="s">
        <v>48</v>
      </c>
      <c r="O91" s="33" t="n">
        <f>313.3</f>
        <v>313.3</v>
      </c>
      <c r="P91" s="34" t="s">
        <v>49</v>
      </c>
      <c r="Q91" s="33" t="n">
        <f>438.1</f>
        <v>438.1</v>
      </c>
      <c r="R91" s="34" t="s">
        <v>50</v>
      </c>
      <c r="S91" s="35" t="n">
        <f>398.77</f>
        <v>398.77</v>
      </c>
      <c r="T91" s="32" t="n">
        <f>177849700</f>
        <v>1.778497E8</v>
      </c>
      <c r="U91" s="32" t="n">
        <f>161760</f>
        <v>161760.0</v>
      </c>
      <c r="V91" s="32" t="n">
        <f>67621452589</f>
        <v>6.7621452589E10</v>
      </c>
      <c r="W91" s="32" t="n">
        <f>66046845</f>
        <v>6.6046845E7</v>
      </c>
      <c r="X91" s="36" t="n">
        <f>21</f>
        <v>21.0</v>
      </c>
    </row>
    <row r="92">
      <c r="A92" s="27" t="s">
        <v>42</v>
      </c>
      <c r="B92" s="27" t="s">
        <v>314</v>
      </c>
      <c r="C92" s="27" t="s">
        <v>315</v>
      </c>
      <c r="D92" s="27" t="s">
        <v>316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1231</f>
        <v>1231.0</v>
      </c>
      <c r="L92" s="34" t="s">
        <v>48</v>
      </c>
      <c r="M92" s="33" t="n">
        <f>1494.5</f>
        <v>1494.5</v>
      </c>
      <c r="N92" s="34" t="s">
        <v>49</v>
      </c>
      <c r="O92" s="33" t="n">
        <f>1210</f>
        <v>1210.0</v>
      </c>
      <c r="P92" s="34" t="s">
        <v>50</v>
      </c>
      <c r="Q92" s="33" t="n">
        <f>1212.5</f>
        <v>1212.5</v>
      </c>
      <c r="R92" s="34" t="s">
        <v>50</v>
      </c>
      <c r="S92" s="35" t="n">
        <f>1288.21</f>
        <v>1288.21</v>
      </c>
      <c r="T92" s="32" t="n">
        <f>4655080</f>
        <v>4655080.0</v>
      </c>
      <c r="U92" s="32" t="n">
        <f>2991650</f>
        <v>2991650.0</v>
      </c>
      <c r="V92" s="32" t="n">
        <f>5927466504</f>
        <v>5.927466504E9</v>
      </c>
      <c r="W92" s="32" t="n">
        <f>3740081514</f>
        <v>3.740081514E9</v>
      </c>
      <c r="X92" s="36" t="n">
        <f>21</f>
        <v>21.0</v>
      </c>
    </row>
    <row r="93">
      <c r="A93" s="27" t="s">
        <v>42</v>
      </c>
      <c r="B93" s="27" t="s">
        <v>317</v>
      </c>
      <c r="C93" s="27" t="s">
        <v>318</v>
      </c>
      <c r="D93" s="27" t="s">
        <v>319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1.0</v>
      </c>
      <c r="K93" s="33" t="n">
        <f>22950</f>
        <v>22950.0</v>
      </c>
      <c r="L93" s="34" t="s">
        <v>48</v>
      </c>
      <c r="M93" s="33" t="n">
        <f>23080</f>
        <v>23080.0</v>
      </c>
      <c r="N93" s="34" t="s">
        <v>48</v>
      </c>
      <c r="O93" s="33" t="n">
        <f>16565</f>
        <v>16565.0</v>
      </c>
      <c r="P93" s="34" t="s">
        <v>49</v>
      </c>
      <c r="Q93" s="33" t="n">
        <f>22495</f>
        <v>22495.0</v>
      </c>
      <c r="R93" s="34" t="s">
        <v>50</v>
      </c>
      <c r="S93" s="35" t="n">
        <f>20610.24</f>
        <v>20610.24</v>
      </c>
      <c r="T93" s="32" t="n">
        <f>144399844</f>
        <v>1.44399844E8</v>
      </c>
      <c r="U93" s="32" t="n">
        <f>215089</f>
        <v>215089.0</v>
      </c>
      <c r="V93" s="32" t="n">
        <f>2907596873925</f>
        <v>2.907596873925E12</v>
      </c>
      <c r="W93" s="32" t="n">
        <f>4427519360</f>
        <v>4.42751936E9</v>
      </c>
      <c r="X93" s="36" t="n">
        <f>21</f>
        <v>21.0</v>
      </c>
    </row>
    <row r="94">
      <c r="A94" s="27" t="s">
        <v>42</v>
      </c>
      <c r="B94" s="27" t="s">
        <v>320</v>
      </c>
      <c r="C94" s="27" t="s">
        <v>321</v>
      </c>
      <c r="D94" s="27" t="s">
        <v>322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618</f>
        <v>618.0</v>
      </c>
      <c r="L94" s="34" t="s">
        <v>48</v>
      </c>
      <c r="M94" s="33" t="n">
        <f>719</f>
        <v>719.0</v>
      </c>
      <c r="N94" s="34" t="s">
        <v>49</v>
      </c>
      <c r="O94" s="33" t="n">
        <f>601</f>
        <v>601.0</v>
      </c>
      <c r="P94" s="34" t="s">
        <v>71</v>
      </c>
      <c r="Q94" s="33" t="n">
        <f>601</f>
        <v>601.0</v>
      </c>
      <c r="R94" s="34" t="s">
        <v>50</v>
      </c>
      <c r="S94" s="35" t="n">
        <f>636.81</f>
        <v>636.81</v>
      </c>
      <c r="T94" s="32" t="n">
        <f>45364684</f>
        <v>4.5364684E7</v>
      </c>
      <c r="U94" s="32" t="n">
        <f>4082328</f>
        <v>4082328.0</v>
      </c>
      <c r="V94" s="32" t="n">
        <f>29550962989</f>
        <v>2.9550962989E10</v>
      </c>
      <c r="W94" s="32" t="n">
        <f>2624333559</f>
        <v>2.624333559E9</v>
      </c>
      <c r="X94" s="36" t="n">
        <f>21</f>
        <v>21.0</v>
      </c>
    </row>
    <row r="95">
      <c r="A95" s="27" t="s">
        <v>42</v>
      </c>
      <c r="B95" s="27" t="s">
        <v>323</v>
      </c>
      <c r="C95" s="27" t="s">
        <v>324</v>
      </c>
      <c r="D95" s="27" t="s">
        <v>325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10.0</v>
      </c>
      <c r="K95" s="33" t="n">
        <f>7123</f>
        <v>7123.0</v>
      </c>
      <c r="L95" s="34" t="s">
        <v>48</v>
      </c>
      <c r="M95" s="33" t="n">
        <f>7300</f>
        <v>7300.0</v>
      </c>
      <c r="N95" s="34" t="s">
        <v>48</v>
      </c>
      <c r="O95" s="33" t="n">
        <f>4470</f>
        <v>4470.0</v>
      </c>
      <c r="P95" s="34" t="s">
        <v>78</v>
      </c>
      <c r="Q95" s="33" t="n">
        <f>5905</f>
        <v>5905.0</v>
      </c>
      <c r="R95" s="34" t="s">
        <v>50</v>
      </c>
      <c r="S95" s="35" t="n">
        <f>5895.95</f>
        <v>5895.95</v>
      </c>
      <c r="T95" s="32" t="n">
        <f>385100</f>
        <v>385100.0</v>
      </c>
      <c r="U95" s="32" t="str">
        <f>"－"</f>
        <v>－</v>
      </c>
      <c r="V95" s="32" t="n">
        <f>2243528730</f>
        <v>2.24352873E9</v>
      </c>
      <c r="W95" s="32" t="str">
        <f>"－"</f>
        <v>－</v>
      </c>
      <c r="X95" s="36" t="n">
        <f>21</f>
        <v>21.0</v>
      </c>
    </row>
    <row r="96">
      <c r="A96" s="27" t="s">
        <v>42</v>
      </c>
      <c r="B96" s="27" t="s">
        <v>326</v>
      </c>
      <c r="C96" s="27" t="s">
        <v>327</v>
      </c>
      <c r="D96" s="27" t="s">
        <v>328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8289</f>
        <v>8289.0</v>
      </c>
      <c r="L96" s="34" t="s">
        <v>48</v>
      </c>
      <c r="M96" s="33" t="n">
        <f>9680</f>
        <v>9680.0</v>
      </c>
      <c r="N96" s="34" t="s">
        <v>78</v>
      </c>
      <c r="O96" s="33" t="n">
        <f>8001</f>
        <v>8001.0</v>
      </c>
      <c r="P96" s="34" t="s">
        <v>105</v>
      </c>
      <c r="Q96" s="33" t="n">
        <f>8240</f>
        <v>8240.0</v>
      </c>
      <c r="R96" s="34" t="s">
        <v>50</v>
      </c>
      <c r="S96" s="35" t="n">
        <f>8482.9</f>
        <v>8482.9</v>
      </c>
      <c r="T96" s="32" t="n">
        <f>116490</f>
        <v>116490.0</v>
      </c>
      <c r="U96" s="32" t="n">
        <f>10</f>
        <v>10.0</v>
      </c>
      <c r="V96" s="32" t="n">
        <f>1026716200</f>
        <v>1.0267162E9</v>
      </c>
      <c r="W96" s="32" t="n">
        <f>84510</f>
        <v>84510.0</v>
      </c>
      <c r="X96" s="36" t="n">
        <f>21</f>
        <v>21.0</v>
      </c>
    </row>
    <row r="97">
      <c r="A97" s="27" t="s">
        <v>42</v>
      </c>
      <c r="B97" s="27" t="s">
        <v>329</v>
      </c>
      <c r="C97" s="27" t="s">
        <v>330</v>
      </c>
      <c r="D97" s="27" t="s">
        <v>331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1.0</v>
      </c>
      <c r="K97" s="33" t="n">
        <f>39200</f>
        <v>39200.0</v>
      </c>
      <c r="L97" s="34" t="s">
        <v>48</v>
      </c>
      <c r="M97" s="33" t="n">
        <f>39230</f>
        <v>39230.0</v>
      </c>
      <c r="N97" s="34" t="s">
        <v>95</v>
      </c>
      <c r="O97" s="33" t="n">
        <f>31500</f>
        <v>31500.0</v>
      </c>
      <c r="P97" s="34" t="s">
        <v>49</v>
      </c>
      <c r="Q97" s="33" t="n">
        <f>36920</f>
        <v>36920.0</v>
      </c>
      <c r="R97" s="34" t="s">
        <v>50</v>
      </c>
      <c r="S97" s="35" t="n">
        <f>35823.33</f>
        <v>35823.33</v>
      </c>
      <c r="T97" s="32" t="n">
        <f>146207</f>
        <v>146207.0</v>
      </c>
      <c r="U97" s="32" t="n">
        <f>27815</f>
        <v>27815.0</v>
      </c>
      <c r="V97" s="32" t="n">
        <f>5121304289</f>
        <v>5.121304289E9</v>
      </c>
      <c r="W97" s="32" t="n">
        <f>965442159</f>
        <v>9.65442159E8</v>
      </c>
      <c r="X97" s="36" t="n">
        <f>21</f>
        <v>21.0</v>
      </c>
    </row>
    <row r="98">
      <c r="A98" s="27" t="s">
        <v>42</v>
      </c>
      <c r="B98" s="27" t="s">
        <v>332</v>
      </c>
      <c r="C98" s="27" t="s">
        <v>333</v>
      </c>
      <c r="D98" s="27" t="s">
        <v>334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2874</f>
        <v>2874.0</v>
      </c>
      <c r="L98" s="34" t="s">
        <v>48</v>
      </c>
      <c r="M98" s="33" t="n">
        <f>2897</f>
        <v>2897.0</v>
      </c>
      <c r="N98" s="34" t="s">
        <v>71</v>
      </c>
      <c r="O98" s="33" t="n">
        <f>2460</f>
        <v>2460.0</v>
      </c>
      <c r="P98" s="34" t="s">
        <v>49</v>
      </c>
      <c r="Q98" s="33" t="n">
        <f>2897</f>
        <v>2897.0</v>
      </c>
      <c r="R98" s="34" t="s">
        <v>50</v>
      </c>
      <c r="S98" s="35" t="n">
        <f>2765.24</f>
        <v>2765.24</v>
      </c>
      <c r="T98" s="32" t="n">
        <f>501671</f>
        <v>501671.0</v>
      </c>
      <c r="U98" s="32" t="n">
        <f>280088</f>
        <v>280088.0</v>
      </c>
      <c r="V98" s="32" t="n">
        <f>1353732444</f>
        <v>1.353732444E9</v>
      </c>
      <c r="W98" s="32" t="n">
        <f>749582105</f>
        <v>7.49582105E8</v>
      </c>
      <c r="X98" s="36" t="n">
        <f>21</f>
        <v>21.0</v>
      </c>
    </row>
    <row r="99">
      <c r="A99" s="27" t="s">
        <v>42</v>
      </c>
      <c r="B99" s="27" t="s">
        <v>335</v>
      </c>
      <c r="C99" s="27" t="s">
        <v>336</v>
      </c>
      <c r="D99" s="27" t="s">
        <v>337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10.0</v>
      </c>
      <c r="K99" s="33" t="n">
        <f>246.9</f>
        <v>246.9</v>
      </c>
      <c r="L99" s="34" t="s">
        <v>48</v>
      </c>
      <c r="M99" s="33" t="n">
        <f>248.1</f>
        <v>248.1</v>
      </c>
      <c r="N99" s="34" t="s">
        <v>48</v>
      </c>
      <c r="O99" s="33" t="n">
        <f>177.6</f>
        <v>177.6</v>
      </c>
      <c r="P99" s="34" t="s">
        <v>49</v>
      </c>
      <c r="Q99" s="33" t="n">
        <f>242</f>
        <v>242.0</v>
      </c>
      <c r="R99" s="34" t="s">
        <v>50</v>
      </c>
      <c r="S99" s="35" t="n">
        <f>221.59</f>
        <v>221.59</v>
      </c>
      <c r="T99" s="32" t="n">
        <f>1131814910</f>
        <v>1.13181491E9</v>
      </c>
      <c r="U99" s="32" t="n">
        <f>17411890</f>
        <v>1.741189E7</v>
      </c>
      <c r="V99" s="32" t="n">
        <f>246286398212</f>
        <v>2.46286398212E11</v>
      </c>
      <c r="W99" s="32" t="n">
        <f>3924101794</f>
        <v>3.924101794E9</v>
      </c>
      <c r="X99" s="36" t="n">
        <f>21</f>
        <v>21.0</v>
      </c>
    </row>
    <row r="100">
      <c r="A100" s="27" t="s">
        <v>42</v>
      </c>
      <c r="B100" s="27" t="s">
        <v>338</v>
      </c>
      <c r="C100" s="27" t="s">
        <v>339</v>
      </c>
      <c r="D100" s="27" t="s">
        <v>340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1642.5</f>
        <v>1642.5</v>
      </c>
      <c r="L100" s="34" t="s">
        <v>48</v>
      </c>
      <c r="M100" s="33" t="n">
        <f>1911</f>
        <v>1911.0</v>
      </c>
      <c r="N100" s="34" t="s">
        <v>49</v>
      </c>
      <c r="O100" s="33" t="n">
        <f>1598</f>
        <v>1598.0</v>
      </c>
      <c r="P100" s="34" t="s">
        <v>71</v>
      </c>
      <c r="Q100" s="33" t="n">
        <f>1600.5</f>
        <v>1600.5</v>
      </c>
      <c r="R100" s="34" t="s">
        <v>50</v>
      </c>
      <c r="S100" s="35" t="n">
        <f>1693.43</f>
        <v>1693.43</v>
      </c>
      <c r="T100" s="32" t="n">
        <f>19137480</f>
        <v>1.913748E7</v>
      </c>
      <c r="U100" s="32" t="n">
        <f>5145800</f>
        <v>5145800.0</v>
      </c>
      <c r="V100" s="32" t="n">
        <f>32529346228</f>
        <v>3.2529346228E10</v>
      </c>
      <c r="W100" s="32" t="n">
        <f>8516835728</f>
        <v>8.516835728E9</v>
      </c>
      <c r="X100" s="36" t="n">
        <f>21</f>
        <v>21.0</v>
      </c>
    </row>
    <row r="101">
      <c r="A101" s="27" t="s">
        <v>42</v>
      </c>
      <c r="B101" s="27" t="s">
        <v>341</v>
      </c>
      <c r="C101" s="27" t="s">
        <v>342</v>
      </c>
      <c r="D101" s="27" t="s">
        <v>343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1814.5</f>
        <v>1814.5</v>
      </c>
      <c r="L101" s="34" t="s">
        <v>48</v>
      </c>
      <c r="M101" s="33" t="n">
        <f>1822.5</f>
        <v>1822.5</v>
      </c>
      <c r="N101" s="34" t="s">
        <v>48</v>
      </c>
      <c r="O101" s="33" t="n">
        <f>1568.5</f>
        <v>1568.5</v>
      </c>
      <c r="P101" s="34" t="s">
        <v>49</v>
      </c>
      <c r="Q101" s="33" t="n">
        <f>1822</f>
        <v>1822.0</v>
      </c>
      <c r="R101" s="34" t="s">
        <v>50</v>
      </c>
      <c r="S101" s="35" t="n">
        <f>1738</f>
        <v>1738.0</v>
      </c>
      <c r="T101" s="32" t="n">
        <f>3260</f>
        <v>3260.0</v>
      </c>
      <c r="U101" s="32" t="str">
        <f>"－"</f>
        <v>－</v>
      </c>
      <c r="V101" s="32" t="n">
        <f>5727620</f>
        <v>5727620.0</v>
      </c>
      <c r="W101" s="32" t="str">
        <f>"－"</f>
        <v>－</v>
      </c>
      <c r="X101" s="36" t="n">
        <f>16</f>
        <v>16.0</v>
      </c>
    </row>
    <row r="102">
      <c r="A102" s="27" t="s">
        <v>42</v>
      </c>
      <c r="B102" s="27" t="s">
        <v>344</v>
      </c>
      <c r="C102" s="27" t="s">
        <v>345</v>
      </c>
      <c r="D102" s="27" t="s">
        <v>346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1.0</v>
      </c>
      <c r="K102" s="33" t="n">
        <f>2140</f>
        <v>2140.0</v>
      </c>
      <c r="L102" s="34" t="s">
        <v>48</v>
      </c>
      <c r="M102" s="33" t="n">
        <f>2140</f>
        <v>2140.0</v>
      </c>
      <c r="N102" s="34" t="s">
        <v>48</v>
      </c>
      <c r="O102" s="33" t="n">
        <f>1820</f>
        <v>1820.0</v>
      </c>
      <c r="P102" s="34" t="s">
        <v>49</v>
      </c>
      <c r="Q102" s="33" t="n">
        <f>2125</f>
        <v>2125.0</v>
      </c>
      <c r="R102" s="34" t="s">
        <v>50</v>
      </c>
      <c r="S102" s="35" t="n">
        <f>2021.81</f>
        <v>2021.81</v>
      </c>
      <c r="T102" s="32" t="n">
        <f>3284</f>
        <v>3284.0</v>
      </c>
      <c r="U102" s="32" t="str">
        <f>"－"</f>
        <v>－</v>
      </c>
      <c r="V102" s="32" t="n">
        <f>6615789</f>
        <v>6615789.0</v>
      </c>
      <c r="W102" s="32" t="str">
        <f>"－"</f>
        <v>－</v>
      </c>
      <c r="X102" s="36" t="n">
        <f>21</f>
        <v>21.0</v>
      </c>
    </row>
    <row r="103">
      <c r="A103" s="27" t="s">
        <v>42</v>
      </c>
      <c r="B103" s="27" t="s">
        <v>347</v>
      </c>
      <c r="C103" s="27" t="s">
        <v>348</v>
      </c>
      <c r="D103" s="27" t="s">
        <v>349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24710</f>
        <v>24710.0</v>
      </c>
      <c r="L103" s="34" t="s">
        <v>48</v>
      </c>
      <c r="M103" s="33" t="n">
        <f>24815</f>
        <v>24815.0</v>
      </c>
      <c r="N103" s="34" t="s">
        <v>48</v>
      </c>
      <c r="O103" s="33" t="n">
        <f>20250</f>
        <v>20250.0</v>
      </c>
      <c r="P103" s="34" t="s">
        <v>49</v>
      </c>
      <c r="Q103" s="33" t="n">
        <f>24185</f>
        <v>24185.0</v>
      </c>
      <c r="R103" s="34" t="s">
        <v>50</v>
      </c>
      <c r="S103" s="35" t="n">
        <f>23092.38</f>
        <v>23092.38</v>
      </c>
      <c r="T103" s="32" t="n">
        <f>101530</f>
        <v>101530.0</v>
      </c>
      <c r="U103" s="32" t="n">
        <f>32758</f>
        <v>32758.0</v>
      </c>
      <c r="V103" s="32" t="n">
        <f>2336389416</f>
        <v>2.336389416E9</v>
      </c>
      <c r="W103" s="32" t="n">
        <f>761287941</f>
        <v>7.61287941E8</v>
      </c>
      <c r="X103" s="36" t="n">
        <f>21</f>
        <v>21.0</v>
      </c>
    </row>
    <row r="104">
      <c r="A104" s="27" t="s">
        <v>42</v>
      </c>
      <c r="B104" s="27" t="s">
        <v>350</v>
      </c>
      <c r="C104" s="27" t="s">
        <v>351</v>
      </c>
      <c r="D104" s="27" t="s">
        <v>352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2252</f>
        <v>2252.0</v>
      </c>
      <c r="L104" s="34" t="s">
        <v>48</v>
      </c>
      <c r="M104" s="33" t="n">
        <f>2263</f>
        <v>2263.0</v>
      </c>
      <c r="N104" s="34" t="s">
        <v>48</v>
      </c>
      <c r="O104" s="33" t="n">
        <f>1884</f>
        <v>1884.0</v>
      </c>
      <c r="P104" s="34" t="s">
        <v>49</v>
      </c>
      <c r="Q104" s="33" t="n">
        <f>2241</f>
        <v>2241.0</v>
      </c>
      <c r="R104" s="34" t="s">
        <v>50</v>
      </c>
      <c r="S104" s="35" t="n">
        <f>2131.48</f>
        <v>2131.48</v>
      </c>
      <c r="T104" s="32" t="n">
        <f>469920</f>
        <v>469920.0</v>
      </c>
      <c r="U104" s="32" t="n">
        <f>171100</f>
        <v>171100.0</v>
      </c>
      <c r="V104" s="32" t="n">
        <f>1007084796</f>
        <v>1.007084796E9</v>
      </c>
      <c r="W104" s="32" t="n">
        <f>354607890</f>
        <v>3.5460789E8</v>
      </c>
      <c r="X104" s="36" t="n">
        <f>21</f>
        <v>21.0</v>
      </c>
    </row>
    <row r="105">
      <c r="A105" s="27" t="s">
        <v>42</v>
      </c>
      <c r="B105" s="27" t="s">
        <v>353</v>
      </c>
      <c r="C105" s="27" t="s">
        <v>354</v>
      </c>
      <c r="D105" s="27" t="s">
        <v>355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25270</f>
        <v>25270.0</v>
      </c>
      <c r="L105" s="34" t="s">
        <v>48</v>
      </c>
      <c r="M105" s="33" t="n">
        <f>25315</f>
        <v>25315.0</v>
      </c>
      <c r="N105" s="34" t="s">
        <v>48</v>
      </c>
      <c r="O105" s="33" t="n">
        <f>21195</f>
        <v>21195.0</v>
      </c>
      <c r="P105" s="34" t="s">
        <v>49</v>
      </c>
      <c r="Q105" s="33" t="n">
        <f>25030</f>
        <v>25030.0</v>
      </c>
      <c r="R105" s="34" t="s">
        <v>50</v>
      </c>
      <c r="S105" s="35" t="n">
        <f>23851.67</f>
        <v>23851.67</v>
      </c>
      <c r="T105" s="32" t="n">
        <f>168624</f>
        <v>168624.0</v>
      </c>
      <c r="U105" s="32" t="n">
        <f>129407</f>
        <v>129407.0</v>
      </c>
      <c r="V105" s="32" t="n">
        <f>3873544150</f>
        <v>3.87354415E9</v>
      </c>
      <c r="W105" s="32" t="n">
        <f>2952605275</f>
        <v>2.952605275E9</v>
      </c>
      <c r="X105" s="36" t="n">
        <f>21</f>
        <v>21.0</v>
      </c>
    </row>
    <row r="106">
      <c r="A106" s="27" t="s">
        <v>42</v>
      </c>
      <c r="B106" s="27" t="s">
        <v>356</v>
      </c>
      <c r="C106" s="27" t="s">
        <v>357</v>
      </c>
      <c r="D106" s="27" t="s">
        <v>358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10.0</v>
      </c>
      <c r="K106" s="33" t="n">
        <f>1750.5</f>
        <v>1750.5</v>
      </c>
      <c r="L106" s="34" t="s">
        <v>48</v>
      </c>
      <c r="M106" s="33" t="n">
        <f>1772</f>
        <v>1772.0</v>
      </c>
      <c r="N106" s="34" t="s">
        <v>203</v>
      </c>
      <c r="O106" s="33" t="n">
        <f>1666</f>
        <v>1666.0</v>
      </c>
      <c r="P106" s="34" t="s">
        <v>49</v>
      </c>
      <c r="Q106" s="33" t="n">
        <f>1745</f>
        <v>1745.0</v>
      </c>
      <c r="R106" s="34" t="s">
        <v>50</v>
      </c>
      <c r="S106" s="35" t="n">
        <f>1742.5</f>
        <v>1742.5</v>
      </c>
      <c r="T106" s="32" t="n">
        <f>2010350</f>
        <v>2010350.0</v>
      </c>
      <c r="U106" s="32" t="n">
        <f>1021170</f>
        <v>1021170.0</v>
      </c>
      <c r="V106" s="32" t="n">
        <f>3491178312</f>
        <v>3.491178312E9</v>
      </c>
      <c r="W106" s="32" t="n">
        <f>1779568422</f>
        <v>1.779568422E9</v>
      </c>
      <c r="X106" s="36" t="n">
        <f>21</f>
        <v>21.0</v>
      </c>
    </row>
    <row r="107">
      <c r="A107" s="27" t="s">
        <v>42</v>
      </c>
      <c r="B107" s="27" t="s">
        <v>359</v>
      </c>
      <c r="C107" s="27" t="s">
        <v>360</v>
      </c>
      <c r="D107" s="27" t="s">
        <v>361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2080</f>
        <v>2080.0</v>
      </c>
      <c r="L107" s="34" t="s">
        <v>203</v>
      </c>
      <c r="M107" s="33" t="n">
        <f>2080</f>
        <v>2080.0</v>
      </c>
      <c r="N107" s="34" t="s">
        <v>203</v>
      </c>
      <c r="O107" s="33" t="n">
        <f>2080</f>
        <v>2080.0</v>
      </c>
      <c r="P107" s="34" t="s">
        <v>203</v>
      </c>
      <c r="Q107" s="33" t="n">
        <f>2080</f>
        <v>2080.0</v>
      </c>
      <c r="R107" s="34" t="s">
        <v>203</v>
      </c>
      <c r="S107" s="35" t="n">
        <f>2080</f>
        <v>2080.0</v>
      </c>
      <c r="T107" s="32" t="n">
        <f>20</f>
        <v>20.0</v>
      </c>
      <c r="U107" s="32" t="str">
        <f>"－"</f>
        <v>－</v>
      </c>
      <c r="V107" s="32" t="n">
        <f>41600</f>
        <v>41600.0</v>
      </c>
      <c r="W107" s="32" t="str">
        <f>"－"</f>
        <v>－</v>
      </c>
      <c r="X107" s="36" t="n">
        <f>1</f>
        <v>1.0</v>
      </c>
    </row>
    <row r="108">
      <c r="A108" s="27" t="s">
        <v>42</v>
      </c>
      <c r="B108" s="27" t="s">
        <v>362</v>
      </c>
      <c r="C108" s="27" t="s">
        <v>363</v>
      </c>
      <c r="D108" s="27" t="s">
        <v>364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1749</f>
        <v>1749.0</v>
      </c>
      <c r="L108" s="34" t="s">
        <v>48</v>
      </c>
      <c r="M108" s="33" t="n">
        <f>1775.5</f>
        <v>1775.5</v>
      </c>
      <c r="N108" s="34" t="s">
        <v>105</v>
      </c>
      <c r="O108" s="33" t="n">
        <f>1660</f>
        <v>1660.0</v>
      </c>
      <c r="P108" s="34" t="s">
        <v>49</v>
      </c>
      <c r="Q108" s="33" t="n">
        <f>1763</f>
        <v>1763.0</v>
      </c>
      <c r="R108" s="34" t="s">
        <v>50</v>
      </c>
      <c r="S108" s="35" t="n">
        <f>1742.67</f>
        <v>1742.67</v>
      </c>
      <c r="T108" s="32" t="n">
        <f>4441790</f>
        <v>4441790.0</v>
      </c>
      <c r="U108" s="32" t="n">
        <f>2948320</f>
        <v>2948320.0</v>
      </c>
      <c r="V108" s="32" t="n">
        <f>7683928016</f>
        <v>7.683928016E9</v>
      </c>
      <c r="W108" s="32" t="n">
        <f>5103306501</f>
        <v>5.103306501E9</v>
      </c>
      <c r="X108" s="36" t="n">
        <f>21</f>
        <v>21.0</v>
      </c>
    </row>
    <row r="109">
      <c r="A109" s="27" t="s">
        <v>42</v>
      </c>
      <c r="B109" s="27" t="s">
        <v>365</v>
      </c>
      <c r="C109" s="27" t="s">
        <v>366</v>
      </c>
      <c r="D109" s="27" t="s">
        <v>367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1.0</v>
      </c>
      <c r="K109" s="33" t="n">
        <f>24960</f>
        <v>24960.0</v>
      </c>
      <c r="L109" s="34" t="s">
        <v>48</v>
      </c>
      <c r="M109" s="33" t="n">
        <f>25100</f>
        <v>25100.0</v>
      </c>
      <c r="N109" s="34" t="s">
        <v>82</v>
      </c>
      <c r="O109" s="33" t="n">
        <f>20660</f>
        <v>20660.0</v>
      </c>
      <c r="P109" s="34" t="s">
        <v>49</v>
      </c>
      <c r="Q109" s="33" t="n">
        <f>24660</f>
        <v>24660.0</v>
      </c>
      <c r="R109" s="34" t="s">
        <v>50</v>
      </c>
      <c r="S109" s="35" t="n">
        <f>23654.29</f>
        <v>23654.29</v>
      </c>
      <c r="T109" s="32" t="n">
        <f>19297</f>
        <v>19297.0</v>
      </c>
      <c r="U109" s="32" t="n">
        <f>5652</f>
        <v>5652.0</v>
      </c>
      <c r="V109" s="32" t="n">
        <f>451816810</f>
        <v>4.5181681E8</v>
      </c>
      <c r="W109" s="32" t="n">
        <f>130328590</f>
        <v>1.3032859E8</v>
      </c>
      <c r="X109" s="36" t="n">
        <f>21</f>
        <v>21.0</v>
      </c>
    </row>
    <row r="110">
      <c r="A110" s="27" t="s">
        <v>42</v>
      </c>
      <c r="B110" s="27" t="s">
        <v>368</v>
      </c>
      <c r="C110" s="27" t="s">
        <v>369</v>
      </c>
      <c r="D110" s="27" t="s">
        <v>370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505.7</f>
        <v>505.7</v>
      </c>
      <c r="L110" s="34" t="s">
        <v>48</v>
      </c>
      <c r="M110" s="33" t="n">
        <f>514.1</f>
        <v>514.1</v>
      </c>
      <c r="N110" s="34" t="s">
        <v>219</v>
      </c>
      <c r="O110" s="33" t="n">
        <f>428</f>
        <v>428.0</v>
      </c>
      <c r="P110" s="34" t="s">
        <v>49</v>
      </c>
      <c r="Q110" s="33" t="n">
        <f>503.5</f>
        <v>503.5</v>
      </c>
      <c r="R110" s="34" t="s">
        <v>50</v>
      </c>
      <c r="S110" s="35" t="n">
        <f>479.45</f>
        <v>479.45</v>
      </c>
      <c r="T110" s="32" t="n">
        <f>573360</f>
        <v>573360.0</v>
      </c>
      <c r="U110" s="32" t="n">
        <f>30000</f>
        <v>30000.0</v>
      </c>
      <c r="V110" s="32" t="n">
        <f>273787204</f>
        <v>2.73787204E8</v>
      </c>
      <c r="W110" s="32" t="n">
        <f>15189000</f>
        <v>1.5189E7</v>
      </c>
      <c r="X110" s="36" t="n">
        <f>21</f>
        <v>21.0</v>
      </c>
    </row>
    <row r="111">
      <c r="A111" s="27" t="s">
        <v>42</v>
      </c>
      <c r="B111" s="27" t="s">
        <v>371</v>
      </c>
      <c r="C111" s="27" t="s">
        <v>372</v>
      </c>
      <c r="D111" s="27" t="s">
        <v>373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100.0</v>
      </c>
      <c r="K111" s="33" t="n">
        <f>420</f>
        <v>420.0</v>
      </c>
      <c r="L111" s="34" t="s">
        <v>48</v>
      </c>
      <c r="M111" s="33" t="n">
        <f>420.8</f>
        <v>420.8</v>
      </c>
      <c r="N111" s="34" t="s">
        <v>48</v>
      </c>
      <c r="O111" s="33" t="n">
        <f>278.6</f>
        <v>278.6</v>
      </c>
      <c r="P111" s="34" t="s">
        <v>49</v>
      </c>
      <c r="Q111" s="33" t="n">
        <f>377</f>
        <v>377.0</v>
      </c>
      <c r="R111" s="34" t="s">
        <v>50</v>
      </c>
      <c r="S111" s="35" t="n">
        <f>356.44</f>
        <v>356.44</v>
      </c>
      <c r="T111" s="32" t="n">
        <f>233646500</f>
        <v>2.336465E8</v>
      </c>
      <c r="U111" s="32" t="n">
        <f>43390000</f>
        <v>4.339E7</v>
      </c>
      <c r="V111" s="32" t="n">
        <f>83676767289</f>
        <v>8.3676767289E10</v>
      </c>
      <c r="W111" s="32" t="n">
        <f>15450280749</f>
        <v>1.5450280749E10</v>
      </c>
      <c r="X111" s="36" t="n">
        <f>21</f>
        <v>21.0</v>
      </c>
    </row>
    <row r="112">
      <c r="A112" s="27" t="s">
        <v>42</v>
      </c>
      <c r="B112" s="27" t="s">
        <v>374</v>
      </c>
      <c r="C112" s="27" t="s">
        <v>375</v>
      </c>
      <c r="D112" s="27" t="s">
        <v>376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37350</f>
        <v>37350.0</v>
      </c>
      <c r="L112" s="34" t="s">
        <v>48</v>
      </c>
      <c r="M112" s="33" t="n">
        <f>40700</f>
        <v>40700.0</v>
      </c>
      <c r="N112" s="34" t="s">
        <v>105</v>
      </c>
      <c r="O112" s="33" t="n">
        <f>34580</f>
        <v>34580.0</v>
      </c>
      <c r="P112" s="34" t="s">
        <v>49</v>
      </c>
      <c r="Q112" s="33" t="n">
        <f>38450</f>
        <v>38450.0</v>
      </c>
      <c r="R112" s="34" t="s">
        <v>50</v>
      </c>
      <c r="S112" s="35" t="n">
        <f>37500</f>
        <v>37500.0</v>
      </c>
      <c r="T112" s="32" t="n">
        <f>8096</f>
        <v>8096.0</v>
      </c>
      <c r="U112" s="32" t="n">
        <f>31</f>
        <v>31.0</v>
      </c>
      <c r="V112" s="32" t="n">
        <f>304645460</f>
        <v>3.0464546E8</v>
      </c>
      <c r="W112" s="32" t="n">
        <f>1144050</f>
        <v>1144050.0</v>
      </c>
      <c r="X112" s="36" t="n">
        <f>21</f>
        <v>21.0</v>
      </c>
    </row>
    <row r="113">
      <c r="A113" s="27" t="s">
        <v>42</v>
      </c>
      <c r="B113" s="27" t="s">
        <v>377</v>
      </c>
      <c r="C113" s="27" t="s">
        <v>378</v>
      </c>
      <c r="D113" s="27" t="s">
        <v>379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21865</f>
        <v>21865.0</v>
      </c>
      <c r="L113" s="34" t="s">
        <v>48</v>
      </c>
      <c r="M113" s="33" t="n">
        <f>22180</f>
        <v>22180.0</v>
      </c>
      <c r="N113" s="34" t="s">
        <v>48</v>
      </c>
      <c r="O113" s="33" t="n">
        <f>16900</f>
        <v>16900.0</v>
      </c>
      <c r="P113" s="34" t="s">
        <v>49</v>
      </c>
      <c r="Q113" s="33" t="n">
        <f>19080</f>
        <v>19080.0</v>
      </c>
      <c r="R113" s="34" t="s">
        <v>50</v>
      </c>
      <c r="S113" s="35" t="n">
        <f>19034.05</f>
        <v>19034.05</v>
      </c>
      <c r="T113" s="32" t="n">
        <f>6795</f>
        <v>6795.0</v>
      </c>
      <c r="U113" s="32" t="n">
        <f>41</f>
        <v>41.0</v>
      </c>
      <c r="V113" s="32" t="n">
        <f>127746985</f>
        <v>1.27746985E8</v>
      </c>
      <c r="W113" s="32" t="n">
        <f>758070</f>
        <v>758070.0</v>
      </c>
      <c r="X113" s="36" t="n">
        <f>21</f>
        <v>21.0</v>
      </c>
    </row>
    <row r="114">
      <c r="A114" s="27" t="s">
        <v>42</v>
      </c>
      <c r="B114" s="27" t="s">
        <v>380</v>
      </c>
      <c r="C114" s="27" t="s">
        <v>381</v>
      </c>
      <c r="D114" s="27" t="s">
        <v>382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31400</f>
        <v>31400.0</v>
      </c>
      <c r="L114" s="34" t="s">
        <v>48</v>
      </c>
      <c r="M114" s="33" t="n">
        <f>32090</f>
        <v>32090.0</v>
      </c>
      <c r="N114" s="34" t="s">
        <v>50</v>
      </c>
      <c r="O114" s="33" t="n">
        <f>27000</f>
        <v>27000.0</v>
      </c>
      <c r="P114" s="34" t="s">
        <v>49</v>
      </c>
      <c r="Q114" s="33" t="n">
        <f>32090</f>
        <v>32090.0</v>
      </c>
      <c r="R114" s="34" t="s">
        <v>50</v>
      </c>
      <c r="S114" s="35" t="n">
        <f>30359.29</f>
        <v>30359.29</v>
      </c>
      <c r="T114" s="32" t="n">
        <f>41378</f>
        <v>41378.0</v>
      </c>
      <c r="U114" s="32" t="n">
        <f>34047</f>
        <v>34047.0</v>
      </c>
      <c r="V114" s="32" t="n">
        <f>1282631912</f>
        <v>1.282631912E9</v>
      </c>
      <c r="W114" s="32" t="n">
        <f>1061459772</f>
        <v>1.061459772E9</v>
      </c>
      <c r="X114" s="36" t="n">
        <f>21</f>
        <v>21.0</v>
      </c>
    </row>
    <row r="115">
      <c r="A115" s="27" t="s">
        <v>42</v>
      </c>
      <c r="B115" s="27" t="s">
        <v>383</v>
      </c>
      <c r="C115" s="27" t="s">
        <v>384</v>
      </c>
      <c r="D115" s="27" t="s">
        <v>385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27810</f>
        <v>27810.0</v>
      </c>
      <c r="L115" s="34" t="s">
        <v>48</v>
      </c>
      <c r="M115" s="33" t="n">
        <f>27815</f>
        <v>27815.0</v>
      </c>
      <c r="N115" s="34" t="s">
        <v>48</v>
      </c>
      <c r="O115" s="33" t="n">
        <f>23015</f>
        <v>23015.0</v>
      </c>
      <c r="P115" s="34" t="s">
        <v>49</v>
      </c>
      <c r="Q115" s="33" t="n">
        <f>26860</f>
        <v>26860.0</v>
      </c>
      <c r="R115" s="34" t="s">
        <v>50</v>
      </c>
      <c r="S115" s="35" t="n">
        <f>25846.43</f>
        <v>25846.43</v>
      </c>
      <c r="T115" s="32" t="n">
        <f>4439</f>
        <v>4439.0</v>
      </c>
      <c r="U115" s="32" t="str">
        <f>"－"</f>
        <v>－</v>
      </c>
      <c r="V115" s="32" t="n">
        <f>114583250</f>
        <v>1.1458325E8</v>
      </c>
      <c r="W115" s="32" t="str">
        <f>"－"</f>
        <v>－</v>
      </c>
      <c r="X115" s="36" t="n">
        <f>21</f>
        <v>21.0</v>
      </c>
    </row>
    <row r="116">
      <c r="A116" s="27" t="s">
        <v>42</v>
      </c>
      <c r="B116" s="27" t="s">
        <v>386</v>
      </c>
      <c r="C116" s="27" t="s">
        <v>387</v>
      </c>
      <c r="D116" s="27" t="s">
        <v>388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26295</f>
        <v>26295.0</v>
      </c>
      <c r="L116" s="34" t="s">
        <v>48</v>
      </c>
      <c r="M116" s="33" t="n">
        <f>26725</f>
        <v>26725.0</v>
      </c>
      <c r="N116" s="34" t="s">
        <v>82</v>
      </c>
      <c r="O116" s="33" t="n">
        <f>23335</f>
        <v>23335.0</v>
      </c>
      <c r="P116" s="34" t="s">
        <v>223</v>
      </c>
      <c r="Q116" s="33" t="n">
        <f>26640</f>
        <v>26640.0</v>
      </c>
      <c r="R116" s="34" t="s">
        <v>50</v>
      </c>
      <c r="S116" s="35" t="n">
        <f>25303.81</f>
        <v>25303.81</v>
      </c>
      <c r="T116" s="32" t="n">
        <f>19110</f>
        <v>19110.0</v>
      </c>
      <c r="U116" s="32" t="n">
        <f>5</f>
        <v>5.0</v>
      </c>
      <c r="V116" s="32" t="n">
        <f>476567660</f>
        <v>4.7656766E8</v>
      </c>
      <c r="W116" s="32" t="n">
        <f>128855</f>
        <v>128855.0</v>
      </c>
      <c r="X116" s="36" t="n">
        <f>21</f>
        <v>21.0</v>
      </c>
    </row>
    <row r="117">
      <c r="A117" s="27" t="s">
        <v>42</v>
      </c>
      <c r="B117" s="27" t="s">
        <v>389</v>
      </c>
      <c r="C117" s="27" t="s">
        <v>390</v>
      </c>
      <c r="D117" s="27" t="s">
        <v>391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30080</f>
        <v>30080.0</v>
      </c>
      <c r="L117" s="34" t="s">
        <v>48</v>
      </c>
      <c r="M117" s="33" t="n">
        <f>31150</f>
        <v>31150.0</v>
      </c>
      <c r="N117" s="34" t="s">
        <v>71</v>
      </c>
      <c r="O117" s="33" t="n">
        <f>24040</f>
        <v>24040.0</v>
      </c>
      <c r="P117" s="34" t="s">
        <v>49</v>
      </c>
      <c r="Q117" s="33" t="n">
        <f>30350</f>
        <v>30350.0</v>
      </c>
      <c r="R117" s="34" t="s">
        <v>50</v>
      </c>
      <c r="S117" s="35" t="n">
        <f>28288.57</f>
        <v>28288.57</v>
      </c>
      <c r="T117" s="32" t="n">
        <f>30697</f>
        <v>30697.0</v>
      </c>
      <c r="U117" s="32" t="n">
        <f>3</f>
        <v>3.0</v>
      </c>
      <c r="V117" s="32" t="n">
        <f>872234371</f>
        <v>8.72234371E8</v>
      </c>
      <c r="W117" s="32" t="n">
        <f>87411</f>
        <v>87411.0</v>
      </c>
      <c r="X117" s="36" t="n">
        <f>21</f>
        <v>21.0</v>
      </c>
    </row>
    <row r="118">
      <c r="A118" s="27" t="s">
        <v>42</v>
      </c>
      <c r="B118" s="27" t="s">
        <v>392</v>
      </c>
      <c r="C118" s="27" t="s">
        <v>393</v>
      </c>
      <c r="D118" s="27" t="s">
        <v>394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26745</f>
        <v>26745.0</v>
      </c>
      <c r="L118" s="34" t="s">
        <v>48</v>
      </c>
      <c r="M118" s="33" t="n">
        <f>26875</f>
        <v>26875.0</v>
      </c>
      <c r="N118" s="34" t="s">
        <v>48</v>
      </c>
      <c r="O118" s="33" t="n">
        <f>19615</f>
        <v>19615.0</v>
      </c>
      <c r="P118" s="34" t="s">
        <v>49</v>
      </c>
      <c r="Q118" s="33" t="n">
        <f>25375</f>
        <v>25375.0</v>
      </c>
      <c r="R118" s="34" t="s">
        <v>50</v>
      </c>
      <c r="S118" s="35" t="n">
        <f>24319.52</f>
        <v>24319.52</v>
      </c>
      <c r="T118" s="32" t="n">
        <f>6455</f>
        <v>6455.0</v>
      </c>
      <c r="U118" s="32" t="n">
        <f>3</f>
        <v>3.0</v>
      </c>
      <c r="V118" s="32" t="n">
        <f>152834240</f>
        <v>1.5283424E8</v>
      </c>
      <c r="W118" s="32" t="n">
        <f>67155</f>
        <v>67155.0</v>
      </c>
      <c r="X118" s="36" t="n">
        <f>21</f>
        <v>21.0</v>
      </c>
    </row>
    <row r="119">
      <c r="A119" s="27" t="s">
        <v>42</v>
      </c>
      <c r="B119" s="27" t="s">
        <v>395</v>
      </c>
      <c r="C119" s="27" t="s">
        <v>396</v>
      </c>
      <c r="D119" s="27" t="s">
        <v>397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56800</f>
        <v>56800.0</v>
      </c>
      <c r="L119" s="34" t="s">
        <v>48</v>
      </c>
      <c r="M119" s="33" t="n">
        <f>57070</f>
        <v>57070.0</v>
      </c>
      <c r="N119" s="34" t="s">
        <v>82</v>
      </c>
      <c r="O119" s="33" t="n">
        <f>47250</f>
        <v>47250.0</v>
      </c>
      <c r="P119" s="34" t="s">
        <v>49</v>
      </c>
      <c r="Q119" s="33" t="n">
        <f>55710</f>
        <v>55710.0</v>
      </c>
      <c r="R119" s="34" t="s">
        <v>50</v>
      </c>
      <c r="S119" s="35" t="n">
        <f>53654.29</f>
        <v>53654.29</v>
      </c>
      <c r="T119" s="32" t="n">
        <f>7768</f>
        <v>7768.0</v>
      </c>
      <c r="U119" s="32" t="n">
        <f>33</f>
        <v>33.0</v>
      </c>
      <c r="V119" s="32" t="n">
        <f>399341010</f>
        <v>3.9934101E8</v>
      </c>
      <c r="W119" s="32" t="n">
        <f>1786270</f>
        <v>1786270.0</v>
      </c>
      <c r="X119" s="36" t="n">
        <f>21</f>
        <v>21.0</v>
      </c>
    </row>
    <row r="120">
      <c r="A120" s="27" t="s">
        <v>42</v>
      </c>
      <c r="B120" s="27" t="s">
        <v>398</v>
      </c>
      <c r="C120" s="27" t="s">
        <v>399</v>
      </c>
      <c r="D120" s="27" t="s">
        <v>400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37030</f>
        <v>37030.0</v>
      </c>
      <c r="L120" s="34" t="s">
        <v>48</v>
      </c>
      <c r="M120" s="33" t="n">
        <f>37030</f>
        <v>37030.0</v>
      </c>
      <c r="N120" s="34" t="s">
        <v>48</v>
      </c>
      <c r="O120" s="33" t="n">
        <f>29505</f>
        <v>29505.0</v>
      </c>
      <c r="P120" s="34" t="s">
        <v>49</v>
      </c>
      <c r="Q120" s="33" t="n">
        <f>36200</f>
        <v>36200.0</v>
      </c>
      <c r="R120" s="34" t="s">
        <v>50</v>
      </c>
      <c r="S120" s="35" t="n">
        <f>34160.95</f>
        <v>34160.95</v>
      </c>
      <c r="T120" s="32" t="n">
        <f>15424</f>
        <v>15424.0</v>
      </c>
      <c r="U120" s="32" t="n">
        <f>28</f>
        <v>28.0</v>
      </c>
      <c r="V120" s="32" t="n">
        <f>516957710</f>
        <v>5.1695771E8</v>
      </c>
      <c r="W120" s="32" t="n">
        <f>941260</f>
        <v>941260.0</v>
      </c>
      <c r="X120" s="36" t="n">
        <f>21</f>
        <v>21.0</v>
      </c>
    </row>
    <row r="121">
      <c r="A121" s="27" t="s">
        <v>42</v>
      </c>
      <c r="B121" s="27" t="s">
        <v>401</v>
      </c>
      <c r="C121" s="27" t="s">
        <v>402</v>
      </c>
      <c r="D121" s="27" t="s">
        <v>403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36350</f>
        <v>36350.0</v>
      </c>
      <c r="L121" s="34" t="s">
        <v>48</v>
      </c>
      <c r="M121" s="33" t="n">
        <f>37520</f>
        <v>37520.0</v>
      </c>
      <c r="N121" s="34" t="s">
        <v>50</v>
      </c>
      <c r="O121" s="33" t="n">
        <f>30330</f>
        <v>30330.0</v>
      </c>
      <c r="P121" s="34" t="s">
        <v>49</v>
      </c>
      <c r="Q121" s="33" t="n">
        <f>37520</f>
        <v>37520.0</v>
      </c>
      <c r="R121" s="34" t="s">
        <v>50</v>
      </c>
      <c r="S121" s="35" t="n">
        <f>35755.24</f>
        <v>35755.24</v>
      </c>
      <c r="T121" s="32" t="n">
        <f>5320</f>
        <v>5320.0</v>
      </c>
      <c r="U121" s="32" t="n">
        <f>47</f>
        <v>47.0</v>
      </c>
      <c r="V121" s="32" t="n">
        <f>185753390</f>
        <v>1.8575339E8</v>
      </c>
      <c r="W121" s="32" t="n">
        <f>1649660</f>
        <v>1649660.0</v>
      </c>
      <c r="X121" s="36" t="n">
        <f>21</f>
        <v>21.0</v>
      </c>
    </row>
    <row r="122">
      <c r="A122" s="27" t="s">
        <v>42</v>
      </c>
      <c r="B122" s="27" t="s">
        <v>404</v>
      </c>
      <c r="C122" s="27" t="s">
        <v>405</v>
      </c>
      <c r="D122" s="27" t="s">
        <v>406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8546</f>
        <v>8546.0</v>
      </c>
      <c r="L122" s="34" t="s">
        <v>48</v>
      </c>
      <c r="M122" s="33" t="n">
        <f>8605</f>
        <v>8605.0</v>
      </c>
      <c r="N122" s="34" t="s">
        <v>71</v>
      </c>
      <c r="O122" s="33" t="n">
        <f>7480</f>
        <v>7480.0</v>
      </c>
      <c r="P122" s="34" t="s">
        <v>49</v>
      </c>
      <c r="Q122" s="33" t="n">
        <f>8513</f>
        <v>8513.0</v>
      </c>
      <c r="R122" s="34" t="s">
        <v>50</v>
      </c>
      <c r="S122" s="35" t="n">
        <f>8171.48</f>
        <v>8171.48</v>
      </c>
      <c r="T122" s="32" t="n">
        <f>28158</f>
        <v>28158.0</v>
      </c>
      <c r="U122" s="32" t="str">
        <f>"－"</f>
        <v>－</v>
      </c>
      <c r="V122" s="32" t="n">
        <f>229277069</f>
        <v>2.29277069E8</v>
      </c>
      <c r="W122" s="32" t="str">
        <f>"－"</f>
        <v>－</v>
      </c>
      <c r="X122" s="36" t="n">
        <f>21</f>
        <v>21.0</v>
      </c>
    </row>
    <row r="123">
      <c r="A123" s="27" t="s">
        <v>42</v>
      </c>
      <c r="B123" s="27" t="s">
        <v>407</v>
      </c>
      <c r="C123" s="27" t="s">
        <v>408</v>
      </c>
      <c r="D123" s="27" t="s">
        <v>409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18680</f>
        <v>18680.0</v>
      </c>
      <c r="L123" s="34" t="s">
        <v>48</v>
      </c>
      <c r="M123" s="33" t="n">
        <f>19250</f>
        <v>19250.0</v>
      </c>
      <c r="N123" s="34" t="s">
        <v>289</v>
      </c>
      <c r="O123" s="33" t="n">
        <f>15525</f>
        <v>15525.0</v>
      </c>
      <c r="P123" s="34" t="s">
        <v>49</v>
      </c>
      <c r="Q123" s="33" t="n">
        <f>18610</f>
        <v>18610.0</v>
      </c>
      <c r="R123" s="34" t="s">
        <v>50</v>
      </c>
      <c r="S123" s="35" t="n">
        <f>18495.71</f>
        <v>18495.71</v>
      </c>
      <c r="T123" s="32" t="n">
        <f>5839</f>
        <v>5839.0</v>
      </c>
      <c r="U123" s="32" t="n">
        <f>5</f>
        <v>5.0</v>
      </c>
      <c r="V123" s="32" t="n">
        <f>106818418</f>
        <v>1.06818418E8</v>
      </c>
      <c r="W123" s="32" t="n">
        <f>92208</f>
        <v>92208.0</v>
      </c>
      <c r="X123" s="36" t="n">
        <f>21</f>
        <v>21.0</v>
      </c>
    </row>
    <row r="124">
      <c r="A124" s="27" t="s">
        <v>42</v>
      </c>
      <c r="B124" s="27" t="s">
        <v>410</v>
      </c>
      <c r="C124" s="27" t="s">
        <v>411</v>
      </c>
      <c r="D124" s="27" t="s">
        <v>412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81100</f>
        <v>81100.0</v>
      </c>
      <c r="L124" s="34" t="s">
        <v>48</v>
      </c>
      <c r="M124" s="33" t="n">
        <f>82960</f>
        <v>82960.0</v>
      </c>
      <c r="N124" s="34" t="s">
        <v>50</v>
      </c>
      <c r="O124" s="33" t="n">
        <f>67340</f>
        <v>67340.0</v>
      </c>
      <c r="P124" s="34" t="s">
        <v>49</v>
      </c>
      <c r="Q124" s="33" t="n">
        <f>82900</f>
        <v>82900.0</v>
      </c>
      <c r="R124" s="34" t="s">
        <v>50</v>
      </c>
      <c r="S124" s="35" t="n">
        <f>77495.71</f>
        <v>77495.71</v>
      </c>
      <c r="T124" s="32" t="n">
        <f>26409</f>
        <v>26409.0</v>
      </c>
      <c r="U124" s="32" t="n">
        <f>2031</f>
        <v>2031.0</v>
      </c>
      <c r="V124" s="32" t="n">
        <f>2017178526</f>
        <v>2.017178526E9</v>
      </c>
      <c r="W124" s="32" t="n">
        <f>153879256</f>
        <v>1.53879256E8</v>
      </c>
      <c r="X124" s="36" t="n">
        <f>21</f>
        <v>21.0</v>
      </c>
    </row>
    <row r="125">
      <c r="A125" s="27" t="s">
        <v>42</v>
      </c>
      <c r="B125" s="27" t="s">
        <v>413</v>
      </c>
      <c r="C125" s="27" t="s">
        <v>414</v>
      </c>
      <c r="D125" s="27" t="s">
        <v>415</v>
      </c>
      <c r="E125" s="28" t="s">
        <v>46</v>
      </c>
      <c r="F125" s="29" t="s">
        <v>46</v>
      </c>
      <c r="G125" s="30" t="s">
        <v>46</v>
      </c>
      <c r="H125" s="31"/>
      <c r="I125" s="31" t="s">
        <v>416</v>
      </c>
      <c r="J125" s="32" t="n">
        <v>1.0</v>
      </c>
      <c r="K125" s="33" t="n">
        <f>9641</f>
        <v>9641.0</v>
      </c>
      <c r="L125" s="34" t="s">
        <v>48</v>
      </c>
      <c r="M125" s="33" t="n">
        <f>9678</f>
        <v>9678.0</v>
      </c>
      <c r="N125" s="34" t="s">
        <v>48</v>
      </c>
      <c r="O125" s="33" t="n">
        <f>8138</f>
        <v>8138.0</v>
      </c>
      <c r="P125" s="34" t="s">
        <v>49</v>
      </c>
      <c r="Q125" s="33" t="n">
        <f>9536</f>
        <v>9536.0</v>
      </c>
      <c r="R125" s="34" t="s">
        <v>50</v>
      </c>
      <c r="S125" s="35" t="n">
        <f>9035.33</f>
        <v>9035.33</v>
      </c>
      <c r="T125" s="32" t="n">
        <f>4328</f>
        <v>4328.0</v>
      </c>
      <c r="U125" s="32" t="str">
        <f>"－"</f>
        <v>－</v>
      </c>
      <c r="V125" s="32" t="n">
        <f>40849378</f>
        <v>4.0849378E7</v>
      </c>
      <c r="W125" s="32" t="str">
        <f>"－"</f>
        <v>－</v>
      </c>
      <c r="X125" s="36" t="n">
        <f>21</f>
        <v>21.0</v>
      </c>
    </row>
    <row r="126">
      <c r="A126" s="27" t="s">
        <v>42</v>
      </c>
      <c r="B126" s="27" t="s">
        <v>417</v>
      </c>
      <c r="C126" s="27" t="s">
        <v>418</v>
      </c>
      <c r="D126" s="27" t="s">
        <v>419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30980</f>
        <v>30980.0</v>
      </c>
      <c r="L126" s="34" t="s">
        <v>48</v>
      </c>
      <c r="M126" s="33" t="n">
        <f>32780</f>
        <v>32780.0</v>
      </c>
      <c r="N126" s="34" t="s">
        <v>105</v>
      </c>
      <c r="O126" s="33" t="n">
        <f>26830</f>
        <v>26830.0</v>
      </c>
      <c r="P126" s="34" t="s">
        <v>49</v>
      </c>
      <c r="Q126" s="33" t="n">
        <f>32680</f>
        <v>32680.0</v>
      </c>
      <c r="R126" s="34" t="s">
        <v>50</v>
      </c>
      <c r="S126" s="35" t="n">
        <f>31273.33</f>
        <v>31273.33</v>
      </c>
      <c r="T126" s="32" t="n">
        <f>12914</f>
        <v>12914.0</v>
      </c>
      <c r="U126" s="32" t="n">
        <f>70</f>
        <v>70.0</v>
      </c>
      <c r="V126" s="32" t="n">
        <f>400583055</f>
        <v>4.00583055E8</v>
      </c>
      <c r="W126" s="32" t="n">
        <f>2222975</f>
        <v>2222975.0</v>
      </c>
      <c r="X126" s="36" t="n">
        <f>21</f>
        <v>21.0</v>
      </c>
    </row>
    <row r="127">
      <c r="A127" s="27" t="s">
        <v>42</v>
      </c>
      <c r="B127" s="27" t="s">
        <v>420</v>
      </c>
      <c r="C127" s="27" t="s">
        <v>421</v>
      </c>
      <c r="D127" s="27" t="s">
        <v>422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22320</f>
        <v>22320.0</v>
      </c>
      <c r="L127" s="34" t="s">
        <v>48</v>
      </c>
      <c r="M127" s="33" t="n">
        <f>22430</f>
        <v>22430.0</v>
      </c>
      <c r="N127" s="34" t="s">
        <v>48</v>
      </c>
      <c r="O127" s="33" t="n">
        <f>14770</f>
        <v>14770.0</v>
      </c>
      <c r="P127" s="34" t="s">
        <v>49</v>
      </c>
      <c r="Q127" s="33" t="n">
        <f>19970</f>
        <v>19970.0</v>
      </c>
      <c r="R127" s="34" t="s">
        <v>50</v>
      </c>
      <c r="S127" s="35" t="n">
        <f>18943.33</f>
        <v>18943.33</v>
      </c>
      <c r="T127" s="32" t="n">
        <f>149763</f>
        <v>149763.0</v>
      </c>
      <c r="U127" s="32" t="n">
        <f>2088</f>
        <v>2088.0</v>
      </c>
      <c r="V127" s="32" t="n">
        <f>2823823410</f>
        <v>2.82382341E9</v>
      </c>
      <c r="W127" s="32" t="n">
        <f>37632885</f>
        <v>3.7632885E7</v>
      </c>
      <c r="X127" s="36" t="n">
        <f>21</f>
        <v>21.0</v>
      </c>
    </row>
    <row r="128">
      <c r="A128" s="27" t="s">
        <v>42</v>
      </c>
      <c r="B128" s="27" t="s">
        <v>423</v>
      </c>
      <c r="C128" s="27" t="s">
        <v>424</v>
      </c>
      <c r="D128" s="27" t="s">
        <v>425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29300</f>
        <v>29300.0</v>
      </c>
      <c r="L128" s="34" t="s">
        <v>48</v>
      </c>
      <c r="M128" s="33" t="n">
        <f>29300</f>
        <v>29300.0</v>
      </c>
      <c r="N128" s="34" t="s">
        <v>48</v>
      </c>
      <c r="O128" s="33" t="n">
        <f>21280</f>
        <v>21280.0</v>
      </c>
      <c r="P128" s="34" t="s">
        <v>49</v>
      </c>
      <c r="Q128" s="33" t="n">
        <f>28470</f>
        <v>28470.0</v>
      </c>
      <c r="R128" s="34" t="s">
        <v>50</v>
      </c>
      <c r="S128" s="35" t="n">
        <f>26458.33</f>
        <v>26458.33</v>
      </c>
      <c r="T128" s="32" t="n">
        <f>36377</f>
        <v>36377.0</v>
      </c>
      <c r="U128" s="32" t="n">
        <f>2</f>
        <v>2.0</v>
      </c>
      <c r="V128" s="32" t="n">
        <f>942920297</f>
        <v>9.42920297E8</v>
      </c>
      <c r="W128" s="32" t="n">
        <f>53132</f>
        <v>53132.0</v>
      </c>
      <c r="X128" s="36" t="n">
        <f>21</f>
        <v>21.0</v>
      </c>
    </row>
    <row r="129">
      <c r="A129" s="27" t="s">
        <v>42</v>
      </c>
      <c r="B129" s="27" t="s">
        <v>426</v>
      </c>
      <c r="C129" s="27" t="s">
        <v>427</v>
      </c>
      <c r="D129" s="27" t="s">
        <v>428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40980</f>
        <v>40980.0</v>
      </c>
      <c r="L129" s="34" t="s">
        <v>48</v>
      </c>
      <c r="M129" s="33" t="n">
        <f>42190</f>
        <v>42190.0</v>
      </c>
      <c r="N129" s="34" t="s">
        <v>105</v>
      </c>
      <c r="O129" s="33" t="n">
        <f>36990</f>
        <v>36990.0</v>
      </c>
      <c r="P129" s="34" t="s">
        <v>49</v>
      </c>
      <c r="Q129" s="33" t="n">
        <f>41180</f>
        <v>41180.0</v>
      </c>
      <c r="R129" s="34" t="s">
        <v>50</v>
      </c>
      <c r="S129" s="35" t="n">
        <f>40408.57</f>
        <v>40408.57</v>
      </c>
      <c r="T129" s="32" t="n">
        <f>58440</f>
        <v>58440.0</v>
      </c>
      <c r="U129" s="32" t="n">
        <f>50791</f>
        <v>50791.0</v>
      </c>
      <c r="V129" s="32" t="n">
        <f>2376539296</f>
        <v>2.376539296E9</v>
      </c>
      <c r="W129" s="32" t="n">
        <f>2072769156</f>
        <v>2.072769156E9</v>
      </c>
      <c r="X129" s="36" t="n">
        <f>21</f>
        <v>21.0</v>
      </c>
    </row>
    <row r="130">
      <c r="A130" s="27" t="s">
        <v>42</v>
      </c>
      <c r="B130" s="27" t="s">
        <v>429</v>
      </c>
      <c r="C130" s="27" t="s">
        <v>430</v>
      </c>
      <c r="D130" s="27" t="s">
        <v>431</v>
      </c>
      <c r="E130" s="28" t="s">
        <v>46</v>
      </c>
      <c r="F130" s="29" t="s">
        <v>46</v>
      </c>
      <c r="G130" s="30" t="s">
        <v>46</v>
      </c>
      <c r="H130" s="31"/>
      <c r="I130" s="31" t="s">
        <v>416</v>
      </c>
      <c r="J130" s="32" t="n">
        <v>1.0</v>
      </c>
      <c r="K130" s="33" t="n">
        <f>7503</f>
        <v>7503.0</v>
      </c>
      <c r="L130" s="34" t="s">
        <v>48</v>
      </c>
      <c r="M130" s="33" t="n">
        <f>7527</f>
        <v>7527.0</v>
      </c>
      <c r="N130" s="34" t="s">
        <v>48</v>
      </c>
      <c r="O130" s="33" t="n">
        <f>5845</f>
        <v>5845.0</v>
      </c>
      <c r="P130" s="34" t="s">
        <v>49</v>
      </c>
      <c r="Q130" s="33" t="n">
        <f>7257</f>
        <v>7257.0</v>
      </c>
      <c r="R130" s="34" t="s">
        <v>50</v>
      </c>
      <c r="S130" s="35" t="n">
        <f>6858.38</f>
        <v>6858.38</v>
      </c>
      <c r="T130" s="32" t="n">
        <f>49993</f>
        <v>49993.0</v>
      </c>
      <c r="U130" s="32" t="n">
        <f>2</f>
        <v>2.0</v>
      </c>
      <c r="V130" s="32" t="n">
        <f>338852232</f>
        <v>3.38852232E8</v>
      </c>
      <c r="W130" s="32" t="n">
        <f>13070</f>
        <v>13070.0</v>
      </c>
      <c r="X130" s="36" t="n">
        <f>21</f>
        <v>21.0</v>
      </c>
    </row>
    <row r="131">
      <c r="A131" s="27" t="s">
        <v>42</v>
      </c>
      <c r="B131" s="27" t="s">
        <v>432</v>
      </c>
      <c r="C131" s="27" t="s">
        <v>433</v>
      </c>
      <c r="D131" s="27" t="s">
        <v>434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1.0</v>
      </c>
      <c r="K131" s="33" t="n">
        <f>2104</f>
        <v>2104.0</v>
      </c>
      <c r="L131" s="34" t="s">
        <v>48</v>
      </c>
      <c r="M131" s="33" t="n">
        <f>2104</f>
        <v>2104.0</v>
      </c>
      <c r="N131" s="34" t="s">
        <v>48</v>
      </c>
      <c r="O131" s="33" t="n">
        <f>1691</f>
        <v>1691.0</v>
      </c>
      <c r="P131" s="34" t="s">
        <v>49</v>
      </c>
      <c r="Q131" s="33" t="n">
        <f>2049</f>
        <v>2049.0</v>
      </c>
      <c r="R131" s="34" t="s">
        <v>50</v>
      </c>
      <c r="S131" s="35" t="n">
        <f>1952.95</f>
        <v>1952.95</v>
      </c>
      <c r="T131" s="32" t="n">
        <f>1492059</f>
        <v>1492059.0</v>
      </c>
      <c r="U131" s="32" t="n">
        <f>619600</f>
        <v>619600.0</v>
      </c>
      <c r="V131" s="32" t="n">
        <f>2881202350</f>
        <v>2.88120235E9</v>
      </c>
      <c r="W131" s="32" t="n">
        <f>1202153234</f>
        <v>1.202153234E9</v>
      </c>
      <c r="X131" s="36" t="n">
        <f>21</f>
        <v>21.0</v>
      </c>
    </row>
    <row r="132">
      <c r="A132" s="27" t="s">
        <v>42</v>
      </c>
      <c r="B132" s="27" t="s">
        <v>435</v>
      </c>
      <c r="C132" s="27" t="s">
        <v>436</v>
      </c>
      <c r="D132" s="27" t="s">
        <v>437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3067</f>
        <v>3067.0</v>
      </c>
      <c r="L132" s="34" t="s">
        <v>95</v>
      </c>
      <c r="M132" s="33" t="n">
        <f>3118</f>
        <v>3118.0</v>
      </c>
      <c r="N132" s="34" t="s">
        <v>50</v>
      </c>
      <c r="O132" s="33" t="n">
        <f>2759.5</f>
        <v>2759.5</v>
      </c>
      <c r="P132" s="34" t="s">
        <v>49</v>
      </c>
      <c r="Q132" s="33" t="n">
        <f>3118</f>
        <v>3118.0</v>
      </c>
      <c r="R132" s="34" t="s">
        <v>50</v>
      </c>
      <c r="S132" s="35" t="n">
        <f>2952.92</f>
        <v>2952.92</v>
      </c>
      <c r="T132" s="32" t="n">
        <f>169790</f>
        <v>169790.0</v>
      </c>
      <c r="U132" s="32" t="n">
        <f>35000</f>
        <v>35000.0</v>
      </c>
      <c r="V132" s="32" t="n">
        <f>497497040</f>
        <v>4.9749704E8</v>
      </c>
      <c r="W132" s="32" t="n">
        <f>100751000</f>
        <v>1.00751E8</v>
      </c>
      <c r="X132" s="36" t="n">
        <f>12</f>
        <v>12.0</v>
      </c>
    </row>
    <row r="133">
      <c r="A133" s="27" t="s">
        <v>42</v>
      </c>
      <c r="B133" s="27" t="s">
        <v>438</v>
      </c>
      <c r="C133" s="27" t="s">
        <v>439</v>
      </c>
      <c r="D133" s="27" t="s">
        <v>440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3476</f>
        <v>3476.0</v>
      </c>
      <c r="L133" s="34" t="s">
        <v>48</v>
      </c>
      <c r="M133" s="33" t="n">
        <f>3476</f>
        <v>3476.0</v>
      </c>
      <c r="N133" s="34" t="s">
        <v>48</v>
      </c>
      <c r="O133" s="33" t="n">
        <f>2888</f>
        <v>2888.0</v>
      </c>
      <c r="P133" s="34" t="s">
        <v>49</v>
      </c>
      <c r="Q133" s="33" t="n">
        <f>3437</f>
        <v>3437.0</v>
      </c>
      <c r="R133" s="34" t="s">
        <v>50</v>
      </c>
      <c r="S133" s="35" t="n">
        <f>3272.75</f>
        <v>3272.75</v>
      </c>
      <c r="T133" s="32" t="n">
        <f>247410</f>
        <v>247410.0</v>
      </c>
      <c r="U133" s="32" t="n">
        <f>137140</f>
        <v>137140.0</v>
      </c>
      <c r="V133" s="32" t="n">
        <f>765934580</f>
        <v>7.6593458E8</v>
      </c>
      <c r="W133" s="32" t="n">
        <f>410890280</f>
        <v>4.1089028E8</v>
      </c>
      <c r="X133" s="36" t="n">
        <f>20</f>
        <v>20.0</v>
      </c>
    </row>
    <row r="134">
      <c r="A134" s="27" t="s">
        <v>42</v>
      </c>
      <c r="B134" s="27" t="s">
        <v>441</v>
      </c>
      <c r="C134" s="27" t="s">
        <v>442</v>
      </c>
      <c r="D134" s="27" t="s">
        <v>443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1867.5</f>
        <v>1867.5</v>
      </c>
      <c r="L134" s="34" t="s">
        <v>49</v>
      </c>
      <c r="M134" s="33" t="n">
        <f>2023</f>
        <v>2023.0</v>
      </c>
      <c r="N134" s="34" t="s">
        <v>444</v>
      </c>
      <c r="O134" s="33" t="n">
        <f>1867.5</f>
        <v>1867.5</v>
      </c>
      <c r="P134" s="34" t="s">
        <v>49</v>
      </c>
      <c r="Q134" s="33" t="n">
        <f>2023</f>
        <v>2023.0</v>
      </c>
      <c r="R134" s="34" t="s">
        <v>444</v>
      </c>
      <c r="S134" s="35" t="n">
        <f>1945.25</f>
        <v>1945.25</v>
      </c>
      <c r="T134" s="32" t="n">
        <f>50</f>
        <v>50.0</v>
      </c>
      <c r="U134" s="32" t="str">
        <f>"－"</f>
        <v>－</v>
      </c>
      <c r="V134" s="32" t="n">
        <f>99465</f>
        <v>99465.0</v>
      </c>
      <c r="W134" s="32" t="str">
        <f>"－"</f>
        <v>－</v>
      </c>
      <c r="X134" s="36" t="n">
        <f>2</f>
        <v>2.0</v>
      </c>
    </row>
    <row r="135">
      <c r="A135" s="27" t="s">
        <v>42</v>
      </c>
      <c r="B135" s="27" t="s">
        <v>445</v>
      </c>
      <c r="C135" s="27" t="s">
        <v>446</v>
      </c>
      <c r="D135" s="27" t="s">
        <v>447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603.5</f>
        <v>603.5</v>
      </c>
      <c r="L135" s="34" t="s">
        <v>48</v>
      </c>
      <c r="M135" s="33" t="n">
        <f>608.4</f>
        <v>608.4</v>
      </c>
      <c r="N135" s="34" t="s">
        <v>82</v>
      </c>
      <c r="O135" s="33" t="n">
        <f>505.4</f>
        <v>505.4</v>
      </c>
      <c r="P135" s="34" t="s">
        <v>78</v>
      </c>
      <c r="Q135" s="33" t="n">
        <f>570</f>
        <v>570.0</v>
      </c>
      <c r="R135" s="34" t="s">
        <v>50</v>
      </c>
      <c r="S135" s="35" t="n">
        <f>556.3</f>
        <v>556.3</v>
      </c>
      <c r="T135" s="32" t="n">
        <f>115346070</f>
        <v>1.1534607E8</v>
      </c>
      <c r="U135" s="32" t="n">
        <f>3184820</f>
        <v>3184820.0</v>
      </c>
      <c r="V135" s="32" t="n">
        <f>63042076385</f>
        <v>6.3042076385E10</v>
      </c>
      <c r="W135" s="32" t="n">
        <f>1749315827</f>
        <v>1.749315827E9</v>
      </c>
      <c r="X135" s="36" t="n">
        <f>21</f>
        <v>21.0</v>
      </c>
    </row>
    <row r="136">
      <c r="A136" s="27" t="s">
        <v>42</v>
      </c>
      <c r="B136" s="27" t="s">
        <v>448</v>
      </c>
      <c r="C136" s="27" t="s">
        <v>449</v>
      </c>
      <c r="D136" s="27" t="s">
        <v>450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299.2</f>
        <v>299.2</v>
      </c>
      <c r="L136" s="34" t="s">
        <v>48</v>
      </c>
      <c r="M136" s="33" t="n">
        <f>302.3</f>
        <v>302.3</v>
      </c>
      <c r="N136" s="34" t="s">
        <v>49</v>
      </c>
      <c r="O136" s="33" t="n">
        <f>274.2</f>
        <v>274.2</v>
      </c>
      <c r="P136" s="34" t="s">
        <v>86</v>
      </c>
      <c r="Q136" s="33" t="n">
        <f>285.1</f>
        <v>285.1</v>
      </c>
      <c r="R136" s="34" t="s">
        <v>50</v>
      </c>
      <c r="S136" s="35" t="n">
        <f>286.88</f>
        <v>286.88</v>
      </c>
      <c r="T136" s="32" t="n">
        <f>16876780</f>
        <v>1.687678E7</v>
      </c>
      <c r="U136" s="32" t="n">
        <f>12960520</f>
        <v>1.296052E7</v>
      </c>
      <c r="V136" s="32" t="n">
        <f>4953873335</f>
        <v>4.953873335E9</v>
      </c>
      <c r="W136" s="32" t="n">
        <f>3829714171</f>
        <v>3.829714171E9</v>
      </c>
      <c r="X136" s="36" t="n">
        <f>21</f>
        <v>21.0</v>
      </c>
    </row>
    <row r="137">
      <c r="A137" s="27" t="s">
        <v>42</v>
      </c>
      <c r="B137" s="27" t="s">
        <v>451</v>
      </c>
      <c r="C137" s="27" t="s">
        <v>452</v>
      </c>
      <c r="D137" s="27" t="s">
        <v>453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5050</f>
        <v>5050.0</v>
      </c>
      <c r="L137" s="34" t="s">
        <v>48</v>
      </c>
      <c r="M137" s="33" t="n">
        <f>5100</f>
        <v>5100.0</v>
      </c>
      <c r="N137" s="34" t="s">
        <v>82</v>
      </c>
      <c r="O137" s="33" t="n">
        <f>4300</f>
        <v>4300.0</v>
      </c>
      <c r="P137" s="34" t="s">
        <v>78</v>
      </c>
      <c r="Q137" s="33" t="n">
        <f>4845</f>
        <v>4845.0</v>
      </c>
      <c r="R137" s="34" t="s">
        <v>50</v>
      </c>
      <c r="S137" s="35" t="n">
        <f>4701.43</f>
        <v>4701.43</v>
      </c>
      <c r="T137" s="32" t="n">
        <f>103789</f>
        <v>103789.0</v>
      </c>
      <c r="U137" s="32" t="n">
        <f>1361</f>
        <v>1361.0</v>
      </c>
      <c r="V137" s="32" t="n">
        <f>478057932</f>
        <v>4.78057932E8</v>
      </c>
      <c r="W137" s="32" t="n">
        <f>5939942</f>
        <v>5939942.0</v>
      </c>
      <c r="X137" s="36" t="n">
        <f>21</f>
        <v>21.0</v>
      </c>
    </row>
    <row r="138">
      <c r="A138" s="27" t="s">
        <v>42</v>
      </c>
      <c r="B138" s="27" t="s">
        <v>454</v>
      </c>
      <c r="C138" s="27" t="s">
        <v>455</v>
      </c>
      <c r="D138" s="27" t="s">
        <v>456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2715</f>
        <v>2715.0</v>
      </c>
      <c r="L138" s="34" t="s">
        <v>48</v>
      </c>
      <c r="M138" s="33" t="n">
        <f>2745</f>
        <v>2745.0</v>
      </c>
      <c r="N138" s="34" t="s">
        <v>48</v>
      </c>
      <c r="O138" s="33" t="n">
        <f>2338</f>
        <v>2338.0</v>
      </c>
      <c r="P138" s="34" t="s">
        <v>78</v>
      </c>
      <c r="Q138" s="33" t="n">
        <f>2590</f>
        <v>2590.0</v>
      </c>
      <c r="R138" s="34" t="s">
        <v>50</v>
      </c>
      <c r="S138" s="35" t="n">
        <f>2552.95</f>
        <v>2552.95</v>
      </c>
      <c r="T138" s="32" t="n">
        <f>231660</f>
        <v>231660.0</v>
      </c>
      <c r="U138" s="32" t="n">
        <f>83926</f>
        <v>83926.0</v>
      </c>
      <c r="V138" s="32" t="n">
        <f>591575579</f>
        <v>5.91575579E8</v>
      </c>
      <c r="W138" s="32" t="n">
        <f>214905902</f>
        <v>2.14905902E8</v>
      </c>
      <c r="X138" s="36" t="n">
        <f>21</f>
        <v>21.0</v>
      </c>
    </row>
    <row r="139">
      <c r="A139" s="27" t="s">
        <v>42</v>
      </c>
      <c r="B139" s="27" t="s">
        <v>457</v>
      </c>
      <c r="C139" s="27" t="s">
        <v>458</v>
      </c>
      <c r="D139" s="27" t="s">
        <v>459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3185</f>
        <v>3185.0</v>
      </c>
      <c r="L139" s="34" t="s">
        <v>48</v>
      </c>
      <c r="M139" s="33" t="n">
        <f>3210</f>
        <v>3210.0</v>
      </c>
      <c r="N139" s="34" t="s">
        <v>82</v>
      </c>
      <c r="O139" s="33" t="n">
        <f>2652</f>
        <v>2652.0</v>
      </c>
      <c r="P139" s="34" t="s">
        <v>78</v>
      </c>
      <c r="Q139" s="33" t="n">
        <f>2949</f>
        <v>2949.0</v>
      </c>
      <c r="R139" s="34" t="s">
        <v>50</v>
      </c>
      <c r="S139" s="35" t="n">
        <f>2916.62</f>
        <v>2916.62</v>
      </c>
      <c r="T139" s="32" t="n">
        <f>425912</f>
        <v>425912.0</v>
      </c>
      <c r="U139" s="32" t="str">
        <f>"－"</f>
        <v>－</v>
      </c>
      <c r="V139" s="32" t="n">
        <f>1239319925</f>
        <v>1.239319925E9</v>
      </c>
      <c r="W139" s="32" t="str">
        <f>"－"</f>
        <v>－</v>
      </c>
      <c r="X139" s="36" t="n">
        <f>21</f>
        <v>21.0</v>
      </c>
    </row>
    <row r="140">
      <c r="A140" s="27" t="s">
        <v>42</v>
      </c>
      <c r="B140" s="27" t="s">
        <v>460</v>
      </c>
      <c r="C140" s="27" t="s">
        <v>461</v>
      </c>
      <c r="D140" s="27" t="s">
        <v>462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9977</f>
        <v>9977.0</v>
      </c>
      <c r="L140" s="34" t="s">
        <v>48</v>
      </c>
      <c r="M140" s="33" t="n">
        <f>10030</f>
        <v>10030.0</v>
      </c>
      <c r="N140" s="34" t="s">
        <v>48</v>
      </c>
      <c r="O140" s="33" t="n">
        <f>9401</f>
        <v>9401.0</v>
      </c>
      <c r="P140" s="34" t="s">
        <v>49</v>
      </c>
      <c r="Q140" s="33" t="n">
        <f>9815</f>
        <v>9815.0</v>
      </c>
      <c r="R140" s="34" t="s">
        <v>50</v>
      </c>
      <c r="S140" s="35" t="n">
        <f>9788.76</f>
        <v>9788.76</v>
      </c>
      <c r="T140" s="32" t="n">
        <f>127897</f>
        <v>127897.0</v>
      </c>
      <c r="U140" s="32" t="n">
        <f>46190</f>
        <v>46190.0</v>
      </c>
      <c r="V140" s="32" t="n">
        <f>1252315669</f>
        <v>1.252315669E9</v>
      </c>
      <c r="W140" s="32" t="n">
        <f>457431819</f>
        <v>4.57431819E8</v>
      </c>
      <c r="X140" s="36" t="n">
        <f>21</f>
        <v>21.0</v>
      </c>
    </row>
    <row r="141">
      <c r="A141" s="27" t="s">
        <v>42</v>
      </c>
      <c r="B141" s="27" t="s">
        <v>463</v>
      </c>
      <c r="C141" s="27" t="s">
        <v>464</v>
      </c>
      <c r="D141" s="27" t="s">
        <v>465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3165</f>
        <v>3165.0</v>
      </c>
      <c r="L141" s="34" t="s">
        <v>48</v>
      </c>
      <c r="M141" s="33" t="n">
        <f>3185</f>
        <v>3185.0</v>
      </c>
      <c r="N141" s="34" t="s">
        <v>48</v>
      </c>
      <c r="O141" s="33" t="n">
        <f>2443</f>
        <v>2443.0</v>
      </c>
      <c r="P141" s="34" t="s">
        <v>78</v>
      </c>
      <c r="Q141" s="33" t="n">
        <f>2568</f>
        <v>2568.0</v>
      </c>
      <c r="R141" s="34" t="s">
        <v>50</v>
      </c>
      <c r="S141" s="35" t="n">
        <f>2725.24</f>
        <v>2725.24</v>
      </c>
      <c r="T141" s="32" t="n">
        <f>3465393</f>
        <v>3465393.0</v>
      </c>
      <c r="U141" s="32" t="n">
        <f>324</f>
        <v>324.0</v>
      </c>
      <c r="V141" s="32" t="n">
        <f>9281619440</f>
        <v>9.28161944E9</v>
      </c>
      <c r="W141" s="32" t="n">
        <f>916720</f>
        <v>916720.0</v>
      </c>
      <c r="X141" s="36" t="n">
        <f>21</f>
        <v>21.0</v>
      </c>
    </row>
    <row r="142">
      <c r="A142" s="27" t="s">
        <v>42</v>
      </c>
      <c r="B142" s="27" t="s">
        <v>466</v>
      </c>
      <c r="C142" s="27" t="s">
        <v>467</v>
      </c>
      <c r="D142" s="27" t="s">
        <v>468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43700</f>
        <v>43700.0</v>
      </c>
      <c r="L142" s="34" t="s">
        <v>48</v>
      </c>
      <c r="M142" s="33" t="n">
        <f>45850</f>
        <v>45850.0</v>
      </c>
      <c r="N142" s="34" t="s">
        <v>86</v>
      </c>
      <c r="O142" s="33" t="n">
        <f>40130</f>
        <v>40130.0</v>
      </c>
      <c r="P142" s="34" t="s">
        <v>49</v>
      </c>
      <c r="Q142" s="33" t="n">
        <f>43930</f>
        <v>43930.0</v>
      </c>
      <c r="R142" s="34" t="s">
        <v>50</v>
      </c>
      <c r="S142" s="35" t="n">
        <f>43338.57</f>
        <v>43338.57</v>
      </c>
      <c r="T142" s="32" t="n">
        <f>30763</f>
        <v>30763.0</v>
      </c>
      <c r="U142" s="32" t="str">
        <f>"－"</f>
        <v>－</v>
      </c>
      <c r="V142" s="32" t="n">
        <f>1329556900</f>
        <v>1.3295569E9</v>
      </c>
      <c r="W142" s="32" t="str">
        <f>"－"</f>
        <v>－</v>
      </c>
      <c r="X142" s="36" t="n">
        <f>21</f>
        <v>21.0</v>
      </c>
    </row>
    <row r="143">
      <c r="A143" s="27" t="s">
        <v>42</v>
      </c>
      <c r="B143" s="27" t="s">
        <v>469</v>
      </c>
      <c r="C143" s="27" t="s">
        <v>470</v>
      </c>
      <c r="D143" s="27" t="s">
        <v>471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10.0</v>
      </c>
      <c r="K143" s="33" t="n">
        <f>4680</f>
        <v>4680.0</v>
      </c>
      <c r="L143" s="34" t="s">
        <v>48</v>
      </c>
      <c r="M143" s="33" t="n">
        <f>4720</f>
        <v>4720.0</v>
      </c>
      <c r="N143" s="34" t="s">
        <v>48</v>
      </c>
      <c r="O143" s="33" t="n">
        <f>3696</f>
        <v>3696.0</v>
      </c>
      <c r="P143" s="34" t="s">
        <v>49</v>
      </c>
      <c r="Q143" s="33" t="n">
        <f>4293</f>
        <v>4293.0</v>
      </c>
      <c r="R143" s="34" t="s">
        <v>50</v>
      </c>
      <c r="S143" s="35" t="n">
        <f>4265.76</f>
        <v>4265.76</v>
      </c>
      <c r="T143" s="32" t="n">
        <f>121370</f>
        <v>121370.0</v>
      </c>
      <c r="U143" s="32" t="str">
        <f>"－"</f>
        <v>－</v>
      </c>
      <c r="V143" s="32" t="n">
        <f>515027190</f>
        <v>5.1502719E8</v>
      </c>
      <c r="W143" s="32" t="str">
        <f>"－"</f>
        <v>－</v>
      </c>
      <c r="X143" s="36" t="n">
        <f>21</f>
        <v>21.0</v>
      </c>
    </row>
    <row r="144">
      <c r="A144" s="27" t="s">
        <v>42</v>
      </c>
      <c r="B144" s="27" t="s">
        <v>472</v>
      </c>
      <c r="C144" s="27" t="s">
        <v>473</v>
      </c>
      <c r="D144" s="27" t="s">
        <v>474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13800</f>
        <v>13800.0</v>
      </c>
      <c r="L144" s="34" t="s">
        <v>48</v>
      </c>
      <c r="M144" s="33" t="n">
        <f>13800</f>
        <v>13800.0</v>
      </c>
      <c r="N144" s="34" t="s">
        <v>48</v>
      </c>
      <c r="O144" s="33" t="n">
        <f>12015</f>
        <v>12015.0</v>
      </c>
      <c r="P144" s="34" t="s">
        <v>49</v>
      </c>
      <c r="Q144" s="33" t="n">
        <f>12850</f>
        <v>12850.0</v>
      </c>
      <c r="R144" s="34" t="s">
        <v>50</v>
      </c>
      <c r="S144" s="35" t="n">
        <f>12707.86</f>
        <v>12707.86</v>
      </c>
      <c r="T144" s="32" t="n">
        <f>10532</f>
        <v>10532.0</v>
      </c>
      <c r="U144" s="32" t="str">
        <f>"－"</f>
        <v>－</v>
      </c>
      <c r="V144" s="32" t="n">
        <f>134776830</f>
        <v>1.3477683E8</v>
      </c>
      <c r="W144" s="32" t="str">
        <f>"－"</f>
        <v>－</v>
      </c>
      <c r="X144" s="36" t="n">
        <f>21</f>
        <v>21.0</v>
      </c>
    </row>
    <row r="145">
      <c r="A145" s="27" t="s">
        <v>42</v>
      </c>
      <c r="B145" s="27" t="s">
        <v>475</v>
      </c>
      <c r="C145" s="27" t="s">
        <v>476</v>
      </c>
      <c r="D145" s="27" t="s">
        <v>477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13775</f>
        <v>13775.0</v>
      </c>
      <c r="L145" s="34" t="s">
        <v>48</v>
      </c>
      <c r="M145" s="33" t="n">
        <f>13775</f>
        <v>13775.0</v>
      </c>
      <c r="N145" s="34" t="s">
        <v>48</v>
      </c>
      <c r="O145" s="33" t="n">
        <f>12000</f>
        <v>12000.0</v>
      </c>
      <c r="P145" s="34" t="s">
        <v>86</v>
      </c>
      <c r="Q145" s="33" t="n">
        <f>12260</f>
        <v>12260.0</v>
      </c>
      <c r="R145" s="34" t="s">
        <v>50</v>
      </c>
      <c r="S145" s="35" t="n">
        <f>12544.52</f>
        <v>12544.52</v>
      </c>
      <c r="T145" s="32" t="n">
        <f>20542</f>
        <v>20542.0</v>
      </c>
      <c r="U145" s="32" t="str">
        <f>"－"</f>
        <v>－</v>
      </c>
      <c r="V145" s="32" t="n">
        <f>256838825</f>
        <v>2.56838825E8</v>
      </c>
      <c r="W145" s="32" t="str">
        <f>"－"</f>
        <v>－</v>
      </c>
      <c r="X145" s="36" t="n">
        <f>21</f>
        <v>21.0</v>
      </c>
    </row>
    <row r="146">
      <c r="A146" s="27" t="s">
        <v>42</v>
      </c>
      <c r="B146" s="27" t="s">
        <v>478</v>
      </c>
      <c r="C146" s="27" t="s">
        <v>479</v>
      </c>
      <c r="D146" s="27" t="s">
        <v>480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28100</f>
        <v>28100.0</v>
      </c>
      <c r="L146" s="34" t="s">
        <v>48</v>
      </c>
      <c r="M146" s="33" t="n">
        <f>28100</f>
        <v>28100.0</v>
      </c>
      <c r="N146" s="34" t="s">
        <v>48</v>
      </c>
      <c r="O146" s="33" t="n">
        <f>24005</f>
        <v>24005.0</v>
      </c>
      <c r="P146" s="34" t="s">
        <v>49</v>
      </c>
      <c r="Q146" s="33" t="n">
        <f>27785</f>
        <v>27785.0</v>
      </c>
      <c r="R146" s="34" t="s">
        <v>50</v>
      </c>
      <c r="S146" s="35" t="n">
        <f>26864</f>
        <v>26864.0</v>
      </c>
      <c r="T146" s="32" t="n">
        <f>959</f>
        <v>959.0</v>
      </c>
      <c r="U146" s="32" t="str">
        <f>"－"</f>
        <v>－</v>
      </c>
      <c r="V146" s="32" t="n">
        <f>25560905</f>
        <v>2.5560905E7</v>
      </c>
      <c r="W146" s="32" t="str">
        <f>"－"</f>
        <v>－</v>
      </c>
      <c r="X146" s="36" t="n">
        <f>20</f>
        <v>20.0</v>
      </c>
    </row>
    <row r="147">
      <c r="A147" s="27" t="s">
        <v>42</v>
      </c>
      <c r="B147" s="27" t="s">
        <v>481</v>
      </c>
      <c r="C147" s="27" t="s">
        <v>482</v>
      </c>
      <c r="D147" s="27" t="s">
        <v>483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55360</f>
        <v>55360.0</v>
      </c>
      <c r="L147" s="34" t="s">
        <v>48</v>
      </c>
      <c r="M147" s="33" t="n">
        <f>55360</f>
        <v>55360.0</v>
      </c>
      <c r="N147" s="34" t="s">
        <v>48</v>
      </c>
      <c r="O147" s="33" t="n">
        <f>52840</f>
        <v>52840.0</v>
      </c>
      <c r="P147" s="34" t="s">
        <v>86</v>
      </c>
      <c r="Q147" s="33" t="n">
        <f>53980</f>
        <v>53980.0</v>
      </c>
      <c r="R147" s="34" t="s">
        <v>50</v>
      </c>
      <c r="S147" s="35" t="n">
        <f>54054</f>
        <v>54054.0</v>
      </c>
      <c r="T147" s="32" t="n">
        <f>6870</f>
        <v>6870.0</v>
      </c>
      <c r="U147" s="32" t="n">
        <f>3780</f>
        <v>3780.0</v>
      </c>
      <c r="V147" s="32" t="n">
        <f>369467934</f>
        <v>3.69467934E8</v>
      </c>
      <c r="W147" s="32" t="n">
        <f>201942534</f>
        <v>2.01942534E8</v>
      </c>
      <c r="X147" s="36" t="n">
        <f>20</f>
        <v>20.0</v>
      </c>
    </row>
    <row r="148">
      <c r="A148" s="27" t="s">
        <v>42</v>
      </c>
      <c r="B148" s="27" t="s">
        <v>484</v>
      </c>
      <c r="C148" s="27" t="s">
        <v>485</v>
      </c>
      <c r="D148" s="27" t="s">
        <v>486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340.6</f>
        <v>340.6</v>
      </c>
      <c r="L148" s="34" t="s">
        <v>48</v>
      </c>
      <c r="M148" s="33" t="n">
        <f>341.7</f>
        <v>341.7</v>
      </c>
      <c r="N148" s="34" t="s">
        <v>48</v>
      </c>
      <c r="O148" s="33" t="n">
        <f>297</f>
        <v>297.0</v>
      </c>
      <c r="P148" s="34" t="s">
        <v>49</v>
      </c>
      <c r="Q148" s="33" t="n">
        <f>337.9</f>
        <v>337.9</v>
      </c>
      <c r="R148" s="34" t="s">
        <v>50</v>
      </c>
      <c r="S148" s="35" t="n">
        <f>327.69</f>
        <v>327.69</v>
      </c>
      <c r="T148" s="32" t="n">
        <f>46570360</f>
        <v>4.657036E7</v>
      </c>
      <c r="U148" s="32" t="n">
        <f>150430</f>
        <v>150430.0</v>
      </c>
      <c r="V148" s="32" t="n">
        <f>15153051777</f>
        <v>1.5153051777E10</v>
      </c>
      <c r="W148" s="32" t="n">
        <f>49733854</f>
        <v>4.9733854E7</v>
      </c>
      <c r="X148" s="36" t="n">
        <f>21</f>
        <v>21.0</v>
      </c>
    </row>
    <row r="149">
      <c r="A149" s="27" t="s">
        <v>42</v>
      </c>
      <c r="B149" s="27" t="s">
        <v>487</v>
      </c>
      <c r="C149" s="27" t="s">
        <v>488</v>
      </c>
      <c r="D149" s="27" t="s">
        <v>489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51500</f>
        <v>51500.0</v>
      </c>
      <c r="L149" s="34" t="s">
        <v>48</v>
      </c>
      <c r="M149" s="33" t="n">
        <f>51500</f>
        <v>51500.0</v>
      </c>
      <c r="N149" s="34" t="s">
        <v>48</v>
      </c>
      <c r="O149" s="33" t="n">
        <f>43850</f>
        <v>43850.0</v>
      </c>
      <c r="P149" s="34" t="s">
        <v>78</v>
      </c>
      <c r="Q149" s="33" t="n">
        <f>47360</f>
        <v>47360.0</v>
      </c>
      <c r="R149" s="34" t="s">
        <v>50</v>
      </c>
      <c r="S149" s="35" t="n">
        <f>47012.5</f>
        <v>47012.5</v>
      </c>
      <c r="T149" s="32" t="n">
        <f>2930</f>
        <v>2930.0</v>
      </c>
      <c r="U149" s="32" t="n">
        <f>10</f>
        <v>10.0</v>
      </c>
      <c r="V149" s="32" t="n">
        <f>136247400</f>
        <v>1.362474E8</v>
      </c>
      <c r="W149" s="32" t="n">
        <f>467700</f>
        <v>467700.0</v>
      </c>
      <c r="X149" s="36" t="n">
        <f>20</f>
        <v>20.0</v>
      </c>
    </row>
    <row r="150">
      <c r="A150" s="27" t="s">
        <v>42</v>
      </c>
      <c r="B150" s="27" t="s">
        <v>490</v>
      </c>
      <c r="C150" s="27" t="s">
        <v>491</v>
      </c>
      <c r="D150" s="27" t="s">
        <v>492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1.0</v>
      </c>
      <c r="K150" s="33" t="n">
        <f>5777</f>
        <v>5777.0</v>
      </c>
      <c r="L150" s="34" t="s">
        <v>48</v>
      </c>
      <c r="M150" s="33" t="n">
        <f>5826</f>
        <v>5826.0</v>
      </c>
      <c r="N150" s="34" t="s">
        <v>82</v>
      </c>
      <c r="O150" s="33" t="n">
        <f>4828</f>
        <v>4828.0</v>
      </c>
      <c r="P150" s="34" t="s">
        <v>49</v>
      </c>
      <c r="Q150" s="33" t="n">
        <f>5500</f>
        <v>5500.0</v>
      </c>
      <c r="R150" s="34" t="s">
        <v>50</v>
      </c>
      <c r="S150" s="35" t="n">
        <f>5351.19</f>
        <v>5351.19</v>
      </c>
      <c r="T150" s="32" t="n">
        <f>103106</f>
        <v>103106.0</v>
      </c>
      <c r="U150" s="32" t="n">
        <f>10</f>
        <v>10.0</v>
      </c>
      <c r="V150" s="32" t="n">
        <f>542972051</f>
        <v>5.42972051E8</v>
      </c>
      <c r="W150" s="32" t="n">
        <f>57680</f>
        <v>57680.0</v>
      </c>
      <c r="X150" s="36" t="n">
        <f>21</f>
        <v>21.0</v>
      </c>
    </row>
    <row r="151">
      <c r="A151" s="27" t="s">
        <v>42</v>
      </c>
      <c r="B151" s="27" t="s">
        <v>493</v>
      </c>
      <c r="C151" s="27" t="s">
        <v>494</v>
      </c>
      <c r="D151" s="27" t="s">
        <v>495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1.0</v>
      </c>
      <c r="K151" s="33" t="n">
        <f>2058</f>
        <v>2058.0</v>
      </c>
      <c r="L151" s="34" t="s">
        <v>48</v>
      </c>
      <c r="M151" s="33" t="n">
        <f>2090</f>
        <v>2090.0</v>
      </c>
      <c r="N151" s="34" t="s">
        <v>82</v>
      </c>
      <c r="O151" s="33" t="n">
        <f>1717</f>
        <v>1717.0</v>
      </c>
      <c r="P151" s="34" t="s">
        <v>78</v>
      </c>
      <c r="Q151" s="33" t="n">
        <f>1960</f>
        <v>1960.0</v>
      </c>
      <c r="R151" s="34" t="s">
        <v>50</v>
      </c>
      <c r="S151" s="35" t="n">
        <f>1915.1</f>
        <v>1915.1</v>
      </c>
      <c r="T151" s="32" t="n">
        <f>110543</f>
        <v>110543.0</v>
      </c>
      <c r="U151" s="32" t="n">
        <f>8860</f>
        <v>8860.0</v>
      </c>
      <c r="V151" s="32" t="n">
        <f>211780816</f>
        <v>2.11780816E8</v>
      </c>
      <c r="W151" s="32" t="n">
        <f>17414880</f>
        <v>1.741488E7</v>
      </c>
      <c r="X151" s="36" t="n">
        <f>21</f>
        <v>21.0</v>
      </c>
    </row>
    <row r="152">
      <c r="A152" s="27" t="s">
        <v>42</v>
      </c>
      <c r="B152" s="27" t="s">
        <v>496</v>
      </c>
      <c r="C152" s="27" t="s">
        <v>497</v>
      </c>
      <c r="D152" s="27" t="s">
        <v>498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1765</f>
        <v>1765.0</v>
      </c>
      <c r="L152" s="34" t="s">
        <v>48</v>
      </c>
      <c r="M152" s="33" t="n">
        <f>2178</f>
        <v>2178.0</v>
      </c>
      <c r="N152" s="34" t="s">
        <v>78</v>
      </c>
      <c r="O152" s="33" t="n">
        <f>1553</f>
        <v>1553.0</v>
      </c>
      <c r="P152" s="34" t="s">
        <v>78</v>
      </c>
      <c r="Q152" s="33" t="n">
        <f>1699.5</f>
        <v>1699.5</v>
      </c>
      <c r="R152" s="34" t="s">
        <v>71</v>
      </c>
      <c r="S152" s="35" t="n">
        <f>1674.15</f>
        <v>1674.15</v>
      </c>
      <c r="T152" s="32" t="n">
        <f>3740</f>
        <v>3740.0</v>
      </c>
      <c r="U152" s="32" t="str">
        <f>"－"</f>
        <v>－</v>
      </c>
      <c r="V152" s="32" t="n">
        <f>6296395</f>
        <v>6296395.0</v>
      </c>
      <c r="W152" s="32" t="str">
        <f>"－"</f>
        <v>－</v>
      </c>
      <c r="X152" s="36" t="n">
        <f>20</f>
        <v>20.0</v>
      </c>
    </row>
    <row r="153">
      <c r="A153" s="27" t="s">
        <v>42</v>
      </c>
      <c r="B153" s="27" t="s">
        <v>499</v>
      </c>
      <c r="C153" s="27" t="s">
        <v>500</v>
      </c>
      <c r="D153" s="27" t="s">
        <v>501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579</f>
        <v>579.0</v>
      </c>
      <c r="L153" s="34" t="s">
        <v>48</v>
      </c>
      <c r="M153" s="33" t="n">
        <f>599.8</f>
        <v>599.8</v>
      </c>
      <c r="N153" s="34" t="s">
        <v>95</v>
      </c>
      <c r="O153" s="33" t="n">
        <f>469</f>
        <v>469.0</v>
      </c>
      <c r="P153" s="34" t="s">
        <v>78</v>
      </c>
      <c r="Q153" s="33" t="n">
        <f>474.1</f>
        <v>474.1</v>
      </c>
      <c r="R153" s="34" t="s">
        <v>50</v>
      </c>
      <c r="S153" s="35" t="n">
        <f>502.55</f>
        <v>502.55</v>
      </c>
      <c r="T153" s="32" t="n">
        <f>29230</f>
        <v>29230.0</v>
      </c>
      <c r="U153" s="32" t="str">
        <f>"－"</f>
        <v>－</v>
      </c>
      <c r="V153" s="32" t="n">
        <f>14365517</f>
        <v>1.4365517E7</v>
      </c>
      <c r="W153" s="32" t="str">
        <f>"－"</f>
        <v>－</v>
      </c>
      <c r="X153" s="36" t="n">
        <f>20</f>
        <v>20.0</v>
      </c>
    </row>
    <row r="154">
      <c r="A154" s="27" t="s">
        <v>42</v>
      </c>
      <c r="B154" s="27" t="s">
        <v>502</v>
      </c>
      <c r="C154" s="27" t="s">
        <v>503</v>
      </c>
      <c r="D154" s="27" t="s">
        <v>504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2403.5</f>
        <v>2403.5</v>
      </c>
      <c r="L154" s="34" t="s">
        <v>48</v>
      </c>
      <c r="M154" s="33" t="n">
        <f>2403.5</f>
        <v>2403.5</v>
      </c>
      <c r="N154" s="34" t="s">
        <v>48</v>
      </c>
      <c r="O154" s="33" t="n">
        <f>2039</f>
        <v>2039.0</v>
      </c>
      <c r="P154" s="34" t="s">
        <v>78</v>
      </c>
      <c r="Q154" s="33" t="n">
        <f>2179</f>
        <v>2179.0</v>
      </c>
      <c r="R154" s="34" t="s">
        <v>50</v>
      </c>
      <c r="S154" s="35" t="n">
        <f>2205.56</f>
        <v>2205.56</v>
      </c>
      <c r="T154" s="32" t="n">
        <f>2310</f>
        <v>2310.0</v>
      </c>
      <c r="U154" s="32" t="str">
        <f>"－"</f>
        <v>－</v>
      </c>
      <c r="V154" s="32" t="n">
        <f>5069305</f>
        <v>5069305.0</v>
      </c>
      <c r="W154" s="32" t="str">
        <f>"－"</f>
        <v>－</v>
      </c>
      <c r="X154" s="36" t="n">
        <f>17</f>
        <v>17.0</v>
      </c>
    </row>
    <row r="155">
      <c r="A155" s="27" t="s">
        <v>42</v>
      </c>
      <c r="B155" s="27" t="s">
        <v>505</v>
      </c>
      <c r="C155" s="27" t="s">
        <v>506</v>
      </c>
      <c r="D155" s="27" t="s">
        <v>507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924.8</f>
        <v>924.8</v>
      </c>
      <c r="L155" s="34" t="s">
        <v>48</v>
      </c>
      <c r="M155" s="33" t="n">
        <f>942.5</f>
        <v>942.5</v>
      </c>
      <c r="N155" s="34" t="s">
        <v>82</v>
      </c>
      <c r="O155" s="33" t="n">
        <f>865</f>
        <v>865.0</v>
      </c>
      <c r="P155" s="34" t="s">
        <v>49</v>
      </c>
      <c r="Q155" s="33" t="n">
        <f>885.2</f>
        <v>885.2</v>
      </c>
      <c r="R155" s="34" t="s">
        <v>50</v>
      </c>
      <c r="S155" s="35" t="n">
        <f>898.93</f>
        <v>898.93</v>
      </c>
      <c r="T155" s="32" t="n">
        <f>33660</f>
        <v>33660.0</v>
      </c>
      <c r="U155" s="32" t="str">
        <f>"－"</f>
        <v>－</v>
      </c>
      <c r="V155" s="32" t="n">
        <f>30272806</f>
        <v>3.0272806E7</v>
      </c>
      <c r="W155" s="32" t="str">
        <f>"－"</f>
        <v>－</v>
      </c>
      <c r="X155" s="36" t="n">
        <f>21</f>
        <v>21.0</v>
      </c>
    </row>
    <row r="156">
      <c r="A156" s="27" t="s">
        <v>42</v>
      </c>
      <c r="B156" s="27" t="s">
        <v>508</v>
      </c>
      <c r="C156" s="27" t="s">
        <v>509</v>
      </c>
      <c r="D156" s="27" t="s">
        <v>510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519.9</f>
        <v>519.9</v>
      </c>
      <c r="L156" s="34" t="s">
        <v>48</v>
      </c>
      <c r="M156" s="33" t="n">
        <f>526</f>
        <v>526.0</v>
      </c>
      <c r="N156" s="34" t="s">
        <v>223</v>
      </c>
      <c r="O156" s="33" t="n">
        <f>486.2</f>
        <v>486.2</v>
      </c>
      <c r="P156" s="34" t="s">
        <v>49</v>
      </c>
      <c r="Q156" s="33" t="n">
        <f>491.9</f>
        <v>491.9</v>
      </c>
      <c r="R156" s="34" t="s">
        <v>50</v>
      </c>
      <c r="S156" s="35" t="n">
        <f>507.57</f>
        <v>507.57</v>
      </c>
      <c r="T156" s="32" t="n">
        <f>249610</f>
        <v>249610.0</v>
      </c>
      <c r="U156" s="32" t="str">
        <f>"－"</f>
        <v>－</v>
      </c>
      <c r="V156" s="32" t="n">
        <f>127120841</f>
        <v>1.27120841E8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511</v>
      </c>
      <c r="C157" s="27" t="s">
        <v>512</v>
      </c>
      <c r="D157" s="27" t="s">
        <v>513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1.0</v>
      </c>
      <c r="K157" s="33" t="n">
        <f>1550</f>
        <v>1550.0</v>
      </c>
      <c r="L157" s="34" t="s">
        <v>48</v>
      </c>
      <c r="M157" s="33" t="n">
        <f>1558</f>
        <v>1558.0</v>
      </c>
      <c r="N157" s="34" t="s">
        <v>48</v>
      </c>
      <c r="O157" s="33" t="n">
        <f>1126</f>
        <v>1126.0</v>
      </c>
      <c r="P157" s="34" t="s">
        <v>86</v>
      </c>
      <c r="Q157" s="33" t="n">
        <f>1222</f>
        <v>1222.0</v>
      </c>
      <c r="R157" s="34" t="s">
        <v>50</v>
      </c>
      <c r="S157" s="35" t="n">
        <f>1281.52</f>
        <v>1281.52</v>
      </c>
      <c r="T157" s="32" t="n">
        <f>507866</f>
        <v>507866.0</v>
      </c>
      <c r="U157" s="32" t="str">
        <f>"－"</f>
        <v>－</v>
      </c>
      <c r="V157" s="32" t="n">
        <f>658333597</f>
        <v>6.58333597E8</v>
      </c>
      <c r="W157" s="32" t="str">
        <f>"－"</f>
        <v>－</v>
      </c>
      <c r="X157" s="36" t="n">
        <f>21</f>
        <v>21.0</v>
      </c>
    </row>
    <row r="158">
      <c r="A158" s="27" t="s">
        <v>42</v>
      </c>
      <c r="B158" s="27" t="s">
        <v>514</v>
      </c>
      <c r="C158" s="27" t="s">
        <v>515</v>
      </c>
      <c r="D158" s="27" t="s">
        <v>516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1525</f>
        <v>1525.0</v>
      </c>
      <c r="L158" s="34" t="s">
        <v>48</v>
      </c>
      <c r="M158" s="33" t="n">
        <f>1525</f>
        <v>1525.0</v>
      </c>
      <c r="N158" s="34" t="s">
        <v>48</v>
      </c>
      <c r="O158" s="33" t="n">
        <f>1172.5</f>
        <v>1172.5</v>
      </c>
      <c r="P158" s="34" t="s">
        <v>78</v>
      </c>
      <c r="Q158" s="33" t="n">
        <f>1218</f>
        <v>1218.0</v>
      </c>
      <c r="R158" s="34" t="s">
        <v>50</v>
      </c>
      <c r="S158" s="35" t="n">
        <f>1298.83</f>
        <v>1298.83</v>
      </c>
      <c r="T158" s="32" t="n">
        <f>74340</f>
        <v>74340.0</v>
      </c>
      <c r="U158" s="32" t="str">
        <f>"－"</f>
        <v>－</v>
      </c>
      <c r="V158" s="32" t="n">
        <f>94697575</f>
        <v>9.4697575E7</v>
      </c>
      <c r="W158" s="32" t="str">
        <f>"－"</f>
        <v>－</v>
      </c>
      <c r="X158" s="36" t="n">
        <f>21</f>
        <v>21.0</v>
      </c>
    </row>
    <row r="159">
      <c r="A159" s="27" t="s">
        <v>42</v>
      </c>
      <c r="B159" s="27" t="s">
        <v>517</v>
      </c>
      <c r="C159" s="27" t="s">
        <v>518</v>
      </c>
      <c r="D159" s="27" t="s">
        <v>519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1.0</v>
      </c>
      <c r="K159" s="33" t="n">
        <f>8193</f>
        <v>8193.0</v>
      </c>
      <c r="L159" s="34" t="s">
        <v>48</v>
      </c>
      <c r="M159" s="33" t="n">
        <f>8194</f>
        <v>8194.0</v>
      </c>
      <c r="N159" s="34" t="s">
        <v>48</v>
      </c>
      <c r="O159" s="33" t="n">
        <f>6584</f>
        <v>6584.0</v>
      </c>
      <c r="P159" s="34" t="s">
        <v>78</v>
      </c>
      <c r="Q159" s="33" t="n">
        <f>6851</f>
        <v>6851.0</v>
      </c>
      <c r="R159" s="34" t="s">
        <v>50</v>
      </c>
      <c r="S159" s="35" t="n">
        <f>7118.81</f>
        <v>7118.81</v>
      </c>
      <c r="T159" s="32" t="n">
        <f>5899</f>
        <v>5899.0</v>
      </c>
      <c r="U159" s="32" t="str">
        <f>"－"</f>
        <v>－</v>
      </c>
      <c r="V159" s="32" t="n">
        <f>42024628</f>
        <v>4.2024628E7</v>
      </c>
      <c r="W159" s="32" t="str">
        <f>"－"</f>
        <v>－</v>
      </c>
      <c r="X159" s="36" t="n">
        <f>21</f>
        <v>21.0</v>
      </c>
    </row>
    <row r="160">
      <c r="A160" s="27" t="s">
        <v>42</v>
      </c>
      <c r="B160" s="27" t="s">
        <v>520</v>
      </c>
      <c r="C160" s="27" t="s">
        <v>521</v>
      </c>
      <c r="D160" s="27" t="s">
        <v>522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100.0</v>
      </c>
      <c r="K160" s="33" t="n">
        <f>514.8</f>
        <v>514.8</v>
      </c>
      <c r="L160" s="34" t="s">
        <v>48</v>
      </c>
      <c r="M160" s="33" t="n">
        <f>514.8</f>
        <v>514.8</v>
      </c>
      <c r="N160" s="34" t="s">
        <v>48</v>
      </c>
      <c r="O160" s="33" t="n">
        <f>427.6</f>
        <v>427.6</v>
      </c>
      <c r="P160" s="34" t="s">
        <v>49</v>
      </c>
      <c r="Q160" s="33" t="n">
        <f>458</f>
        <v>458.0</v>
      </c>
      <c r="R160" s="34" t="s">
        <v>50</v>
      </c>
      <c r="S160" s="35" t="n">
        <f>453.9</f>
        <v>453.9</v>
      </c>
      <c r="T160" s="32" t="n">
        <f>51700</f>
        <v>51700.0</v>
      </c>
      <c r="U160" s="32" t="str">
        <f>"－"</f>
        <v>－</v>
      </c>
      <c r="V160" s="32" t="n">
        <f>23411310</f>
        <v>2.341131E7</v>
      </c>
      <c r="W160" s="32" t="str">
        <f>"－"</f>
        <v>－</v>
      </c>
      <c r="X160" s="36" t="n">
        <f>20</f>
        <v>20.0</v>
      </c>
    </row>
    <row r="161">
      <c r="A161" s="27" t="s">
        <v>42</v>
      </c>
      <c r="B161" s="27" t="s">
        <v>523</v>
      </c>
      <c r="C161" s="27" t="s">
        <v>524</v>
      </c>
      <c r="D161" s="27" t="s">
        <v>525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6789</f>
        <v>6789.0</v>
      </c>
      <c r="L161" s="34" t="s">
        <v>48</v>
      </c>
      <c r="M161" s="33" t="n">
        <f>6831</f>
        <v>6831.0</v>
      </c>
      <c r="N161" s="34" t="s">
        <v>48</v>
      </c>
      <c r="O161" s="33" t="n">
        <f>5313</f>
        <v>5313.0</v>
      </c>
      <c r="P161" s="34" t="s">
        <v>78</v>
      </c>
      <c r="Q161" s="33" t="n">
        <f>6062</f>
        <v>6062.0</v>
      </c>
      <c r="R161" s="34" t="s">
        <v>50</v>
      </c>
      <c r="S161" s="35" t="n">
        <f>6051.38</f>
        <v>6051.38</v>
      </c>
      <c r="T161" s="32" t="n">
        <f>153530</f>
        <v>153530.0</v>
      </c>
      <c r="U161" s="32" t="str">
        <f>"－"</f>
        <v>－</v>
      </c>
      <c r="V161" s="32" t="n">
        <f>905244130</f>
        <v>9.0524413E8</v>
      </c>
      <c r="W161" s="32" t="str">
        <f>"－"</f>
        <v>－</v>
      </c>
      <c r="X161" s="36" t="n">
        <f>21</f>
        <v>21.0</v>
      </c>
    </row>
    <row r="162">
      <c r="A162" s="27" t="s">
        <v>42</v>
      </c>
      <c r="B162" s="27" t="s">
        <v>526</v>
      </c>
      <c r="C162" s="27" t="s">
        <v>527</v>
      </c>
      <c r="D162" s="27" t="s">
        <v>528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2133.5</f>
        <v>2133.5</v>
      </c>
      <c r="L162" s="34" t="s">
        <v>48</v>
      </c>
      <c r="M162" s="33" t="n">
        <f>2165.5</f>
        <v>2165.5</v>
      </c>
      <c r="N162" s="34" t="s">
        <v>82</v>
      </c>
      <c r="O162" s="33" t="n">
        <f>1780</f>
        <v>1780.0</v>
      </c>
      <c r="P162" s="34" t="s">
        <v>49</v>
      </c>
      <c r="Q162" s="33" t="n">
        <f>1988</f>
        <v>1988.0</v>
      </c>
      <c r="R162" s="34" t="s">
        <v>50</v>
      </c>
      <c r="S162" s="35" t="n">
        <f>2001.45</f>
        <v>2001.45</v>
      </c>
      <c r="T162" s="32" t="n">
        <f>8000</f>
        <v>8000.0</v>
      </c>
      <c r="U162" s="32" t="str">
        <f>"－"</f>
        <v>－</v>
      </c>
      <c r="V162" s="32" t="n">
        <f>15650830</f>
        <v>1.565083E7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529</v>
      </c>
      <c r="C163" s="27" t="s">
        <v>530</v>
      </c>
      <c r="D163" s="27" t="s">
        <v>531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1.0</v>
      </c>
      <c r="K163" s="33" t="n">
        <f>2976</f>
        <v>2976.0</v>
      </c>
      <c r="L163" s="34" t="s">
        <v>48</v>
      </c>
      <c r="M163" s="33" t="n">
        <f>3020</f>
        <v>3020.0</v>
      </c>
      <c r="N163" s="34" t="s">
        <v>82</v>
      </c>
      <c r="O163" s="33" t="n">
        <f>2706</f>
        <v>2706.0</v>
      </c>
      <c r="P163" s="34" t="s">
        <v>50</v>
      </c>
      <c r="Q163" s="33" t="n">
        <f>2707</f>
        <v>2707.0</v>
      </c>
      <c r="R163" s="34" t="s">
        <v>50</v>
      </c>
      <c r="S163" s="35" t="n">
        <f>2883.14</f>
        <v>2883.14</v>
      </c>
      <c r="T163" s="32" t="n">
        <f>370506</f>
        <v>370506.0</v>
      </c>
      <c r="U163" s="32" t="str">
        <f>"－"</f>
        <v>－</v>
      </c>
      <c r="V163" s="32" t="n">
        <f>1061725626</f>
        <v>1.061725626E9</v>
      </c>
      <c r="W163" s="32" t="str">
        <f>"－"</f>
        <v>－</v>
      </c>
      <c r="X163" s="36" t="n">
        <f>21</f>
        <v>21.0</v>
      </c>
    </row>
    <row r="164">
      <c r="A164" s="27" t="s">
        <v>42</v>
      </c>
      <c r="B164" s="27" t="s">
        <v>532</v>
      </c>
      <c r="C164" s="27" t="s">
        <v>533</v>
      </c>
      <c r="D164" s="27" t="s">
        <v>534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3100</f>
        <v>3100.0</v>
      </c>
      <c r="L164" s="34" t="s">
        <v>48</v>
      </c>
      <c r="M164" s="33" t="n">
        <f>3180</f>
        <v>3180.0</v>
      </c>
      <c r="N164" s="34" t="s">
        <v>223</v>
      </c>
      <c r="O164" s="33" t="n">
        <f>2762</f>
        <v>2762.0</v>
      </c>
      <c r="P164" s="34" t="s">
        <v>49</v>
      </c>
      <c r="Q164" s="33" t="n">
        <f>2996</f>
        <v>2996.0</v>
      </c>
      <c r="R164" s="34" t="s">
        <v>50</v>
      </c>
      <c r="S164" s="35" t="n">
        <f>3094.1</f>
        <v>3094.1</v>
      </c>
      <c r="T164" s="32" t="n">
        <f>15808</f>
        <v>15808.0</v>
      </c>
      <c r="U164" s="32" t="str">
        <f>"－"</f>
        <v>－</v>
      </c>
      <c r="V164" s="32" t="n">
        <f>48513549</f>
        <v>4.8513549E7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535</v>
      </c>
      <c r="C165" s="27" t="s">
        <v>536</v>
      </c>
      <c r="D165" s="27" t="s">
        <v>537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3696</f>
        <v>3696.0</v>
      </c>
      <c r="L165" s="34" t="s">
        <v>48</v>
      </c>
      <c r="M165" s="33" t="n">
        <f>3757</f>
        <v>3757.0</v>
      </c>
      <c r="N165" s="34" t="s">
        <v>82</v>
      </c>
      <c r="O165" s="33" t="n">
        <f>3416</f>
        <v>3416.0</v>
      </c>
      <c r="P165" s="34" t="s">
        <v>49</v>
      </c>
      <c r="Q165" s="33" t="n">
        <f>3592</f>
        <v>3592.0</v>
      </c>
      <c r="R165" s="34" t="s">
        <v>50</v>
      </c>
      <c r="S165" s="35" t="n">
        <f>3598.67</f>
        <v>3598.67</v>
      </c>
      <c r="T165" s="32" t="n">
        <f>12990</f>
        <v>12990.0</v>
      </c>
      <c r="U165" s="32" t="str">
        <f>"－"</f>
        <v>－</v>
      </c>
      <c r="V165" s="32" t="n">
        <f>46753510</f>
        <v>4.675351E7</v>
      </c>
      <c r="W165" s="32" t="str">
        <f>"－"</f>
        <v>－</v>
      </c>
      <c r="X165" s="36" t="n">
        <f>21</f>
        <v>21.0</v>
      </c>
    </row>
    <row r="166">
      <c r="A166" s="27" t="s">
        <v>42</v>
      </c>
      <c r="B166" s="27" t="s">
        <v>538</v>
      </c>
      <c r="C166" s="27" t="s">
        <v>539</v>
      </c>
      <c r="D166" s="27" t="s">
        <v>540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3071</f>
        <v>3071.0</v>
      </c>
      <c r="L166" s="34" t="s">
        <v>48</v>
      </c>
      <c r="M166" s="33" t="n">
        <f>3111</f>
        <v>3111.0</v>
      </c>
      <c r="N166" s="34" t="s">
        <v>48</v>
      </c>
      <c r="O166" s="33" t="n">
        <f>2530</f>
        <v>2530.0</v>
      </c>
      <c r="P166" s="34" t="s">
        <v>49</v>
      </c>
      <c r="Q166" s="33" t="n">
        <f>2960</f>
        <v>2960.0</v>
      </c>
      <c r="R166" s="34" t="s">
        <v>50</v>
      </c>
      <c r="S166" s="35" t="n">
        <f>2873.21</f>
        <v>2873.21</v>
      </c>
      <c r="T166" s="32" t="n">
        <f>780787</f>
        <v>780787.0</v>
      </c>
      <c r="U166" s="32" t="n">
        <f>12200</f>
        <v>12200.0</v>
      </c>
      <c r="V166" s="32" t="n">
        <f>2211399386</f>
        <v>2.211399386E9</v>
      </c>
      <c r="W166" s="32" t="n">
        <f>35167076</f>
        <v>3.5167076E7</v>
      </c>
      <c r="X166" s="36" t="n">
        <f>21</f>
        <v>21.0</v>
      </c>
    </row>
    <row r="167">
      <c r="A167" s="27" t="s">
        <v>42</v>
      </c>
      <c r="B167" s="27" t="s">
        <v>541</v>
      </c>
      <c r="C167" s="27" t="s">
        <v>542</v>
      </c>
      <c r="D167" s="27" t="s">
        <v>543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416.3</f>
        <v>416.3</v>
      </c>
      <c r="L167" s="34" t="s">
        <v>48</v>
      </c>
      <c r="M167" s="33" t="n">
        <f>418.5</f>
        <v>418.5</v>
      </c>
      <c r="N167" s="34" t="s">
        <v>48</v>
      </c>
      <c r="O167" s="33" t="n">
        <f>323.5</f>
        <v>323.5</v>
      </c>
      <c r="P167" s="34" t="s">
        <v>78</v>
      </c>
      <c r="Q167" s="33" t="n">
        <f>336.3</f>
        <v>336.3</v>
      </c>
      <c r="R167" s="34" t="s">
        <v>50</v>
      </c>
      <c r="S167" s="35" t="n">
        <f>358.48</f>
        <v>358.48</v>
      </c>
      <c r="T167" s="32" t="n">
        <f>12146810</f>
        <v>1.214681E7</v>
      </c>
      <c r="U167" s="32" t="n">
        <f>183210</f>
        <v>183210.0</v>
      </c>
      <c r="V167" s="32" t="n">
        <f>4269233338</f>
        <v>4.269233338E9</v>
      </c>
      <c r="W167" s="32" t="n">
        <f>64386061</f>
        <v>6.4386061E7</v>
      </c>
      <c r="X167" s="36" t="n">
        <f>21</f>
        <v>21.0</v>
      </c>
    </row>
    <row r="168">
      <c r="A168" s="27" t="s">
        <v>42</v>
      </c>
      <c r="B168" s="27" t="s">
        <v>544</v>
      </c>
      <c r="C168" s="27" t="s">
        <v>545</v>
      </c>
      <c r="D168" s="27" t="s">
        <v>546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1.0</v>
      </c>
      <c r="K168" s="33" t="n">
        <f>1999</f>
        <v>1999.0</v>
      </c>
      <c r="L168" s="34" t="s">
        <v>48</v>
      </c>
      <c r="M168" s="33" t="n">
        <f>1999</f>
        <v>1999.0</v>
      </c>
      <c r="N168" s="34" t="s">
        <v>48</v>
      </c>
      <c r="O168" s="33" t="n">
        <f>1664</f>
        <v>1664.0</v>
      </c>
      <c r="P168" s="34" t="s">
        <v>49</v>
      </c>
      <c r="Q168" s="33" t="n">
        <f>1923</f>
        <v>1923.0</v>
      </c>
      <c r="R168" s="34" t="s">
        <v>50</v>
      </c>
      <c r="S168" s="35" t="n">
        <f>1853.1</f>
        <v>1853.1</v>
      </c>
      <c r="T168" s="32" t="n">
        <f>32647</f>
        <v>32647.0</v>
      </c>
      <c r="U168" s="32" t="str">
        <f>"－"</f>
        <v>－</v>
      </c>
      <c r="V168" s="32" t="n">
        <f>59247091</f>
        <v>5.9247091E7</v>
      </c>
      <c r="W168" s="32" t="str">
        <f>"－"</f>
        <v>－</v>
      </c>
      <c r="X168" s="36" t="n">
        <f>21</f>
        <v>21.0</v>
      </c>
    </row>
    <row r="169">
      <c r="A169" s="27" t="s">
        <v>42</v>
      </c>
      <c r="B169" s="27" t="s">
        <v>547</v>
      </c>
      <c r="C169" s="27" t="s">
        <v>548</v>
      </c>
      <c r="D169" s="27" t="s">
        <v>549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1.0</v>
      </c>
      <c r="K169" s="33" t="n">
        <f>1035</f>
        <v>1035.0</v>
      </c>
      <c r="L169" s="34" t="s">
        <v>48</v>
      </c>
      <c r="M169" s="33" t="n">
        <f>1042</f>
        <v>1042.0</v>
      </c>
      <c r="N169" s="34" t="s">
        <v>82</v>
      </c>
      <c r="O169" s="33" t="n">
        <f>845</f>
        <v>845.0</v>
      </c>
      <c r="P169" s="34" t="s">
        <v>49</v>
      </c>
      <c r="Q169" s="33" t="n">
        <f>986</f>
        <v>986.0</v>
      </c>
      <c r="R169" s="34" t="s">
        <v>50</v>
      </c>
      <c r="S169" s="35" t="n">
        <f>950.1</f>
        <v>950.1</v>
      </c>
      <c r="T169" s="32" t="n">
        <f>1318560</f>
        <v>1318560.0</v>
      </c>
      <c r="U169" s="32" t="n">
        <f>110</f>
        <v>110.0</v>
      </c>
      <c r="V169" s="32" t="n">
        <f>1243697499</f>
        <v>1.243697499E9</v>
      </c>
      <c r="W169" s="32" t="n">
        <f>104710</f>
        <v>104710.0</v>
      </c>
      <c r="X169" s="36" t="n">
        <f>21</f>
        <v>21.0</v>
      </c>
    </row>
    <row r="170">
      <c r="A170" s="27" t="s">
        <v>42</v>
      </c>
      <c r="B170" s="27" t="s">
        <v>550</v>
      </c>
      <c r="C170" s="27" t="s">
        <v>551</v>
      </c>
      <c r="D170" s="27" t="s">
        <v>552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281.5</f>
        <v>281.5</v>
      </c>
      <c r="L170" s="34" t="s">
        <v>48</v>
      </c>
      <c r="M170" s="33" t="n">
        <f>294.8</f>
        <v>294.8</v>
      </c>
      <c r="N170" s="34" t="s">
        <v>49</v>
      </c>
      <c r="O170" s="33" t="n">
        <f>262.1</f>
        <v>262.1</v>
      </c>
      <c r="P170" s="34" t="s">
        <v>78</v>
      </c>
      <c r="Q170" s="33" t="n">
        <f>278.5</f>
        <v>278.5</v>
      </c>
      <c r="R170" s="34" t="s">
        <v>50</v>
      </c>
      <c r="S170" s="35" t="n">
        <f>275.93</f>
        <v>275.93</v>
      </c>
      <c r="T170" s="32" t="n">
        <f>8977790</f>
        <v>8977790.0</v>
      </c>
      <c r="U170" s="32" t="str">
        <f>"－"</f>
        <v>－</v>
      </c>
      <c r="V170" s="32" t="n">
        <f>2469946798</f>
        <v>2.469946798E9</v>
      </c>
      <c r="W170" s="32" t="str">
        <f>"－"</f>
        <v>－</v>
      </c>
      <c r="X170" s="36" t="n">
        <f>21</f>
        <v>21.0</v>
      </c>
    </row>
    <row r="171">
      <c r="A171" s="27" t="s">
        <v>42</v>
      </c>
      <c r="B171" s="27" t="s">
        <v>553</v>
      </c>
      <c r="C171" s="27" t="s">
        <v>554</v>
      </c>
      <c r="D171" s="27" t="s">
        <v>555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296</f>
        <v>296.0</v>
      </c>
      <c r="L171" s="34" t="s">
        <v>48</v>
      </c>
      <c r="M171" s="33" t="n">
        <f>298.1</f>
        <v>298.1</v>
      </c>
      <c r="N171" s="34" t="s">
        <v>95</v>
      </c>
      <c r="O171" s="33" t="n">
        <f>260.7</f>
        <v>260.7</v>
      </c>
      <c r="P171" s="34" t="s">
        <v>86</v>
      </c>
      <c r="Q171" s="33" t="n">
        <f>278.4</f>
        <v>278.4</v>
      </c>
      <c r="R171" s="34" t="s">
        <v>50</v>
      </c>
      <c r="S171" s="35" t="n">
        <f>278.22</f>
        <v>278.22</v>
      </c>
      <c r="T171" s="32" t="n">
        <f>2104980</f>
        <v>2104980.0</v>
      </c>
      <c r="U171" s="32" t="str">
        <f>"－"</f>
        <v>－</v>
      </c>
      <c r="V171" s="32" t="n">
        <f>579782921</f>
        <v>5.79782921E8</v>
      </c>
      <c r="W171" s="32" t="str">
        <f>"－"</f>
        <v>－</v>
      </c>
      <c r="X171" s="36" t="n">
        <f>21</f>
        <v>21.0</v>
      </c>
    </row>
    <row r="172">
      <c r="A172" s="27" t="s">
        <v>42</v>
      </c>
      <c r="B172" s="27" t="s">
        <v>556</v>
      </c>
      <c r="C172" s="27" t="s">
        <v>557</v>
      </c>
      <c r="D172" s="27" t="s">
        <v>558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495.8</f>
        <v>495.8</v>
      </c>
      <c r="L172" s="34" t="s">
        <v>48</v>
      </c>
      <c r="M172" s="33" t="n">
        <f>517</f>
        <v>517.0</v>
      </c>
      <c r="N172" s="34" t="s">
        <v>49</v>
      </c>
      <c r="O172" s="33" t="n">
        <f>470.2</f>
        <v>470.2</v>
      </c>
      <c r="P172" s="34" t="s">
        <v>224</v>
      </c>
      <c r="Q172" s="33" t="n">
        <f>486.7</f>
        <v>486.7</v>
      </c>
      <c r="R172" s="34" t="s">
        <v>50</v>
      </c>
      <c r="S172" s="35" t="n">
        <f>487.58</f>
        <v>487.58</v>
      </c>
      <c r="T172" s="32" t="n">
        <f>1769670</f>
        <v>1769670.0</v>
      </c>
      <c r="U172" s="32" t="n">
        <f>1750000</f>
        <v>1750000.0</v>
      </c>
      <c r="V172" s="32" t="n">
        <f>828849988</f>
        <v>8.28849988E8</v>
      </c>
      <c r="W172" s="32" t="n">
        <f>819175000</f>
        <v>8.19175E8</v>
      </c>
      <c r="X172" s="36" t="n">
        <f>16</f>
        <v>16.0</v>
      </c>
    </row>
    <row r="173">
      <c r="A173" s="27" t="s">
        <v>42</v>
      </c>
      <c r="B173" s="27" t="s">
        <v>559</v>
      </c>
      <c r="C173" s="27" t="s">
        <v>560</v>
      </c>
      <c r="D173" s="27" t="s">
        <v>561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508</f>
        <v>508.0</v>
      </c>
      <c r="L173" s="34" t="s">
        <v>48</v>
      </c>
      <c r="M173" s="33" t="n">
        <f>575</f>
        <v>575.0</v>
      </c>
      <c r="N173" s="34" t="s">
        <v>49</v>
      </c>
      <c r="O173" s="33" t="n">
        <f>452</f>
        <v>452.0</v>
      </c>
      <c r="P173" s="34" t="s">
        <v>223</v>
      </c>
      <c r="Q173" s="33" t="n">
        <f>472</f>
        <v>472.0</v>
      </c>
      <c r="R173" s="34" t="s">
        <v>50</v>
      </c>
      <c r="S173" s="35" t="n">
        <f>476.59</f>
        <v>476.59</v>
      </c>
      <c r="T173" s="32" t="n">
        <f>70970</f>
        <v>70970.0</v>
      </c>
      <c r="U173" s="32" t="str">
        <f>"－"</f>
        <v>－</v>
      </c>
      <c r="V173" s="32" t="n">
        <f>33958323</f>
        <v>3.3958323E7</v>
      </c>
      <c r="W173" s="32" t="str">
        <f>"－"</f>
        <v>－</v>
      </c>
      <c r="X173" s="36" t="n">
        <f>20</f>
        <v>20.0</v>
      </c>
    </row>
    <row r="174">
      <c r="A174" s="27" t="s">
        <v>42</v>
      </c>
      <c r="B174" s="27" t="s">
        <v>562</v>
      </c>
      <c r="C174" s="27" t="s">
        <v>563</v>
      </c>
      <c r="D174" s="27" t="s">
        <v>564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496.8</f>
        <v>496.8</v>
      </c>
      <c r="L174" s="34" t="s">
        <v>48</v>
      </c>
      <c r="M174" s="33" t="n">
        <f>530</f>
        <v>530.0</v>
      </c>
      <c r="N174" s="34" t="s">
        <v>49</v>
      </c>
      <c r="O174" s="33" t="n">
        <f>448.7</f>
        <v>448.7</v>
      </c>
      <c r="P174" s="34" t="s">
        <v>223</v>
      </c>
      <c r="Q174" s="33" t="n">
        <f>488</f>
        <v>488.0</v>
      </c>
      <c r="R174" s="34" t="s">
        <v>50</v>
      </c>
      <c r="S174" s="35" t="n">
        <f>489.16</f>
        <v>489.16</v>
      </c>
      <c r="T174" s="32" t="n">
        <f>63610</f>
        <v>63610.0</v>
      </c>
      <c r="U174" s="32" t="str">
        <f>"－"</f>
        <v>－</v>
      </c>
      <c r="V174" s="32" t="n">
        <f>31391599</f>
        <v>3.1391599E7</v>
      </c>
      <c r="W174" s="32" t="str">
        <f>"－"</f>
        <v>－</v>
      </c>
      <c r="X174" s="36" t="n">
        <f>20</f>
        <v>20.0</v>
      </c>
    </row>
    <row r="175">
      <c r="A175" s="27" t="s">
        <v>42</v>
      </c>
      <c r="B175" s="27" t="s">
        <v>565</v>
      </c>
      <c r="C175" s="27" t="s">
        <v>566</v>
      </c>
      <c r="D175" s="27" t="s">
        <v>567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1.0</v>
      </c>
      <c r="K175" s="33" t="n">
        <f>916</f>
        <v>916.0</v>
      </c>
      <c r="L175" s="34" t="s">
        <v>48</v>
      </c>
      <c r="M175" s="33" t="n">
        <f>949</f>
        <v>949.0</v>
      </c>
      <c r="N175" s="34" t="s">
        <v>71</v>
      </c>
      <c r="O175" s="33" t="n">
        <f>816</f>
        <v>816.0</v>
      </c>
      <c r="P175" s="34" t="s">
        <v>49</v>
      </c>
      <c r="Q175" s="33" t="n">
        <f>905</f>
        <v>905.0</v>
      </c>
      <c r="R175" s="34" t="s">
        <v>50</v>
      </c>
      <c r="S175" s="35" t="n">
        <f>886.19</f>
        <v>886.19</v>
      </c>
      <c r="T175" s="32" t="n">
        <f>226441</f>
        <v>226441.0</v>
      </c>
      <c r="U175" s="32" t="n">
        <f>810</f>
        <v>810.0</v>
      </c>
      <c r="V175" s="32" t="n">
        <f>199261663</f>
        <v>1.99261663E8</v>
      </c>
      <c r="W175" s="32" t="n">
        <f>706795</f>
        <v>706795.0</v>
      </c>
      <c r="X175" s="36" t="n">
        <f>21</f>
        <v>21.0</v>
      </c>
    </row>
    <row r="176">
      <c r="A176" s="27" t="s">
        <v>42</v>
      </c>
      <c r="B176" s="27" t="s">
        <v>568</v>
      </c>
      <c r="C176" s="27" t="s">
        <v>569</v>
      </c>
      <c r="D176" s="27" t="s">
        <v>570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1409</f>
        <v>1409.0</v>
      </c>
      <c r="L176" s="34" t="s">
        <v>48</v>
      </c>
      <c r="M176" s="33" t="n">
        <f>1445</f>
        <v>1445.0</v>
      </c>
      <c r="N176" s="34" t="s">
        <v>48</v>
      </c>
      <c r="O176" s="33" t="n">
        <f>1080</f>
        <v>1080.0</v>
      </c>
      <c r="P176" s="34" t="s">
        <v>49</v>
      </c>
      <c r="Q176" s="33" t="n">
        <f>1342</f>
        <v>1342.0</v>
      </c>
      <c r="R176" s="34" t="s">
        <v>50</v>
      </c>
      <c r="S176" s="35" t="n">
        <f>1273.86</f>
        <v>1273.86</v>
      </c>
      <c r="T176" s="32" t="n">
        <f>3593625</f>
        <v>3593625.0</v>
      </c>
      <c r="U176" s="32" t="n">
        <f>134379</f>
        <v>134379.0</v>
      </c>
      <c r="V176" s="32" t="n">
        <f>4534652526</f>
        <v>4.534652526E9</v>
      </c>
      <c r="W176" s="32" t="n">
        <f>156968171</f>
        <v>1.56968171E8</v>
      </c>
      <c r="X176" s="36" t="n">
        <f>21</f>
        <v>21.0</v>
      </c>
    </row>
    <row r="177">
      <c r="A177" s="27" t="s">
        <v>42</v>
      </c>
      <c r="B177" s="27" t="s">
        <v>571</v>
      </c>
      <c r="C177" s="27" t="s">
        <v>572</v>
      </c>
      <c r="D177" s="27" t="s">
        <v>573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10.0</v>
      </c>
      <c r="K177" s="33" t="n">
        <f>592.2</f>
        <v>592.2</v>
      </c>
      <c r="L177" s="34" t="s">
        <v>48</v>
      </c>
      <c r="M177" s="33" t="n">
        <f>599</f>
        <v>599.0</v>
      </c>
      <c r="N177" s="34" t="s">
        <v>82</v>
      </c>
      <c r="O177" s="33" t="n">
        <f>500</f>
        <v>500.0</v>
      </c>
      <c r="P177" s="34" t="s">
        <v>49</v>
      </c>
      <c r="Q177" s="33" t="n">
        <f>582.9</f>
        <v>582.9</v>
      </c>
      <c r="R177" s="34" t="s">
        <v>50</v>
      </c>
      <c r="S177" s="35" t="n">
        <f>562.4</f>
        <v>562.4</v>
      </c>
      <c r="T177" s="32" t="n">
        <f>1554980</f>
        <v>1554980.0</v>
      </c>
      <c r="U177" s="32" t="n">
        <f>181740</f>
        <v>181740.0</v>
      </c>
      <c r="V177" s="32" t="n">
        <f>861653930</f>
        <v>8.6165393E8</v>
      </c>
      <c r="W177" s="32" t="n">
        <f>103991548</f>
        <v>1.03991548E8</v>
      </c>
      <c r="X177" s="36" t="n">
        <f>21</f>
        <v>21.0</v>
      </c>
    </row>
    <row r="178">
      <c r="A178" s="27" t="s">
        <v>42</v>
      </c>
      <c r="B178" s="27" t="s">
        <v>574</v>
      </c>
      <c r="C178" s="27" t="s">
        <v>575</v>
      </c>
      <c r="D178" s="27" t="s">
        <v>576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216</f>
        <v>216.0</v>
      </c>
      <c r="L178" s="34" t="s">
        <v>48</v>
      </c>
      <c r="M178" s="33" t="n">
        <f>217.5</f>
        <v>217.5</v>
      </c>
      <c r="N178" s="34" t="s">
        <v>95</v>
      </c>
      <c r="O178" s="33" t="n">
        <f>202.5</f>
        <v>202.5</v>
      </c>
      <c r="P178" s="34" t="s">
        <v>86</v>
      </c>
      <c r="Q178" s="33" t="n">
        <f>206.3</f>
        <v>206.3</v>
      </c>
      <c r="R178" s="34" t="s">
        <v>50</v>
      </c>
      <c r="S178" s="35" t="n">
        <f>208.54</f>
        <v>208.54</v>
      </c>
      <c r="T178" s="32" t="n">
        <f>26261220</f>
        <v>2.626122E7</v>
      </c>
      <c r="U178" s="32" t="n">
        <f>25000000</f>
        <v>2.5E7</v>
      </c>
      <c r="V178" s="32" t="n">
        <f>5435923471</f>
        <v>5.435923471E9</v>
      </c>
      <c r="W178" s="32" t="n">
        <f>5170800000</f>
        <v>5.1708E9</v>
      </c>
      <c r="X178" s="36" t="n">
        <f>21</f>
        <v>21.0</v>
      </c>
    </row>
    <row r="179">
      <c r="A179" s="27" t="s">
        <v>42</v>
      </c>
      <c r="B179" s="27" t="s">
        <v>577</v>
      </c>
      <c r="C179" s="27" t="s">
        <v>578</v>
      </c>
      <c r="D179" s="27" t="s">
        <v>579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243.9</f>
        <v>243.9</v>
      </c>
      <c r="L179" s="34" t="s">
        <v>48</v>
      </c>
      <c r="M179" s="33" t="n">
        <f>244</f>
        <v>244.0</v>
      </c>
      <c r="N179" s="34" t="s">
        <v>48</v>
      </c>
      <c r="O179" s="33" t="n">
        <f>207.9</f>
        <v>207.9</v>
      </c>
      <c r="P179" s="34" t="s">
        <v>78</v>
      </c>
      <c r="Q179" s="33" t="n">
        <f>220.9</f>
        <v>220.9</v>
      </c>
      <c r="R179" s="34" t="s">
        <v>50</v>
      </c>
      <c r="S179" s="35" t="n">
        <f>220.97</f>
        <v>220.97</v>
      </c>
      <c r="T179" s="32" t="n">
        <f>22494720</f>
        <v>2.249472E7</v>
      </c>
      <c r="U179" s="32" t="n">
        <f>4500010</f>
        <v>4500010.0</v>
      </c>
      <c r="V179" s="32" t="n">
        <f>4929889506</f>
        <v>4.929889506E9</v>
      </c>
      <c r="W179" s="32" t="n">
        <f>993602211</f>
        <v>9.93602211E8</v>
      </c>
      <c r="X179" s="36" t="n">
        <f>21</f>
        <v>21.0</v>
      </c>
    </row>
    <row r="180">
      <c r="A180" s="27" t="s">
        <v>42</v>
      </c>
      <c r="B180" s="27" t="s">
        <v>580</v>
      </c>
      <c r="C180" s="27" t="s">
        <v>581</v>
      </c>
      <c r="D180" s="27" t="s">
        <v>582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237.1</f>
        <v>237.1</v>
      </c>
      <c r="L180" s="34" t="s">
        <v>48</v>
      </c>
      <c r="M180" s="33" t="n">
        <f>237.1</f>
        <v>237.1</v>
      </c>
      <c r="N180" s="34" t="s">
        <v>48</v>
      </c>
      <c r="O180" s="33" t="n">
        <f>200</f>
        <v>200.0</v>
      </c>
      <c r="P180" s="34" t="s">
        <v>78</v>
      </c>
      <c r="Q180" s="33" t="n">
        <f>219</f>
        <v>219.0</v>
      </c>
      <c r="R180" s="34" t="s">
        <v>50</v>
      </c>
      <c r="S180" s="35" t="n">
        <f>216.73</f>
        <v>216.73</v>
      </c>
      <c r="T180" s="32" t="n">
        <f>12405650</f>
        <v>1.240565E7</v>
      </c>
      <c r="U180" s="32" t="n">
        <f>1570</f>
        <v>1570.0</v>
      </c>
      <c r="V180" s="32" t="n">
        <f>2637080695</f>
        <v>2.637080695E9</v>
      </c>
      <c r="W180" s="32" t="n">
        <f>332539</f>
        <v>332539.0</v>
      </c>
      <c r="X180" s="36" t="n">
        <f>21</f>
        <v>21.0</v>
      </c>
    </row>
    <row r="181">
      <c r="A181" s="27" t="s">
        <v>42</v>
      </c>
      <c r="B181" s="27" t="s">
        <v>583</v>
      </c>
      <c r="C181" s="27" t="s">
        <v>584</v>
      </c>
      <c r="D181" s="27" t="s">
        <v>585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1.0</v>
      </c>
      <c r="K181" s="33" t="n">
        <f>2057</f>
        <v>2057.0</v>
      </c>
      <c r="L181" s="34" t="s">
        <v>48</v>
      </c>
      <c r="M181" s="33" t="n">
        <f>2059</f>
        <v>2059.0</v>
      </c>
      <c r="N181" s="34" t="s">
        <v>95</v>
      </c>
      <c r="O181" s="33" t="n">
        <f>1898</f>
        <v>1898.0</v>
      </c>
      <c r="P181" s="34" t="s">
        <v>86</v>
      </c>
      <c r="Q181" s="33" t="n">
        <f>1967</f>
        <v>1967.0</v>
      </c>
      <c r="R181" s="34" t="s">
        <v>50</v>
      </c>
      <c r="S181" s="35" t="n">
        <f>1980.81</f>
        <v>1980.81</v>
      </c>
      <c r="T181" s="32" t="n">
        <f>741313</f>
        <v>741313.0</v>
      </c>
      <c r="U181" s="32" t="n">
        <f>2</f>
        <v>2.0</v>
      </c>
      <c r="V181" s="32" t="n">
        <f>1470499379</f>
        <v>1.470499379E9</v>
      </c>
      <c r="W181" s="32" t="n">
        <f>4089</f>
        <v>4089.0</v>
      </c>
      <c r="X181" s="36" t="n">
        <f>21</f>
        <v>21.0</v>
      </c>
    </row>
    <row r="182">
      <c r="A182" s="27" t="s">
        <v>42</v>
      </c>
      <c r="B182" s="27" t="s">
        <v>586</v>
      </c>
      <c r="C182" s="27" t="s">
        <v>587</v>
      </c>
      <c r="D182" s="27" t="s">
        <v>588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1902</f>
        <v>1902.0</v>
      </c>
      <c r="L182" s="34" t="s">
        <v>48</v>
      </c>
      <c r="M182" s="33" t="n">
        <f>1998</f>
        <v>1998.0</v>
      </c>
      <c r="N182" s="34" t="s">
        <v>95</v>
      </c>
      <c r="O182" s="33" t="n">
        <f>1861</f>
        <v>1861.0</v>
      </c>
      <c r="P182" s="34" t="s">
        <v>160</v>
      </c>
      <c r="Q182" s="33" t="n">
        <f>1905</f>
        <v>1905.0</v>
      </c>
      <c r="R182" s="34" t="s">
        <v>50</v>
      </c>
      <c r="S182" s="35" t="n">
        <f>1895.86</f>
        <v>1895.86</v>
      </c>
      <c r="T182" s="32" t="n">
        <f>629917</f>
        <v>629917.0</v>
      </c>
      <c r="U182" s="32" t="n">
        <f>2</f>
        <v>2.0</v>
      </c>
      <c r="V182" s="32" t="n">
        <f>1185951334</f>
        <v>1.185951334E9</v>
      </c>
      <c r="W182" s="32" t="n">
        <f>3753</f>
        <v>3753.0</v>
      </c>
      <c r="X182" s="36" t="n">
        <f>21</f>
        <v>21.0</v>
      </c>
    </row>
    <row r="183">
      <c r="A183" s="27" t="s">
        <v>42</v>
      </c>
      <c r="B183" s="27" t="s">
        <v>589</v>
      </c>
      <c r="C183" s="27" t="s">
        <v>590</v>
      </c>
      <c r="D183" s="27" t="s">
        <v>591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1040</f>
        <v>1040.0</v>
      </c>
      <c r="L183" s="34" t="s">
        <v>48</v>
      </c>
      <c r="M183" s="33" t="n">
        <f>1044</f>
        <v>1044.0</v>
      </c>
      <c r="N183" s="34" t="s">
        <v>48</v>
      </c>
      <c r="O183" s="33" t="n">
        <f>892</f>
        <v>892.0</v>
      </c>
      <c r="P183" s="34" t="s">
        <v>49</v>
      </c>
      <c r="Q183" s="33" t="n">
        <f>1042</f>
        <v>1042.0</v>
      </c>
      <c r="R183" s="34" t="s">
        <v>50</v>
      </c>
      <c r="S183" s="35" t="n">
        <f>986.38</f>
        <v>986.38</v>
      </c>
      <c r="T183" s="32" t="n">
        <f>2884482</f>
        <v>2884482.0</v>
      </c>
      <c r="U183" s="32" t="n">
        <f>548620</f>
        <v>548620.0</v>
      </c>
      <c r="V183" s="32" t="n">
        <f>2839739653</f>
        <v>2.839739653E9</v>
      </c>
      <c r="W183" s="32" t="n">
        <f>555770078</f>
        <v>5.55770078E8</v>
      </c>
      <c r="X183" s="36" t="n">
        <f>21</f>
        <v>21.0</v>
      </c>
    </row>
    <row r="184">
      <c r="A184" s="27" t="s">
        <v>42</v>
      </c>
      <c r="B184" s="27" t="s">
        <v>592</v>
      </c>
      <c r="C184" s="27" t="s">
        <v>593</v>
      </c>
      <c r="D184" s="27" t="s">
        <v>594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1100</f>
        <v>1100.0</v>
      </c>
      <c r="L184" s="34" t="s">
        <v>48</v>
      </c>
      <c r="M184" s="33" t="n">
        <f>1110</f>
        <v>1110.0</v>
      </c>
      <c r="N184" s="34" t="s">
        <v>82</v>
      </c>
      <c r="O184" s="33" t="n">
        <f>930</f>
        <v>930.0</v>
      </c>
      <c r="P184" s="34" t="s">
        <v>78</v>
      </c>
      <c r="Q184" s="33" t="n">
        <f>1037</f>
        <v>1037.0</v>
      </c>
      <c r="R184" s="34" t="s">
        <v>50</v>
      </c>
      <c r="S184" s="35" t="n">
        <f>1021.62</f>
        <v>1021.62</v>
      </c>
      <c r="T184" s="32" t="n">
        <f>268164</f>
        <v>268164.0</v>
      </c>
      <c r="U184" s="32" t="str">
        <f>"－"</f>
        <v>－</v>
      </c>
      <c r="V184" s="32" t="n">
        <f>272933481</f>
        <v>2.72933481E8</v>
      </c>
      <c r="W184" s="32" t="str">
        <f>"－"</f>
        <v>－</v>
      </c>
      <c r="X184" s="36" t="n">
        <f>21</f>
        <v>21.0</v>
      </c>
    </row>
    <row r="185">
      <c r="A185" s="27" t="s">
        <v>42</v>
      </c>
      <c r="B185" s="27" t="s">
        <v>595</v>
      </c>
      <c r="C185" s="27" t="s">
        <v>596</v>
      </c>
      <c r="D185" s="27" t="s">
        <v>597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999</f>
        <v>999.0</v>
      </c>
      <c r="L185" s="34" t="s">
        <v>48</v>
      </c>
      <c r="M185" s="33" t="n">
        <f>1021</f>
        <v>1021.0</v>
      </c>
      <c r="N185" s="34" t="s">
        <v>223</v>
      </c>
      <c r="O185" s="33" t="n">
        <f>870</f>
        <v>870.0</v>
      </c>
      <c r="P185" s="34" t="s">
        <v>223</v>
      </c>
      <c r="Q185" s="33" t="n">
        <f>930</f>
        <v>930.0</v>
      </c>
      <c r="R185" s="34" t="s">
        <v>50</v>
      </c>
      <c r="S185" s="35" t="n">
        <f>925.24</f>
        <v>925.24</v>
      </c>
      <c r="T185" s="32" t="n">
        <f>447220</f>
        <v>447220.0</v>
      </c>
      <c r="U185" s="32" t="str">
        <f>"－"</f>
        <v>－</v>
      </c>
      <c r="V185" s="32" t="n">
        <f>411648648</f>
        <v>4.11648648E8</v>
      </c>
      <c r="W185" s="32" t="str">
        <f>"－"</f>
        <v>－</v>
      </c>
      <c r="X185" s="36" t="n">
        <f>21</f>
        <v>21.0</v>
      </c>
    </row>
    <row r="186">
      <c r="A186" s="27" t="s">
        <v>42</v>
      </c>
      <c r="B186" s="27" t="s">
        <v>598</v>
      </c>
      <c r="C186" s="27" t="s">
        <v>599</v>
      </c>
      <c r="D186" s="27" t="s">
        <v>600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10.0</v>
      </c>
      <c r="K186" s="33" t="n">
        <f>185</f>
        <v>185.0</v>
      </c>
      <c r="L186" s="34" t="s">
        <v>48</v>
      </c>
      <c r="M186" s="33" t="n">
        <f>188.3</f>
        <v>188.3</v>
      </c>
      <c r="N186" s="34" t="s">
        <v>48</v>
      </c>
      <c r="O186" s="33" t="n">
        <f>160.3</f>
        <v>160.3</v>
      </c>
      <c r="P186" s="34" t="s">
        <v>49</v>
      </c>
      <c r="Q186" s="33" t="n">
        <f>184.5</f>
        <v>184.5</v>
      </c>
      <c r="R186" s="34" t="s">
        <v>50</v>
      </c>
      <c r="S186" s="35" t="n">
        <f>179.31</f>
        <v>179.31</v>
      </c>
      <c r="T186" s="32" t="n">
        <f>4751500</f>
        <v>4751500.0</v>
      </c>
      <c r="U186" s="32" t="n">
        <f>58690</f>
        <v>58690.0</v>
      </c>
      <c r="V186" s="32" t="n">
        <f>843737743</f>
        <v>8.43737743E8</v>
      </c>
      <c r="W186" s="32" t="n">
        <f>10630553</f>
        <v>1.0630553E7</v>
      </c>
      <c r="X186" s="36" t="n">
        <f>21</f>
        <v>21.0</v>
      </c>
    </row>
    <row r="187">
      <c r="A187" s="27" t="s">
        <v>42</v>
      </c>
      <c r="B187" s="27" t="s">
        <v>601</v>
      </c>
      <c r="C187" s="27" t="s">
        <v>602</v>
      </c>
      <c r="D187" s="27" t="s">
        <v>603</v>
      </c>
      <c r="E187" s="28" t="s">
        <v>46</v>
      </c>
      <c r="F187" s="29" t="s">
        <v>46</v>
      </c>
      <c r="G187" s="30" t="s">
        <v>46</v>
      </c>
      <c r="H187" s="31"/>
      <c r="I187" s="31" t="s">
        <v>416</v>
      </c>
      <c r="J187" s="32" t="n">
        <v>1.0</v>
      </c>
      <c r="K187" s="33" t="n">
        <f>7060</f>
        <v>7060.0</v>
      </c>
      <c r="L187" s="34" t="s">
        <v>48</v>
      </c>
      <c r="M187" s="33" t="n">
        <f>7170</f>
        <v>7170.0</v>
      </c>
      <c r="N187" s="34" t="s">
        <v>48</v>
      </c>
      <c r="O187" s="33" t="n">
        <f>4421</f>
        <v>4421.0</v>
      </c>
      <c r="P187" s="34" t="s">
        <v>78</v>
      </c>
      <c r="Q187" s="33" t="n">
        <f>5960</f>
        <v>5960.0</v>
      </c>
      <c r="R187" s="34" t="s">
        <v>50</v>
      </c>
      <c r="S187" s="35" t="n">
        <f>5794.33</f>
        <v>5794.33</v>
      </c>
      <c r="T187" s="32" t="n">
        <f>104171</f>
        <v>104171.0</v>
      </c>
      <c r="U187" s="32" t="str">
        <f>"－"</f>
        <v>－</v>
      </c>
      <c r="V187" s="32" t="n">
        <f>574273281</f>
        <v>5.74273281E8</v>
      </c>
      <c r="W187" s="32" t="str">
        <f>"－"</f>
        <v>－</v>
      </c>
      <c r="X187" s="36" t="n">
        <f>21</f>
        <v>21.0</v>
      </c>
    </row>
    <row r="188">
      <c r="A188" s="27" t="s">
        <v>42</v>
      </c>
      <c r="B188" s="27" t="s">
        <v>604</v>
      </c>
      <c r="C188" s="27" t="s">
        <v>605</v>
      </c>
      <c r="D188" s="27" t="s">
        <v>606</v>
      </c>
      <c r="E188" s="28" t="s">
        <v>46</v>
      </c>
      <c r="F188" s="29" t="s">
        <v>46</v>
      </c>
      <c r="G188" s="30" t="s">
        <v>46</v>
      </c>
      <c r="H188" s="31"/>
      <c r="I188" s="31" t="s">
        <v>416</v>
      </c>
      <c r="J188" s="32" t="n">
        <v>1.0</v>
      </c>
      <c r="K188" s="33" t="n">
        <f>6789</f>
        <v>6789.0</v>
      </c>
      <c r="L188" s="34" t="s">
        <v>48</v>
      </c>
      <c r="M188" s="33" t="n">
        <f>7952</f>
        <v>7952.0</v>
      </c>
      <c r="N188" s="34" t="s">
        <v>78</v>
      </c>
      <c r="O188" s="33" t="n">
        <f>6493</f>
        <v>6493.0</v>
      </c>
      <c r="P188" s="34" t="s">
        <v>289</v>
      </c>
      <c r="Q188" s="33" t="n">
        <f>6618</f>
        <v>6618.0</v>
      </c>
      <c r="R188" s="34" t="s">
        <v>50</v>
      </c>
      <c r="S188" s="35" t="n">
        <f>6929.05</f>
        <v>6929.05</v>
      </c>
      <c r="T188" s="32" t="n">
        <f>32229</f>
        <v>32229.0</v>
      </c>
      <c r="U188" s="32" t="str">
        <f>"－"</f>
        <v>－</v>
      </c>
      <c r="V188" s="32" t="n">
        <f>232417946</f>
        <v>2.32417946E8</v>
      </c>
      <c r="W188" s="32" t="str">
        <f>"－"</f>
        <v>－</v>
      </c>
      <c r="X188" s="36" t="n">
        <f>21</f>
        <v>21.0</v>
      </c>
    </row>
    <row r="189">
      <c r="A189" s="27" t="s">
        <v>42</v>
      </c>
      <c r="B189" s="27" t="s">
        <v>607</v>
      </c>
      <c r="C189" s="27" t="s">
        <v>608</v>
      </c>
      <c r="D189" s="27" t="s">
        <v>609</v>
      </c>
      <c r="E189" s="28" t="s">
        <v>46</v>
      </c>
      <c r="F189" s="29" t="s">
        <v>46</v>
      </c>
      <c r="G189" s="30" t="s">
        <v>46</v>
      </c>
      <c r="H189" s="31"/>
      <c r="I189" s="31" t="s">
        <v>416</v>
      </c>
      <c r="J189" s="32" t="n">
        <v>1.0</v>
      </c>
      <c r="K189" s="33" t="n">
        <f>9707</f>
        <v>9707.0</v>
      </c>
      <c r="L189" s="34" t="s">
        <v>48</v>
      </c>
      <c r="M189" s="33" t="n">
        <f>9998</f>
        <v>9998.0</v>
      </c>
      <c r="N189" s="34" t="s">
        <v>48</v>
      </c>
      <c r="O189" s="33" t="n">
        <f>7743</f>
        <v>7743.0</v>
      </c>
      <c r="P189" s="34" t="s">
        <v>78</v>
      </c>
      <c r="Q189" s="33" t="n">
        <f>9693</f>
        <v>9693.0</v>
      </c>
      <c r="R189" s="34" t="s">
        <v>50</v>
      </c>
      <c r="S189" s="35" t="n">
        <f>9120.05</f>
        <v>9120.05</v>
      </c>
      <c r="T189" s="32" t="n">
        <f>3465</f>
        <v>3465.0</v>
      </c>
      <c r="U189" s="32" t="str">
        <f>"－"</f>
        <v>－</v>
      </c>
      <c r="V189" s="32" t="n">
        <f>31710328</f>
        <v>3.1710328E7</v>
      </c>
      <c r="W189" s="32" t="str">
        <f>"－"</f>
        <v>－</v>
      </c>
      <c r="X189" s="36" t="n">
        <f>19</f>
        <v>19.0</v>
      </c>
    </row>
    <row r="190">
      <c r="A190" s="27" t="s">
        <v>42</v>
      </c>
      <c r="B190" s="27" t="s">
        <v>610</v>
      </c>
      <c r="C190" s="27" t="s">
        <v>611</v>
      </c>
      <c r="D190" s="27" t="s">
        <v>612</v>
      </c>
      <c r="E190" s="28" t="s">
        <v>46</v>
      </c>
      <c r="F190" s="29" t="s">
        <v>46</v>
      </c>
      <c r="G190" s="30" t="s">
        <v>46</v>
      </c>
      <c r="H190" s="31"/>
      <c r="I190" s="31" t="s">
        <v>416</v>
      </c>
      <c r="J190" s="32" t="n">
        <v>1.0</v>
      </c>
      <c r="K190" s="33" t="n">
        <f>7480</f>
        <v>7480.0</v>
      </c>
      <c r="L190" s="34" t="s">
        <v>48</v>
      </c>
      <c r="M190" s="33" t="n">
        <f>7890</f>
        <v>7890.0</v>
      </c>
      <c r="N190" s="34" t="s">
        <v>78</v>
      </c>
      <c r="O190" s="33" t="n">
        <f>7131</f>
        <v>7131.0</v>
      </c>
      <c r="P190" s="34" t="s">
        <v>50</v>
      </c>
      <c r="Q190" s="33" t="n">
        <f>7225</f>
        <v>7225.0</v>
      </c>
      <c r="R190" s="34" t="s">
        <v>50</v>
      </c>
      <c r="S190" s="35" t="n">
        <f>7457.3</f>
        <v>7457.3</v>
      </c>
      <c r="T190" s="32" t="n">
        <f>13448</f>
        <v>13448.0</v>
      </c>
      <c r="U190" s="32" t="n">
        <f>100</f>
        <v>100.0</v>
      </c>
      <c r="V190" s="32" t="n">
        <f>102032640</f>
        <v>1.0203264E8</v>
      </c>
      <c r="W190" s="32" t="n">
        <f>770100</f>
        <v>770100.0</v>
      </c>
      <c r="X190" s="36" t="n">
        <f>20</f>
        <v>20.0</v>
      </c>
    </row>
    <row r="191">
      <c r="A191" s="27" t="s">
        <v>42</v>
      </c>
      <c r="B191" s="27" t="s">
        <v>613</v>
      </c>
      <c r="C191" s="27" t="s">
        <v>614</v>
      </c>
      <c r="D191" s="27" t="s">
        <v>615</v>
      </c>
      <c r="E191" s="28" t="s">
        <v>46</v>
      </c>
      <c r="F191" s="29" t="s">
        <v>46</v>
      </c>
      <c r="G191" s="30" t="s">
        <v>46</v>
      </c>
      <c r="H191" s="31"/>
      <c r="I191" s="31" t="s">
        <v>416</v>
      </c>
      <c r="J191" s="32" t="n">
        <v>1.0</v>
      </c>
      <c r="K191" s="33" t="n">
        <f>90740</f>
        <v>90740.0</v>
      </c>
      <c r="L191" s="34" t="s">
        <v>48</v>
      </c>
      <c r="M191" s="33" t="n">
        <f>98370</f>
        <v>98370.0</v>
      </c>
      <c r="N191" s="34" t="s">
        <v>86</v>
      </c>
      <c r="O191" s="33" t="n">
        <f>76230</f>
        <v>76230.0</v>
      </c>
      <c r="P191" s="34" t="s">
        <v>49</v>
      </c>
      <c r="Q191" s="33" t="n">
        <f>91070</f>
        <v>91070.0</v>
      </c>
      <c r="R191" s="34" t="s">
        <v>50</v>
      </c>
      <c r="S191" s="35" t="n">
        <f>88793.33</f>
        <v>88793.33</v>
      </c>
      <c r="T191" s="32" t="n">
        <f>230487</f>
        <v>230487.0</v>
      </c>
      <c r="U191" s="32" t="n">
        <f>92</f>
        <v>92.0</v>
      </c>
      <c r="V191" s="32" t="n">
        <f>20512683710</f>
        <v>2.051268371E10</v>
      </c>
      <c r="W191" s="32" t="n">
        <f>7769860</f>
        <v>7769860.0</v>
      </c>
      <c r="X191" s="36" t="n">
        <f>21</f>
        <v>21.0</v>
      </c>
    </row>
    <row r="192">
      <c r="A192" s="27" t="s">
        <v>42</v>
      </c>
      <c r="B192" s="27" t="s">
        <v>616</v>
      </c>
      <c r="C192" s="27" t="s">
        <v>617</v>
      </c>
      <c r="D192" s="27" t="s">
        <v>618</v>
      </c>
      <c r="E192" s="28" t="s">
        <v>46</v>
      </c>
      <c r="F192" s="29" t="s">
        <v>46</v>
      </c>
      <c r="G192" s="30" t="s">
        <v>46</v>
      </c>
      <c r="H192" s="31"/>
      <c r="I192" s="31" t="s">
        <v>416</v>
      </c>
      <c r="J192" s="32" t="n">
        <v>1.0</v>
      </c>
      <c r="K192" s="33" t="n">
        <f>2164</f>
        <v>2164.0</v>
      </c>
      <c r="L192" s="34" t="s">
        <v>48</v>
      </c>
      <c r="M192" s="33" t="n">
        <f>2368</f>
        <v>2368.0</v>
      </c>
      <c r="N192" s="34" t="s">
        <v>49</v>
      </c>
      <c r="O192" s="33" t="n">
        <f>2050</f>
        <v>2050.0</v>
      </c>
      <c r="P192" s="34" t="s">
        <v>86</v>
      </c>
      <c r="Q192" s="33" t="n">
        <f>2105</f>
        <v>2105.0</v>
      </c>
      <c r="R192" s="34" t="s">
        <v>50</v>
      </c>
      <c r="S192" s="35" t="n">
        <f>2161.86</f>
        <v>2161.86</v>
      </c>
      <c r="T192" s="32" t="n">
        <f>132969</f>
        <v>132969.0</v>
      </c>
      <c r="U192" s="32" t="str">
        <f>"－"</f>
        <v>－</v>
      </c>
      <c r="V192" s="32" t="n">
        <f>286399048</f>
        <v>2.86399048E8</v>
      </c>
      <c r="W192" s="32" t="str">
        <f>"－"</f>
        <v>－</v>
      </c>
      <c r="X192" s="36" t="n">
        <f>21</f>
        <v>21.0</v>
      </c>
    </row>
    <row r="193">
      <c r="A193" s="27" t="s">
        <v>42</v>
      </c>
      <c r="B193" s="27" t="s">
        <v>619</v>
      </c>
      <c r="C193" s="27" t="s">
        <v>620</v>
      </c>
      <c r="D193" s="27" t="s">
        <v>621</v>
      </c>
      <c r="E193" s="28" t="s">
        <v>46</v>
      </c>
      <c r="F193" s="29" t="s">
        <v>46</v>
      </c>
      <c r="G193" s="30" t="s">
        <v>46</v>
      </c>
      <c r="H193" s="31"/>
      <c r="I193" s="31" t="s">
        <v>416</v>
      </c>
      <c r="J193" s="32" t="n">
        <v>1.0</v>
      </c>
      <c r="K193" s="33" t="n">
        <f>1865</f>
        <v>1865.0</v>
      </c>
      <c r="L193" s="34" t="s">
        <v>48</v>
      </c>
      <c r="M193" s="33" t="n">
        <f>1888</f>
        <v>1888.0</v>
      </c>
      <c r="N193" s="34" t="s">
        <v>48</v>
      </c>
      <c r="O193" s="33" t="n">
        <f>1197</f>
        <v>1197.0</v>
      </c>
      <c r="P193" s="34" t="s">
        <v>78</v>
      </c>
      <c r="Q193" s="33" t="n">
        <f>1249</f>
        <v>1249.0</v>
      </c>
      <c r="R193" s="34" t="s">
        <v>50</v>
      </c>
      <c r="S193" s="35" t="n">
        <f>1413.14</f>
        <v>1413.14</v>
      </c>
      <c r="T193" s="32" t="n">
        <f>10710581</f>
        <v>1.0710581E7</v>
      </c>
      <c r="U193" s="32" t="n">
        <f>1414</f>
        <v>1414.0</v>
      </c>
      <c r="V193" s="32" t="n">
        <f>14461041617</f>
        <v>1.4461041617E10</v>
      </c>
      <c r="W193" s="32" t="n">
        <f>2085182</f>
        <v>2085182.0</v>
      </c>
      <c r="X193" s="36" t="n">
        <f>21</f>
        <v>21.0</v>
      </c>
    </row>
    <row r="194">
      <c r="A194" s="27" t="s">
        <v>42</v>
      </c>
      <c r="B194" s="27" t="s">
        <v>622</v>
      </c>
      <c r="C194" s="27" t="s">
        <v>623</v>
      </c>
      <c r="D194" s="27" t="s">
        <v>624</v>
      </c>
      <c r="E194" s="28" t="s">
        <v>46</v>
      </c>
      <c r="F194" s="29" t="s">
        <v>46</v>
      </c>
      <c r="G194" s="30" t="s">
        <v>46</v>
      </c>
      <c r="H194" s="31"/>
      <c r="I194" s="31" t="s">
        <v>416</v>
      </c>
      <c r="J194" s="32" t="n">
        <v>1.0</v>
      </c>
      <c r="K194" s="33" t="n">
        <f>920</f>
        <v>920.0</v>
      </c>
      <c r="L194" s="34" t="s">
        <v>48</v>
      </c>
      <c r="M194" s="33" t="n">
        <f>1115</f>
        <v>1115.0</v>
      </c>
      <c r="N194" s="34" t="s">
        <v>78</v>
      </c>
      <c r="O194" s="33" t="n">
        <f>919</f>
        <v>919.0</v>
      </c>
      <c r="P194" s="34" t="s">
        <v>48</v>
      </c>
      <c r="Q194" s="33" t="n">
        <f>1072</f>
        <v>1072.0</v>
      </c>
      <c r="R194" s="34" t="s">
        <v>50</v>
      </c>
      <c r="S194" s="35" t="n">
        <f>1026.76</f>
        <v>1026.76</v>
      </c>
      <c r="T194" s="32" t="n">
        <f>2690480</f>
        <v>2690480.0</v>
      </c>
      <c r="U194" s="32" t="n">
        <f>45</f>
        <v>45.0</v>
      </c>
      <c r="V194" s="32" t="n">
        <f>2803558416</f>
        <v>2.803558416E9</v>
      </c>
      <c r="W194" s="32" t="n">
        <f>43510</f>
        <v>43510.0</v>
      </c>
      <c r="X194" s="36" t="n">
        <f>21</f>
        <v>21.0</v>
      </c>
    </row>
    <row r="195">
      <c r="A195" s="27" t="s">
        <v>42</v>
      </c>
      <c r="B195" s="27" t="s">
        <v>625</v>
      </c>
      <c r="C195" s="27" t="s">
        <v>626</v>
      </c>
      <c r="D195" s="27" t="s">
        <v>627</v>
      </c>
      <c r="E195" s="28" t="s">
        <v>46</v>
      </c>
      <c r="F195" s="29" t="s">
        <v>46</v>
      </c>
      <c r="G195" s="30" t="s">
        <v>46</v>
      </c>
      <c r="H195" s="31"/>
      <c r="I195" s="31" t="s">
        <v>416</v>
      </c>
      <c r="J195" s="32" t="n">
        <v>1.0</v>
      </c>
      <c r="K195" s="33" t="n">
        <f>28470</f>
        <v>28470.0</v>
      </c>
      <c r="L195" s="34" t="s">
        <v>48</v>
      </c>
      <c r="M195" s="33" t="n">
        <f>28690</f>
        <v>28690.0</v>
      </c>
      <c r="N195" s="34" t="s">
        <v>82</v>
      </c>
      <c r="O195" s="33" t="n">
        <f>22180</f>
        <v>22180.0</v>
      </c>
      <c r="P195" s="34" t="s">
        <v>49</v>
      </c>
      <c r="Q195" s="33" t="n">
        <f>26190</f>
        <v>26190.0</v>
      </c>
      <c r="R195" s="34" t="s">
        <v>50</v>
      </c>
      <c r="S195" s="35" t="n">
        <f>25780</f>
        <v>25780.0</v>
      </c>
      <c r="T195" s="32" t="n">
        <f>51282</f>
        <v>51282.0</v>
      </c>
      <c r="U195" s="32" t="str">
        <f>"－"</f>
        <v>－</v>
      </c>
      <c r="V195" s="32" t="n">
        <f>1287642280</f>
        <v>1.28764228E9</v>
      </c>
      <c r="W195" s="32" t="str">
        <f>"－"</f>
        <v>－</v>
      </c>
      <c r="X195" s="36" t="n">
        <f>21</f>
        <v>21.0</v>
      </c>
    </row>
    <row r="196">
      <c r="A196" s="27" t="s">
        <v>42</v>
      </c>
      <c r="B196" s="27" t="s">
        <v>628</v>
      </c>
      <c r="C196" s="27" t="s">
        <v>629</v>
      </c>
      <c r="D196" s="27" t="s">
        <v>630</v>
      </c>
      <c r="E196" s="28" t="s">
        <v>46</v>
      </c>
      <c r="F196" s="29" t="s">
        <v>46</v>
      </c>
      <c r="G196" s="30" t="s">
        <v>46</v>
      </c>
      <c r="H196" s="31"/>
      <c r="I196" s="31" t="s">
        <v>416</v>
      </c>
      <c r="J196" s="32" t="n">
        <v>1.0</v>
      </c>
      <c r="K196" s="33" t="n">
        <f>2456</f>
        <v>2456.0</v>
      </c>
      <c r="L196" s="34" t="s">
        <v>48</v>
      </c>
      <c r="M196" s="33" t="n">
        <f>2890</f>
        <v>2890.0</v>
      </c>
      <c r="N196" s="34" t="s">
        <v>49</v>
      </c>
      <c r="O196" s="33" t="n">
        <f>2440</f>
        <v>2440.0</v>
      </c>
      <c r="P196" s="34" t="s">
        <v>82</v>
      </c>
      <c r="Q196" s="33" t="n">
        <f>2508</f>
        <v>2508.0</v>
      </c>
      <c r="R196" s="34" t="s">
        <v>50</v>
      </c>
      <c r="S196" s="35" t="n">
        <f>2558.1</f>
        <v>2558.1</v>
      </c>
      <c r="T196" s="32" t="n">
        <f>668401</f>
        <v>668401.0</v>
      </c>
      <c r="U196" s="32" t="str">
        <f>"－"</f>
        <v>－</v>
      </c>
      <c r="V196" s="32" t="n">
        <f>1751331621</f>
        <v>1.751331621E9</v>
      </c>
      <c r="W196" s="32" t="str">
        <f>"－"</f>
        <v>－</v>
      </c>
      <c r="X196" s="36" t="n">
        <f>21</f>
        <v>21.0</v>
      </c>
    </row>
    <row r="197">
      <c r="A197" s="27" t="s">
        <v>42</v>
      </c>
      <c r="B197" s="27" t="s">
        <v>631</v>
      </c>
      <c r="C197" s="27" t="s">
        <v>632</v>
      </c>
      <c r="D197" s="27" t="s">
        <v>633</v>
      </c>
      <c r="E197" s="28" t="s">
        <v>46</v>
      </c>
      <c r="F197" s="29" t="s">
        <v>46</v>
      </c>
      <c r="G197" s="30" t="s">
        <v>46</v>
      </c>
      <c r="H197" s="31"/>
      <c r="I197" s="31" t="s">
        <v>416</v>
      </c>
      <c r="J197" s="32" t="n">
        <v>1.0</v>
      </c>
      <c r="K197" s="33" t="n">
        <f>6894</f>
        <v>6894.0</v>
      </c>
      <c r="L197" s="34" t="s">
        <v>48</v>
      </c>
      <c r="M197" s="33" t="n">
        <f>7148</f>
        <v>7148.0</v>
      </c>
      <c r="N197" s="34" t="s">
        <v>634</v>
      </c>
      <c r="O197" s="33" t="n">
        <f>5704</f>
        <v>5704.0</v>
      </c>
      <c r="P197" s="34" t="s">
        <v>49</v>
      </c>
      <c r="Q197" s="33" t="n">
        <f>7110</f>
        <v>7110.0</v>
      </c>
      <c r="R197" s="34" t="s">
        <v>50</v>
      </c>
      <c r="S197" s="35" t="n">
        <f>6692.81</f>
        <v>6692.81</v>
      </c>
      <c r="T197" s="32" t="n">
        <f>24636</f>
        <v>24636.0</v>
      </c>
      <c r="U197" s="32" t="str">
        <f>"－"</f>
        <v>－</v>
      </c>
      <c r="V197" s="32" t="n">
        <f>162805779</f>
        <v>1.62805779E8</v>
      </c>
      <c r="W197" s="32" t="str">
        <f>"－"</f>
        <v>－</v>
      </c>
      <c r="X197" s="36" t="n">
        <f>21</f>
        <v>21.0</v>
      </c>
    </row>
    <row r="198">
      <c r="A198" s="27" t="s">
        <v>42</v>
      </c>
      <c r="B198" s="27" t="s">
        <v>635</v>
      </c>
      <c r="C198" s="27" t="s">
        <v>636</v>
      </c>
      <c r="D198" s="27" t="s">
        <v>637</v>
      </c>
      <c r="E198" s="28" t="s">
        <v>46</v>
      </c>
      <c r="F198" s="29" t="s">
        <v>46</v>
      </c>
      <c r="G198" s="30" t="s">
        <v>46</v>
      </c>
      <c r="H198" s="31"/>
      <c r="I198" s="31" t="s">
        <v>416</v>
      </c>
      <c r="J198" s="32" t="n">
        <v>1.0</v>
      </c>
      <c r="K198" s="33" t="n">
        <f>20295</f>
        <v>20295.0</v>
      </c>
      <c r="L198" s="34" t="s">
        <v>48</v>
      </c>
      <c r="M198" s="33" t="n">
        <f>20705</f>
        <v>20705.0</v>
      </c>
      <c r="N198" s="34" t="s">
        <v>48</v>
      </c>
      <c r="O198" s="33" t="n">
        <f>17985</f>
        <v>17985.0</v>
      </c>
      <c r="P198" s="34" t="s">
        <v>78</v>
      </c>
      <c r="Q198" s="33" t="n">
        <f>19500</f>
        <v>19500.0</v>
      </c>
      <c r="R198" s="34" t="s">
        <v>50</v>
      </c>
      <c r="S198" s="35" t="n">
        <f>19323.33</f>
        <v>19323.33</v>
      </c>
      <c r="T198" s="32" t="n">
        <f>599</f>
        <v>599.0</v>
      </c>
      <c r="U198" s="32" t="str">
        <f>"－"</f>
        <v>－</v>
      </c>
      <c r="V198" s="32" t="n">
        <f>11347435</f>
        <v>1.1347435E7</v>
      </c>
      <c r="W198" s="32" t="str">
        <f>"－"</f>
        <v>－</v>
      </c>
      <c r="X198" s="36" t="n">
        <f>18</f>
        <v>18.0</v>
      </c>
    </row>
    <row r="199">
      <c r="A199" s="27" t="s">
        <v>42</v>
      </c>
      <c r="B199" s="27" t="s">
        <v>638</v>
      </c>
      <c r="C199" s="27" t="s">
        <v>639</v>
      </c>
      <c r="D199" s="27" t="s">
        <v>640</v>
      </c>
      <c r="E199" s="28" t="s">
        <v>46</v>
      </c>
      <c r="F199" s="29" t="s">
        <v>46</v>
      </c>
      <c r="G199" s="30" t="s">
        <v>46</v>
      </c>
      <c r="H199" s="31"/>
      <c r="I199" s="31" t="s">
        <v>416</v>
      </c>
      <c r="J199" s="32" t="n">
        <v>1.0</v>
      </c>
      <c r="K199" s="33" t="n">
        <f>29420</f>
        <v>29420.0</v>
      </c>
      <c r="L199" s="34" t="s">
        <v>48</v>
      </c>
      <c r="M199" s="33" t="n">
        <f>29590</f>
        <v>29590.0</v>
      </c>
      <c r="N199" s="34" t="s">
        <v>48</v>
      </c>
      <c r="O199" s="33" t="n">
        <f>24650</f>
        <v>24650.0</v>
      </c>
      <c r="P199" s="34" t="s">
        <v>78</v>
      </c>
      <c r="Q199" s="33" t="n">
        <f>26470</f>
        <v>26470.0</v>
      </c>
      <c r="R199" s="34" t="s">
        <v>50</v>
      </c>
      <c r="S199" s="35" t="n">
        <f>26766.43</f>
        <v>26766.43</v>
      </c>
      <c r="T199" s="32" t="n">
        <f>42079</f>
        <v>42079.0</v>
      </c>
      <c r="U199" s="32" t="str">
        <f>"－"</f>
        <v>－</v>
      </c>
      <c r="V199" s="32" t="n">
        <f>1116551760</f>
        <v>1.11655176E9</v>
      </c>
      <c r="W199" s="32" t="str">
        <f>"－"</f>
        <v>－</v>
      </c>
      <c r="X199" s="36" t="n">
        <f>21</f>
        <v>21.0</v>
      </c>
    </row>
    <row r="200">
      <c r="A200" s="27" t="s">
        <v>42</v>
      </c>
      <c r="B200" s="27" t="s">
        <v>641</v>
      </c>
      <c r="C200" s="27" t="s">
        <v>642</v>
      </c>
      <c r="D200" s="27" t="s">
        <v>643</v>
      </c>
      <c r="E200" s="28" t="s">
        <v>46</v>
      </c>
      <c r="F200" s="29" t="s">
        <v>46</v>
      </c>
      <c r="G200" s="30" t="s">
        <v>46</v>
      </c>
      <c r="H200" s="31"/>
      <c r="I200" s="31" t="s">
        <v>416</v>
      </c>
      <c r="J200" s="32" t="n">
        <v>1.0</v>
      </c>
      <c r="K200" s="33" t="n">
        <f>16725</f>
        <v>16725.0</v>
      </c>
      <c r="L200" s="34" t="s">
        <v>48</v>
      </c>
      <c r="M200" s="33" t="n">
        <f>16775</f>
        <v>16775.0</v>
      </c>
      <c r="N200" s="34" t="s">
        <v>82</v>
      </c>
      <c r="O200" s="33" t="n">
        <f>14805</f>
        <v>14805.0</v>
      </c>
      <c r="P200" s="34" t="s">
        <v>219</v>
      </c>
      <c r="Q200" s="33" t="n">
        <f>16005</f>
        <v>16005.0</v>
      </c>
      <c r="R200" s="34" t="s">
        <v>67</v>
      </c>
      <c r="S200" s="35" t="n">
        <f>15662.35</f>
        <v>15662.35</v>
      </c>
      <c r="T200" s="32" t="n">
        <f>510</f>
        <v>510.0</v>
      </c>
      <c r="U200" s="32" t="str">
        <f>"－"</f>
        <v>－</v>
      </c>
      <c r="V200" s="32" t="n">
        <f>7855535</f>
        <v>7855535.0</v>
      </c>
      <c r="W200" s="32" t="str">
        <f>"－"</f>
        <v>－</v>
      </c>
      <c r="X200" s="36" t="n">
        <f>17</f>
        <v>17.0</v>
      </c>
    </row>
    <row r="201">
      <c r="A201" s="27" t="s">
        <v>42</v>
      </c>
      <c r="B201" s="27" t="s">
        <v>644</v>
      </c>
      <c r="C201" s="27" t="s">
        <v>645</v>
      </c>
      <c r="D201" s="27" t="s">
        <v>646</v>
      </c>
      <c r="E201" s="28" t="s">
        <v>46</v>
      </c>
      <c r="F201" s="29" t="s">
        <v>46</v>
      </c>
      <c r="G201" s="30" t="s">
        <v>46</v>
      </c>
      <c r="H201" s="31"/>
      <c r="I201" s="31" t="s">
        <v>416</v>
      </c>
      <c r="J201" s="32" t="n">
        <v>1.0</v>
      </c>
      <c r="K201" s="33" t="n">
        <f>27855</f>
        <v>27855.0</v>
      </c>
      <c r="L201" s="34" t="s">
        <v>48</v>
      </c>
      <c r="M201" s="33" t="n">
        <f>28915</f>
        <v>28915.0</v>
      </c>
      <c r="N201" s="34" t="s">
        <v>289</v>
      </c>
      <c r="O201" s="33" t="n">
        <f>22045</f>
        <v>22045.0</v>
      </c>
      <c r="P201" s="34" t="s">
        <v>49</v>
      </c>
      <c r="Q201" s="33" t="n">
        <f>28365</f>
        <v>28365.0</v>
      </c>
      <c r="R201" s="34" t="s">
        <v>50</v>
      </c>
      <c r="S201" s="35" t="n">
        <f>26846.9</f>
        <v>26846.9</v>
      </c>
      <c r="T201" s="32" t="n">
        <f>109465</f>
        <v>109465.0</v>
      </c>
      <c r="U201" s="32" t="n">
        <f>4</f>
        <v>4.0</v>
      </c>
      <c r="V201" s="32" t="n">
        <f>2860595845</f>
        <v>2.860595845E9</v>
      </c>
      <c r="W201" s="32" t="n">
        <f>114600</f>
        <v>114600.0</v>
      </c>
      <c r="X201" s="36" t="n">
        <f>21</f>
        <v>21.0</v>
      </c>
    </row>
    <row r="202">
      <c r="A202" s="27" t="s">
        <v>42</v>
      </c>
      <c r="B202" s="27" t="s">
        <v>647</v>
      </c>
      <c r="C202" s="27" t="s">
        <v>648</v>
      </c>
      <c r="D202" s="27" t="s">
        <v>649</v>
      </c>
      <c r="E202" s="28" t="s">
        <v>46</v>
      </c>
      <c r="F202" s="29" t="s">
        <v>46</v>
      </c>
      <c r="G202" s="30" t="s">
        <v>46</v>
      </c>
      <c r="H202" s="31"/>
      <c r="I202" s="31" t="s">
        <v>416</v>
      </c>
      <c r="J202" s="32" t="n">
        <v>1.0</v>
      </c>
      <c r="K202" s="33" t="n">
        <f>3710</f>
        <v>3710.0</v>
      </c>
      <c r="L202" s="34" t="s">
        <v>48</v>
      </c>
      <c r="M202" s="33" t="n">
        <f>3900</f>
        <v>3900.0</v>
      </c>
      <c r="N202" s="34" t="s">
        <v>49</v>
      </c>
      <c r="O202" s="33" t="n">
        <f>3310</f>
        <v>3310.0</v>
      </c>
      <c r="P202" s="34" t="s">
        <v>105</v>
      </c>
      <c r="Q202" s="33" t="n">
        <f>3380</f>
        <v>3380.0</v>
      </c>
      <c r="R202" s="34" t="s">
        <v>50</v>
      </c>
      <c r="S202" s="35" t="n">
        <f>3534.29</f>
        <v>3534.29</v>
      </c>
      <c r="T202" s="32" t="n">
        <f>15832</f>
        <v>15832.0</v>
      </c>
      <c r="U202" s="32" t="str">
        <f>"－"</f>
        <v>－</v>
      </c>
      <c r="V202" s="32" t="n">
        <f>57081635</f>
        <v>5.7081635E7</v>
      </c>
      <c r="W202" s="32" t="str">
        <f>"－"</f>
        <v>－</v>
      </c>
      <c r="X202" s="36" t="n">
        <f>21</f>
        <v>21.0</v>
      </c>
    </row>
    <row r="203">
      <c r="A203" s="27" t="s">
        <v>42</v>
      </c>
      <c r="B203" s="27" t="s">
        <v>650</v>
      </c>
      <c r="C203" s="27" t="s">
        <v>651</v>
      </c>
      <c r="D203" s="27" t="s">
        <v>652</v>
      </c>
      <c r="E203" s="28" t="s">
        <v>46</v>
      </c>
      <c r="F203" s="29" t="s">
        <v>46</v>
      </c>
      <c r="G203" s="30" t="s">
        <v>46</v>
      </c>
      <c r="H203" s="31"/>
      <c r="I203" s="31" t="s">
        <v>416</v>
      </c>
      <c r="J203" s="32" t="n">
        <v>1.0</v>
      </c>
      <c r="K203" s="33" t="n">
        <f>29830</f>
        <v>29830.0</v>
      </c>
      <c r="L203" s="34" t="s">
        <v>95</v>
      </c>
      <c r="M203" s="33" t="n">
        <f>29840</f>
        <v>29840.0</v>
      </c>
      <c r="N203" s="34" t="s">
        <v>71</v>
      </c>
      <c r="O203" s="33" t="n">
        <f>24940</f>
        <v>24940.0</v>
      </c>
      <c r="P203" s="34" t="s">
        <v>49</v>
      </c>
      <c r="Q203" s="33" t="n">
        <f>29440</f>
        <v>29440.0</v>
      </c>
      <c r="R203" s="34" t="s">
        <v>50</v>
      </c>
      <c r="S203" s="35" t="n">
        <f>28339.38</f>
        <v>28339.38</v>
      </c>
      <c r="T203" s="32" t="n">
        <f>1241</f>
        <v>1241.0</v>
      </c>
      <c r="U203" s="32" t="str">
        <f>"－"</f>
        <v>－</v>
      </c>
      <c r="V203" s="32" t="n">
        <f>34817380</f>
        <v>3.481738E7</v>
      </c>
      <c r="W203" s="32" t="str">
        <f>"－"</f>
        <v>－</v>
      </c>
      <c r="X203" s="36" t="n">
        <f>16</f>
        <v>16.0</v>
      </c>
    </row>
    <row r="204">
      <c r="A204" s="27" t="s">
        <v>42</v>
      </c>
      <c r="B204" s="27" t="s">
        <v>653</v>
      </c>
      <c r="C204" s="27" t="s">
        <v>654</v>
      </c>
      <c r="D204" s="27" t="s">
        <v>655</v>
      </c>
      <c r="E204" s="28" t="s">
        <v>46</v>
      </c>
      <c r="F204" s="29" t="s">
        <v>46</v>
      </c>
      <c r="G204" s="30" t="s">
        <v>46</v>
      </c>
      <c r="H204" s="31"/>
      <c r="I204" s="31" t="s">
        <v>416</v>
      </c>
      <c r="J204" s="32" t="n">
        <v>1.0</v>
      </c>
      <c r="K204" s="33" t="n">
        <f>19730</f>
        <v>19730.0</v>
      </c>
      <c r="L204" s="34" t="s">
        <v>48</v>
      </c>
      <c r="M204" s="33" t="n">
        <f>19730</f>
        <v>19730.0</v>
      </c>
      <c r="N204" s="34" t="s">
        <v>48</v>
      </c>
      <c r="O204" s="33" t="n">
        <f>17400</f>
        <v>17400.0</v>
      </c>
      <c r="P204" s="34" t="s">
        <v>78</v>
      </c>
      <c r="Q204" s="33" t="n">
        <f>19495</f>
        <v>19495.0</v>
      </c>
      <c r="R204" s="34" t="s">
        <v>67</v>
      </c>
      <c r="S204" s="35" t="n">
        <f>18819.5</f>
        <v>18819.5</v>
      </c>
      <c r="T204" s="32" t="n">
        <f>149</f>
        <v>149.0</v>
      </c>
      <c r="U204" s="32" t="str">
        <f>"－"</f>
        <v>－</v>
      </c>
      <c r="V204" s="32" t="n">
        <f>2867795</f>
        <v>2867795.0</v>
      </c>
      <c r="W204" s="32" t="str">
        <f>"－"</f>
        <v>－</v>
      </c>
      <c r="X204" s="36" t="n">
        <f>10</f>
        <v>10.0</v>
      </c>
    </row>
    <row r="205">
      <c r="A205" s="27" t="s">
        <v>42</v>
      </c>
      <c r="B205" s="27" t="s">
        <v>656</v>
      </c>
      <c r="C205" s="27" t="s">
        <v>657</v>
      </c>
      <c r="D205" s="27" t="s">
        <v>658</v>
      </c>
      <c r="E205" s="28" t="s">
        <v>46</v>
      </c>
      <c r="F205" s="29" t="s">
        <v>46</v>
      </c>
      <c r="G205" s="30" t="s">
        <v>46</v>
      </c>
      <c r="H205" s="31"/>
      <c r="I205" s="31" t="s">
        <v>416</v>
      </c>
      <c r="J205" s="32" t="n">
        <v>1.0</v>
      </c>
      <c r="K205" s="33" t="n">
        <f>34720</f>
        <v>34720.0</v>
      </c>
      <c r="L205" s="34" t="s">
        <v>95</v>
      </c>
      <c r="M205" s="33" t="n">
        <f>34720</f>
        <v>34720.0</v>
      </c>
      <c r="N205" s="34" t="s">
        <v>95</v>
      </c>
      <c r="O205" s="33" t="n">
        <f>32090</f>
        <v>32090.0</v>
      </c>
      <c r="P205" s="34" t="s">
        <v>223</v>
      </c>
      <c r="Q205" s="33" t="n">
        <f>34440</f>
        <v>34440.0</v>
      </c>
      <c r="R205" s="34" t="s">
        <v>71</v>
      </c>
      <c r="S205" s="35" t="n">
        <f>33413</f>
        <v>33413.0</v>
      </c>
      <c r="T205" s="32" t="n">
        <f>480</f>
        <v>480.0</v>
      </c>
      <c r="U205" s="32" t="str">
        <f>"－"</f>
        <v>－</v>
      </c>
      <c r="V205" s="32" t="n">
        <f>16365420</f>
        <v>1.636542E7</v>
      </c>
      <c r="W205" s="32" t="str">
        <f>"－"</f>
        <v>－</v>
      </c>
      <c r="X205" s="36" t="n">
        <f>10</f>
        <v>10.0</v>
      </c>
    </row>
    <row r="206">
      <c r="A206" s="27" t="s">
        <v>42</v>
      </c>
      <c r="B206" s="27" t="s">
        <v>659</v>
      </c>
      <c r="C206" s="27" t="s">
        <v>660</v>
      </c>
      <c r="D206" s="27" t="s">
        <v>661</v>
      </c>
      <c r="E206" s="28" t="s">
        <v>46</v>
      </c>
      <c r="F206" s="29" t="s">
        <v>46</v>
      </c>
      <c r="G206" s="30" t="s">
        <v>46</v>
      </c>
      <c r="H206" s="31"/>
      <c r="I206" s="31" t="s">
        <v>416</v>
      </c>
      <c r="J206" s="32" t="n">
        <v>1.0</v>
      </c>
      <c r="K206" s="33" t="n">
        <f>18755</f>
        <v>18755.0</v>
      </c>
      <c r="L206" s="34" t="s">
        <v>634</v>
      </c>
      <c r="M206" s="33" t="n">
        <f>19030</f>
        <v>19030.0</v>
      </c>
      <c r="N206" s="34" t="s">
        <v>105</v>
      </c>
      <c r="O206" s="33" t="n">
        <f>18755</f>
        <v>18755.0</v>
      </c>
      <c r="P206" s="34" t="s">
        <v>634</v>
      </c>
      <c r="Q206" s="33" t="n">
        <f>19030</f>
        <v>19030.0</v>
      </c>
      <c r="R206" s="34" t="s">
        <v>105</v>
      </c>
      <c r="S206" s="35" t="n">
        <f>18935</f>
        <v>18935.0</v>
      </c>
      <c r="T206" s="32" t="n">
        <f>154</f>
        <v>154.0</v>
      </c>
      <c r="U206" s="32" t="str">
        <f>"－"</f>
        <v>－</v>
      </c>
      <c r="V206" s="32" t="n">
        <f>2889340</f>
        <v>2889340.0</v>
      </c>
      <c r="W206" s="32" t="str">
        <f>"－"</f>
        <v>－</v>
      </c>
      <c r="X206" s="36" t="n">
        <f>3</f>
        <v>3.0</v>
      </c>
    </row>
    <row r="207">
      <c r="A207" s="27" t="s">
        <v>42</v>
      </c>
      <c r="B207" s="27" t="s">
        <v>662</v>
      </c>
      <c r="C207" s="27" t="s">
        <v>663</v>
      </c>
      <c r="D207" s="27" t="s">
        <v>664</v>
      </c>
      <c r="E207" s="28" t="s">
        <v>46</v>
      </c>
      <c r="F207" s="29" t="s">
        <v>46</v>
      </c>
      <c r="G207" s="30" t="s">
        <v>46</v>
      </c>
      <c r="H207" s="31"/>
      <c r="I207" s="31" t="s">
        <v>416</v>
      </c>
      <c r="J207" s="32" t="n">
        <v>1.0</v>
      </c>
      <c r="K207" s="33" t="n">
        <f>19605</f>
        <v>19605.0</v>
      </c>
      <c r="L207" s="34" t="s">
        <v>48</v>
      </c>
      <c r="M207" s="33" t="n">
        <f>19605</f>
        <v>19605.0</v>
      </c>
      <c r="N207" s="34" t="s">
        <v>48</v>
      </c>
      <c r="O207" s="33" t="n">
        <f>16005</f>
        <v>16005.0</v>
      </c>
      <c r="P207" s="34" t="s">
        <v>49</v>
      </c>
      <c r="Q207" s="33" t="n">
        <f>19210</f>
        <v>19210.0</v>
      </c>
      <c r="R207" s="34" t="s">
        <v>50</v>
      </c>
      <c r="S207" s="35" t="n">
        <f>18333.18</f>
        <v>18333.18</v>
      </c>
      <c r="T207" s="32" t="n">
        <f>473</f>
        <v>473.0</v>
      </c>
      <c r="U207" s="32" t="str">
        <f>"－"</f>
        <v>－</v>
      </c>
      <c r="V207" s="32" t="n">
        <f>8624380</f>
        <v>8624380.0</v>
      </c>
      <c r="W207" s="32" t="str">
        <f>"－"</f>
        <v>－</v>
      </c>
      <c r="X207" s="36" t="n">
        <f>11</f>
        <v>11.0</v>
      </c>
    </row>
    <row r="208">
      <c r="A208" s="27" t="s">
        <v>42</v>
      </c>
      <c r="B208" s="27" t="s">
        <v>665</v>
      </c>
      <c r="C208" s="27" t="s">
        <v>666</v>
      </c>
      <c r="D208" s="27" t="s">
        <v>667</v>
      </c>
      <c r="E208" s="28" t="s">
        <v>46</v>
      </c>
      <c r="F208" s="29" t="s">
        <v>46</v>
      </c>
      <c r="G208" s="30" t="s">
        <v>46</v>
      </c>
      <c r="H208" s="31"/>
      <c r="I208" s="31" t="s">
        <v>416</v>
      </c>
      <c r="J208" s="32" t="n">
        <v>1.0</v>
      </c>
      <c r="K208" s="33" t="n">
        <f>22485</f>
        <v>22485.0</v>
      </c>
      <c r="L208" s="34" t="s">
        <v>48</v>
      </c>
      <c r="M208" s="33" t="n">
        <f>22485</f>
        <v>22485.0</v>
      </c>
      <c r="N208" s="34" t="s">
        <v>48</v>
      </c>
      <c r="O208" s="33" t="n">
        <f>22350</f>
        <v>22350.0</v>
      </c>
      <c r="P208" s="34" t="s">
        <v>82</v>
      </c>
      <c r="Q208" s="33" t="n">
        <f>22350</f>
        <v>22350.0</v>
      </c>
      <c r="R208" s="34" t="s">
        <v>82</v>
      </c>
      <c r="S208" s="35" t="n">
        <f>22417.5</f>
        <v>22417.5</v>
      </c>
      <c r="T208" s="32" t="n">
        <f>2</f>
        <v>2.0</v>
      </c>
      <c r="U208" s="32" t="str">
        <f>"－"</f>
        <v>－</v>
      </c>
      <c r="V208" s="32" t="n">
        <f>44835</f>
        <v>44835.0</v>
      </c>
      <c r="W208" s="32" t="str">
        <f>"－"</f>
        <v>－</v>
      </c>
      <c r="X208" s="36" t="n">
        <f>2</f>
        <v>2.0</v>
      </c>
    </row>
    <row r="209">
      <c r="A209" s="27" t="s">
        <v>42</v>
      </c>
      <c r="B209" s="27" t="s">
        <v>668</v>
      </c>
      <c r="C209" s="27" t="s">
        <v>669</v>
      </c>
      <c r="D209" s="27" t="s">
        <v>670</v>
      </c>
      <c r="E209" s="28" t="s">
        <v>46</v>
      </c>
      <c r="F209" s="29" t="s">
        <v>46</v>
      </c>
      <c r="G209" s="30" t="s">
        <v>46</v>
      </c>
      <c r="H209" s="31"/>
      <c r="I209" s="31" t="s">
        <v>416</v>
      </c>
      <c r="J209" s="32" t="n">
        <v>1.0</v>
      </c>
      <c r="K209" s="33" t="n">
        <f>17705</f>
        <v>17705.0</v>
      </c>
      <c r="L209" s="34" t="s">
        <v>49</v>
      </c>
      <c r="M209" s="33" t="n">
        <f>17705</f>
        <v>17705.0</v>
      </c>
      <c r="N209" s="34" t="s">
        <v>49</v>
      </c>
      <c r="O209" s="33" t="n">
        <f>16265</f>
        <v>16265.0</v>
      </c>
      <c r="P209" s="34" t="s">
        <v>49</v>
      </c>
      <c r="Q209" s="33" t="n">
        <f>16265</f>
        <v>16265.0</v>
      </c>
      <c r="R209" s="34" t="s">
        <v>49</v>
      </c>
      <c r="S209" s="35" t="n">
        <f>16265</f>
        <v>16265.0</v>
      </c>
      <c r="T209" s="32" t="n">
        <f>4</f>
        <v>4.0</v>
      </c>
      <c r="U209" s="32" t="str">
        <f>"－"</f>
        <v>－</v>
      </c>
      <c r="V209" s="32" t="n">
        <f>67940</f>
        <v>67940.0</v>
      </c>
      <c r="W209" s="32" t="str">
        <f>"－"</f>
        <v>－</v>
      </c>
      <c r="X209" s="36" t="n">
        <f>1</f>
        <v>1.0</v>
      </c>
    </row>
    <row r="210">
      <c r="A210" s="27" t="s">
        <v>42</v>
      </c>
      <c r="B210" s="27" t="s">
        <v>671</v>
      </c>
      <c r="C210" s="27" t="s">
        <v>672</v>
      </c>
      <c r="D210" s="27" t="s">
        <v>673</v>
      </c>
      <c r="E210" s="28" t="s">
        <v>46</v>
      </c>
      <c r="F210" s="29" t="s">
        <v>46</v>
      </c>
      <c r="G210" s="30" t="s">
        <v>46</v>
      </c>
      <c r="H210" s="31"/>
      <c r="I210" s="31" t="s">
        <v>416</v>
      </c>
      <c r="J210" s="32" t="n">
        <v>1.0</v>
      </c>
      <c r="K210" s="33" t="n">
        <f>11980</f>
        <v>11980.0</v>
      </c>
      <c r="L210" s="34" t="s">
        <v>67</v>
      </c>
      <c r="M210" s="33" t="n">
        <f>11980</f>
        <v>11980.0</v>
      </c>
      <c r="N210" s="34" t="s">
        <v>67</v>
      </c>
      <c r="O210" s="33" t="n">
        <f>11980</f>
        <v>11980.0</v>
      </c>
      <c r="P210" s="34" t="s">
        <v>67</v>
      </c>
      <c r="Q210" s="33" t="n">
        <f>11980</f>
        <v>11980.0</v>
      </c>
      <c r="R210" s="34" t="s">
        <v>67</v>
      </c>
      <c r="S210" s="35" t="n">
        <f>11980</f>
        <v>11980.0</v>
      </c>
      <c r="T210" s="32" t="n">
        <f>500</f>
        <v>500.0</v>
      </c>
      <c r="U210" s="32" t="str">
        <f>"－"</f>
        <v>－</v>
      </c>
      <c r="V210" s="32" t="n">
        <f>5990000</f>
        <v>5990000.0</v>
      </c>
      <c r="W210" s="32" t="str">
        <f>"－"</f>
        <v>－</v>
      </c>
      <c r="X210" s="36" t="n">
        <f>1</f>
        <v>1.0</v>
      </c>
    </row>
    <row r="211">
      <c r="A211" s="27" t="s">
        <v>42</v>
      </c>
      <c r="B211" s="27" t="s">
        <v>674</v>
      </c>
      <c r="C211" s="27" t="s">
        <v>675</v>
      </c>
      <c r="D211" s="27" t="s">
        <v>676</v>
      </c>
      <c r="E211" s="28" t="s">
        <v>46</v>
      </c>
      <c r="F211" s="29" t="s">
        <v>46</v>
      </c>
      <c r="G211" s="30" t="s">
        <v>46</v>
      </c>
      <c r="H211" s="31"/>
      <c r="I211" s="31" t="s">
        <v>416</v>
      </c>
      <c r="J211" s="32" t="n">
        <v>1.0</v>
      </c>
      <c r="K211" s="33" t="n">
        <f>13900</f>
        <v>13900.0</v>
      </c>
      <c r="L211" s="34" t="s">
        <v>82</v>
      </c>
      <c r="M211" s="33" t="n">
        <f>14165</f>
        <v>14165.0</v>
      </c>
      <c r="N211" s="34" t="s">
        <v>50</v>
      </c>
      <c r="O211" s="33" t="n">
        <f>12370</f>
        <v>12370.0</v>
      </c>
      <c r="P211" s="34" t="s">
        <v>49</v>
      </c>
      <c r="Q211" s="33" t="n">
        <f>14165</f>
        <v>14165.0</v>
      </c>
      <c r="R211" s="34" t="s">
        <v>50</v>
      </c>
      <c r="S211" s="35" t="n">
        <f>13395</f>
        <v>13395.0</v>
      </c>
      <c r="T211" s="32" t="n">
        <f>3585</f>
        <v>3585.0</v>
      </c>
      <c r="U211" s="32" t="str">
        <f>"－"</f>
        <v>－</v>
      </c>
      <c r="V211" s="32" t="n">
        <f>47481595</f>
        <v>4.7481595E7</v>
      </c>
      <c r="W211" s="32" t="str">
        <f>"－"</f>
        <v>－</v>
      </c>
      <c r="X211" s="36" t="n">
        <f>11</f>
        <v>11.0</v>
      </c>
    </row>
    <row r="212">
      <c r="A212" s="27" t="s">
        <v>42</v>
      </c>
      <c r="B212" s="27" t="s">
        <v>677</v>
      </c>
      <c r="C212" s="27" t="s">
        <v>678</v>
      </c>
      <c r="D212" s="27" t="s">
        <v>679</v>
      </c>
      <c r="E212" s="28" t="s">
        <v>46</v>
      </c>
      <c r="F212" s="29" t="s">
        <v>46</v>
      </c>
      <c r="G212" s="30" t="s">
        <v>46</v>
      </c>
      <c r="H212" s="31"/>
      <c r="I212" s="31" t="s">
        <v>416</v>
      </c>
      <c r="J212" s="32" t="n">
        <v>1.0</v>
      </c>
      <c r="K212" s="33" t="n">
        <f>12590</f>
        <v>12590.0</v>
      </c>
      <c r="L212" s="34" t="s">
        <v>48</v>
      </c>
      <c r="M212" s="33" t="n">
        <f>12620</f>
        <v>12620.0</v>
      </c>
      <c r="N212" s="34" t="s">
        <v>82</v>
      </c>
      <c r="O212" s="33" t="n">
        <f>11970</f>
        <v>11970.0</v>
      </c>
      <c r="P212" s="34" t="s">
        <v>203</v>
      </c>
      <c r="Q212" s="33" t="n">
        <f>12280</f>
        <v>12280.0</v>
      </c>
      <c r="R212" s="34" t="s">
        <v>105</v>
      </c>
      <c r="S212" s="35" t="n">
        <f>12255.71</f>
        <v>12255.71</v>
      </c>
      <c r="T212" s="32" t="n">
        <f>1724</f>
        <v>1724.0</v>
      </c>
      <c r="U212" s="32" t="str">
        <f>"－"</f>
        <v>－</v>
      </c>
      <c r="V212" s="32" t="n">
        <f>21025150</f>
        <v>2.102515E7</v>
      </c>
      <c r="W212" s="32" t="str">
        <f>"－"</f>
        <v>－</v>
      </c>
      <c r="X212" s="36" t="n">
        <f>7</f>
        <v>7.0</v>
      </c>
    </row>
    <row r="213">
      <c r="A213" s="27" t="s">
        <v>42</v>
      </c>
      <c r="B213" s="27" t="s">
        <v>680</v>
      </c>
      <c r="C213" s="27" t="s">
        <v>681</v>
      </c>
      <c r="D213" s="27" t="s">
        <v>682</v>
      </c>
      <c r="E213" s="28" t="s">
        <v>46</v>
      </c>
      <c r="F213" s="29" t="s">
        <v>46</v>
      </c>
      <c r="G213" s="30" t="s">
        <v>46</v>
      </c>
      <c r="H213" s="31"/>
      <c r="I213" s="31" t="s">
        <v>416</v>
      </c>
      <c r="J213" s="32" t="n">
        <v>1.0</v>
      </c>
      <c r="K213" s="33" t="n">
        <f>13395</f>
        <v>13395.0</v>
      </c>
      <c r="L213" s="34" t="s">
        <v>82</v>
      </c>
      <c r="M213" s="33" t="n">
        <f>13660</f>
        <v>13660.0</v>
      </c>
      <c r="N213" s="34" t="s">
        <v>105</v>
      </c>
      <c r="O213" s="33" t="n">
        <f>13395</f>
        <v>13395.0</v>
      </c>
      <c r="P213" s="34" t="s">
        <v>82</v>
      </c>
      <c r="Q213" s="33" t="n">
        <f>13660</f>
        <v>13660.0</v>
      </c>
      <c r="R213" s="34" t="s">
        <v>105</v>
      </c>
      <c r="S213" s="35" t="n">
        <f>13527.5</f>
        <v>13527.5</v>
      </c>
      <c r="T213" s="32" t="n">
        <f>1461</f>
        <v>1461.0</v>
      </c>
      <c r="U213" s="32" t="str">
        <f>"－"</f>
        <v>－</v>
      </c>
      <c r="V213" s="32" t="n">
        <f>19956995</f>
        <v>1.9956995E7</v>
      </c>
      <c r="W213" s="32" t="str">
        <f>"－"</f>
        <v>－</v>
      </c>
      <c r="X213" s="36" t="n">
        <f>2</f>
        <v>2.0</v>
      </c>
    </row>
    <row r="214">
      <c r="A214" s="27" t="s">
        <v>42</v>
      </c>
      <c r="B214" s="27" t="s">
        <v>683</v>
      </c>
      <c r="C214" s="27" t="s">
        <v>684</v>
      </c>
      <c r="D214" s="27" t="s">
        <v>685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1257</f>
        <v>1257.0</v>
      </c>
      <c r="L214" s="34" t="s">
        <v>48</v>
      </c>
      <c r="M214" s="33" t="n">
        <f>1257</f>
        <v>1257.0</v>
      </c>
      <c r="N214" s="34" t="s">
        <v>48</v>
      </c>
      <c r="O214" s="33" t="n">
        <f>976</f>
        <v>976.0</v>
      </c>
      <c r="P214" s="34" t="s">
        <v>49</v>
      </c>
      <c r="Q214" s="33" t="n">
        <f>1197</f>
        <v>1197.0</v>
      </c>
      <c r="R214" s="34" t="s">
        <v>50</v>
      </c>
      <c r="S214" s="35" t="n">
        <f>1137.57</f>
        <v>1137.57</v>
      </c>
      <c r="T214" s="32" t="n">
        <f>3087319</f>
        <v>3087319.0</v>
      </c>
      <c r="U214" s="32" t="str">
        <f>"－"</f>
        <v>－</v>
      </c>
      <c r="V214" s="32" t="n">
        <f>3451940021</f>
        <v>3.451940021E9</v>
      </c>
      <c r="W214" s="32" t="str">
        <f>"－"</f>
        <v>－</v>
      </c>
      <c r="X214" s="36" t="n">
        <f>21</f>
        <v>21.0</v>
      </c>
    </row>
    <row r="215">
      <c r="A215" s="27" t="s">
        <v>42</v>
      </c>
      <c r="B215" s="27" t="s">
        <v>686</v>
      </c>
      <c r="C215" s="27" t="s">
        <v>687</v>
      </c>
      <c r="D215" s="27" t="s">
        <v>688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1287</f>
        <v>1287.0</v>
      </c>
      <c r="L215" s="34" t="s">
        <v>48</v>
      </c>
      <c r="M215" s="33" t="n">
        <f>1289</f>
        <v>1289.0</v>
      </c>
      <c r="N215" s="34" t="s">
        <v>48</v>
      </c>
      <c r="O215" s="33" t="n">
        <f>912</f>
        <v>912.0</v>
      </c>
      <c r="P215" s="34" t="s">
        <v>49</v>
      </c>
      <c r="Q215" s="33" t="n">
        <f>1272</f>
        <v>1272.0</v>
      </c>
      <c r="R215" s="34" t="s">
        <v>50</v>
      </c>
      <c r="S215" s="35" t="n">
        <f>1201.14</f>
        <v>1201.14</v>
      </c>
      <c r="T215" s="32" t="n">
        <f>32002</f>
        <v>32002.0</v>
      </c>
      <c r="U215" s="32" t="str">
        <f>"－"</f>
        <v>－</v>
      </c>
      <c r="V215" s="32" t="n">
        <f>37695515</f>
        <v>3.7695515E7</v>
      </c>
      <c r="W215" s="32" t="str">
        <f>"－"</f>
        <v>－</v>
      </c>
      <c r="X215" s="36" t="n">
        <f>21</f>
        <v>21.0</v>
      </c>
    </row>
    <row r="216">
      <c r="A216" s="27" t="s">
        <v>42</v>
      </c>
      <c r="B216" s="27" t="s">
        <v>689</v>
      </c>
      <c r="C216" s="27" t="s">
        <v>690</v>
      </c>
      <c r="D216" s="27" t="s">
        <v>691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1027</f>
        <v>1027.0</v>
      </c>
      <c r="L216" s="34" t="s">
        <v>48</v>
      </c>
      <c r="M216" s="33" t="n">
        <f>1063</f>
        <v>1063.0</v>
      </c>
      <c r="N216" s="34" t="s">
        <v>50</v>
      </c>
      <c r="O216" s="33" t="n">
        <f>829</f>
        <v>829.0</v>
      </c>
      <c r="P216" s="34" t="s">
        <v>49</v>
      </c>
      <c r="Q216" s="33" t="n">
        <f>1056</f>
        <v>1056.0</v>
      </c>
      <c r="R216" s="34" t="s">
        <v>50</v>
      </c>
      <c r="S216" s="35" t="n">
        <f>1014.05</f>
        <v>1014.05</v>
      </c>
      <c r="T216" s="32" t="n">
        <f>12019</f>
        <v>12019.0</v>
      </c>
      <c r="U216" s="32" t="str">
        <f>"－"</f>
        <v>－</v>
      </c>
      <c r="V216" s="32" t="n">
        <f>11911546</f>
        <v>1.1911546E7</v>
      </c>
      <c r="W216" s="32" t="str">
        <f>"－"</f>
        <v>－</v>
      </c>
      <c r="X216" s="36" t="n">
        <f>21</f>
        <v>21.0</v>
      </c>
    </row>
    <row r="217">
      <c r="A217" s="27" t="s">
        <v>42</v>
      </c>
      <c r="B217" s="27" t="s">
        <v>692</v>
      </c>
      <c r="C217" s="27" t="s">
        <v>693</v>
      </c>
      <c r="D217" s="27" t="s">
        <v>694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2116</f>
        <v>2116.0</v>
      </c>
      <c r="L217" s="34" t="s">
        <v>48</v>
      </c>
      <c r="M217" s="33" t="n">
        <f>2125</f>
        <v>2125.0</v>
      </c>
      <c r="N217" s="34" t="s">
        <v>71</v>
      </c>
      <c r="O217" s="33" t="n">
        <f>1750</f>
        <v>1750.0</v>
      </c>
      <c r="P217" s="34" t="s">
        <v>49</v>
      </c>
      <c r="Q217" s="33" t="n">
        <f>2117</f>
        <v>2117.0</v>
      </c>
      <c r="R217" s="34" t="s">
        <v>50</v>
      </c>
      <c r="S217" s="35" t="n">
        <f>2003.33</f>
        <v>2003.33</v>
      </c>
      <c r="T217" s="32" t="n">
        <f>218508</f>
        <v>218508.0</v>
      </c>
      <c r="U217" s="32" t="str">
        <f>"－"</f>
        <v>－</v>
      </c>
      <c r="V217" s="32" t="n">
        <f>437066264</f>
        <v>4.37066264E8</v>
      </c>
      <c r="W217" s="32" t="str">
        <f>"－"</f>
        <v>－</v>
      </c>
      <c r="X217" s="36" t="n">
        <f>21</f>
        <v>21.0</v>
      </c>
    </row>
    <row r="218">
      <c r="A218" s="27" t="s">
        <v>42</v>
      </c>
      <c r="B218" s="27" t="s">
        <v>695</v>
      </c>
      <c r="C218" s="27" t="s">
        <v>696</v>
      </c>
      <c r="D218" s="27" t="s">
        <v>697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2334</f>
        <v>2334.0</v>
      </c>
      <c r="L218" s="34" t="s">
        <v>48</v>
      </c>
      <c r="M218" s="33" t="n">
        <f>2335</f>
        <v>2335.0</v>
      </c>
      <c r="N218" s="34" t="s">
        <v>48</v>
      </c>
      <c r="O218" s="33" t="n">
        <f>1800</f>
        <v>1800.0</v>
      </c>
      <c r="P218" s="34" t="s">
        <v>49</v>
      </c>
      <c r="Q218" s="33" t="n">
        <f>2177</f>
        <v>2177.0</v>
      </c>
      <c r="R218" s="34" t="s">
        <v>50</v>
      </c>
      <c r="S218" s="35" t="n">
        <f>2090.95</f>
        <v>2090.95</v>
      </c>
      <c r="T218" s="32" t="n">
        <f>778888</f>
        <v>778888.0</v>
      </c>
      <c r="U218" s="32" t="n">
        <f>13000</f>
        <v>13000.0</v>
      </c>
      <c r="V218" s="32" t="n">
        <f>1592544364</f>
        <v>1.592544364E9</v>
      </c>
      <c r="W218" s="32" t="n">
        <f>26475300</f>
        <v>2.64753E7</v>
      </c>
      <c r="X218" s="36" t="n">
        <f>21</f>
        <v>21.0</v>
      </c>
    </row>
    <row r="219">
      <c r="A219" s="27" t="s">
        <v>42</v>
      </c>
      <c r="B219" s="27" t="s">
        <v>698</v>
      </c>
      <c r="C219" s="27" t="s">
        <v>699</v>
      </c>
      <c r="D219" s="27" t="s">
        <v>700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574.1</f>
        <v>574.1</v>
      </c>
      <c r="L219" s="34" t="s">
        <v>48</v>
      </c>
      <c r="M219" s="33" t="n">
        <f>574.1</f>
        <v>574.1</v>
      </c>
      <c r="N219" s="34" t="s">
        <v>48</v>
      </c>
      <c r="O219" s="33" t="n">
        <f>483.4</f>
        <v>483.4</v>
      </c>
      <c r="P219" s="34" t="s">
        <v>49</v>
      </c>
      <c r="Q219" s="33" t="n">
        <f>540.8</f>
        <v>540.8</v>
      </c>
      <c r="R219" s="34" t="s">
        <v>50</v>
      </c>
      <c r="S219" s="35" t="n">
        <f>530.27</f>
        <v>530.27</v>
      </c>
      <c r="T219" s="32" t="n">
        <f>2679850</f>
        <v>2679850.0</v>
      </c>
      <c r="U219" s="32" t="str">
        <f>"－"</f>
        <v>－</v>
      </c>
      <c r="V219" s="32" t="n">
        <f>1391735575</f>
        <v>1.391735575E9</v>
      </c>
      <c r="W219" s="32" t="str">
        <f>"－"</f>
        <v>－</v>
      </c>
      <c r="X219" s="36" t="n">
        <f>21</f>
        <v>21.0</v>
      </c>
    </row>
    <row r="220">
      <c r="A220" s="27" t="s">
        <v>42</v>
      </c>
      <c r="B220" s="27" t="s">
        <v>701</v>
      </c>
      <c r="C220" s="27" t="s">
        <v>702</v>
      </c>
      <c r="D220" s="27" t="s">
        <v>703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2377.5</f>
        <v>2377.5</v>
      </c>
      <c r="L220" s="34" t="s">
        <v>48</v>
      </c>
      <c r="M220" s="33" t="n">
        <f>2377.5</f>
        <v>2377.5</v>
      </c>
      <c r="N220" s="34" t="s">
        <v>48</v>
      </c>
      <c r="O220" s="33" t="n">
        <f>2057</f>
        <v>2057.0</v>
      </c>
      <c r="P220" s="34" t="s">
        <v>49</v>
      </c>
      <c r="Q220" s="33" t="n">
        <f>2312</f>
        <v>2312.0</v>
      </c>
      <c r="R220" s="34" t="s">
        <v>50</v>
      </c>
      <c r="S220" s="35" t="n">
        <f>2239.84</f>
        <v>2239.84</v>
      </c>
      <c r="T220" s="32" t="n">
        <f>829040</f>
        <v>829040.0</v>
      </c>
      <c r="U220" s="32" t="n">
        <f>489100</f>
        <v>489100.0</v>
      </c>
      <c r="V220" s="32" t="n">
        <f>1818327424</f>
        <v>1.818327424E9</v>
      </c>
      <c r="W220" s="32" t="n">
        <f>1099133099</f>
        <v>1.099133099E9</v>
      </c>
      <c r="X220" s="36" t="n">
        <f>16</f>
        <v>16.0</v>
      </c>
    </row>
    <row r="221">
      <c r="A221" s="27" t="s">
        <v>42</v>
      </c>
      <c r="B221" s="27" t="s">
        <v>704</v>
      </c>
      <c r="C221" s="27" t="s">
        <v>705</v>
      </c>
      <c r="D221" s="27" t="s">
        <v>706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2392</f>
        <v>2392.0</v>
      </c>
      <c r="L221" s="34" t="s">
        <v>82</v>
      </c>
      <c r="M221" s="33" t="n">
        <f>2415.5</f>
        <v>2415.5</v>
      </c>
      <c r="N221" s="34" t="s">
        <v>50</v>
      </c>
      <c r="O221" s="33" t="n">
        <f>2050</f>
        <v>2050.0</v>
      </c>
      <c r="P221" s="34" t="s">
        <v>49</v>
      </c>
      <c r="Q221" s="33" t="n">
        <f>2382.5</f>
        <v>2382.5</v>
      </c>
      <c r="R221" s="34" t="s">
        <v>50</v>
      </c>
      <c r="S221" s="35" t="n">
        <f>2280.61</f>
        <v>2280.61</v>
      </c>
      <c r="T221" s="32" t="n">
        <f>529810</f>
        <v>529810.0</v>
      </c>
      <c r="U221" s="32" t="n">
        <f>420000</f>
        <v>420000.0</v>
      </c>
      <c r="V221" s="32" t="n">
        <f>1237319636</f>
        <v>1.237319636E9</v>
      </c>
      <c r="W221" s="32" t="n">
        <f>1002686706</f>
        <v>1.002686706E9</v>
      </c>
      <c r="X221" s="36" t="n">
        <f>9</f>
        <v>9.0</v>
      </c>
    </row>
    <row r="222">
      <c r="A222" s="27" t="s">
        <v>42</v>
      </c>
      <c r="B222" s="27" t="s">
        <v>707</v>
      </c>
      <c r="C222" s="27" t="s">
        <v>708</v>
      </c>
      <c r="D222" s="27" t="s">
        <v>709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2100.5</f>
        <v>2100.5</v>
      </c>
      <c r="L222" s="34" t="s">
        <v>223</v>
      </c>
      <c r="M222" s="33" t="n">
        <f>2163</f>
        <v>2163.0</v>
      </c>
      <c r="N222" s="34" t="s">
        <v>50</v>
      </c>
      <c r="O222" s="33" t="n">
        <f>2078</f>
        <v>2078.0</v>
      </c>
      <c r="P222" s="34" t="s">
        <v>289</v>
      </c>
      <c r="Q222" s="33" t="n">
        <f>2131</f>
        <v>2131.0</v>
      </c>
      <c r="R222" s="34" t="s">
        <v>50</v>
      </c>
      <c r="S222" s="35" t="n">
        <f>2107.9</f>
        <v>2107.9</v>
      </c>
      <c r="T222" s="32" t="n">
        <f>644830</f>
        <v>644830.0</v>
      </c>
      <c r="U222" s="32" t="n">
        <f>588000</f>
        <v>588000.0</v>
      </c>
      <c r="V222" s="32" t="n">
        <f>1369959824</f>
        <v>1.369959824E9</v>
      </c>
      <c r="W222" s="32" t="n">
        <f>1250273339</f>
        <v>1.250273339E9</v>
      </c>
      <c r="X222" s="36" t="n">
        <f>5</f>
        <v>5.0</v>
      </c>
    </row>
    <row r="223">
      <c r="A223" s="27" t="s">
        <v>42</v>
      </c>
      <c r="B223" s="27" t="s">
        <v>710</v>
      </c>
      <c r="C223" s="27" t="s">
        <v>711</v>
      </c>
      <c r="D223" s="27" t="s">
        <v>712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2630</f>
        <v>2630.0</v>
      </c>
      <c r="L223" s="34" t="s">
        <v>82</v>
      </c>
      <c r="M223" s="33" t="n">
        <f>2716</f>
        <v>2716.0</v>
      </c>
      <c r="N223" s="34" t="s">
        <v>634</v>
      </c>
      <c r="O223" s="33" t="n">
        <f>2247</f>
        <v>2247.0</v>
      </c>
      <c r="P223" s="34" t="s">
        <v>78</v>
      </c>
      <c r="Q223" s="33" t="n">
        <f>2594</f>
        <v>2594.0</v>
      </c>
      <c r="R223" s="34" t="s">
        <v>50</v>
      </c>
      <c r="S223" s="35" t="n">
        <f>2462.75</f>
        <v>2462.75</v>
      </c>
      <c r="T223" s="32" t="n">
        <f>462340</f>
        <v>462340.0</v>
      </c>
      <c r="U223" s="32" t="n">
        <f>393800</f>
        <v>393800.0</v>
      </c>
      <c r="V223" s="32" t="n">
        <f>1155784855</f>
        <v>1.155784855E9</v>
      </c>
      <c r="W223" s="32" t="n">
        <f>999966495</f>
        <v>9.99966495E8</v>
      </c>
      <c r="X223" s="36" t="n">
        <f>20</f>
        <v>20.0</v>
      </c>
    </row>
    <row r="224">
      <c r="A224" s="27" t="s">
        <v>42</v>
      </c>
      <c r="B224" s="27" t="s">
        <v>713</v>
      </c>
      <c r="C224" s="27" t="s">
        <v>714</v>
      </c>
      <c r="D224" s="27" t="s">
        <v>715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4856</f>
        <v>4856.0</v>
      </c>
      <c r="L224" s="34" t="s">
        <v>82</v>
      </c>
      <c r="M224" s="33" t="n">
        <f>4918</f>
        <v>4918.0</v>
      </c>
      <c r="N224" s="34" t="s">
        <v>203</v>
      </c>
      <c r="O224" s="33" t="n">
        <f>4834</f>
        <v>4834.0</v>
      </c>
      <c r="P224" s="34" t="s">
        <v>219</v>
      </c>
      <c r="Q224" s="33" t="n">
        <f>4834</f>
        <v>4834.0</v>
      </c>
      <c r="R224" s="34" t="s">
        <v>219</v>
      </c>
      <c r="S224" s="35" t="n">
        <f>4872</f>
        <v>4872.0</v>
      </c>
      <c r="T224" s="32" t="n">
        <f>923510</f>
        <v>923510.0</v>
      </c>
      <c r="U224" s="32" t="n">
        <f>800000</f>
        <v>800000.0</v>
      </c>
      <c r="V224" s="32" t="n">
        <f>4482849670</f>
        <v>4.48284967E9</v>
      </c>
      <c r="W224" s="32" t="n">
        <f>3881394080</f>
        <v>3.88139408E9</v>
      </c>
      <c r="X224" s="36" t="n">
        <f>4</f>
        <v>4.0</v>
      </c>
    </row>
    <row r="225">
      <c r="A225" s="27" t="s">
        <v>42</v>
      </c>
      <c r="B225" s="27" t="s">
        <v>716</v>
      </c>
      <c r="C225" s="27" t="s">
        <v>717</v>
      </c>
      <c r="D225" s="27" t="s">
        <v>718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4785</f>
        <v>4785.0</v>
      </c>
      <c r="L225" s="34" t="s">
        <v>95</v>
      </c>
      <c r="M225" s="33" t="n">
        <f>4800</f>
        <v>4800.0</v>
      </c>
      <c r="N225" s="34" t="s">
        <v>78</v>
      </c>
      <c r="O225" s="33" t="n">
        <f>4785</f>
        <v>4785.0</v>
      </c>
      <c r="P225" s="34" t="s">
        <v>95</v>
      </c>
      <c r="Q225" s="33" t="n">
        <f>4800</f>
        <v>4800.0</v>
      </c>
      <c r="R225" s="34" t="s">
        <v>78</v>
      </c>
      <c r="S225" s="35" t="n">
        <f>4792.5</f>
        <v>4792.5</v>
      </c>
      <c r="T225" s="32" t="n">
        <f>20</f>
        <v>20.0</v>
      </c>
      <c r="U225" s="32" t="str">
        <f>"－"</f>
        <v>－</v>
      </c>
      <c r="V225" s="32" t="n">
        <f>95850</f>
        <v>95850.0</v>
      </c>
      <c r="W225" s="32" t="str">
        <f>"－"</f>
        <v>－</v>
      </c>
      <c r="X225" s="36" t="n">
        <f>2</f>
        <v>2.0</v>
      </c>
    </row>
    <row r="226">
      <c r="A226" s="27" t="s">
        <v>42</v>
      </c>
      <c r="B226" s="27" t="s">
        <v>719</v>
      </c>
      <c r="C226" s="27" t="s">
        <v>720</v>
      </c>
      <c r="D226" s="27" t="s">
        <v>721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4966</f>
        <v>4966.0</v>
      </c>
      <c r="L226" s="34" t="s">
        <v>203</v>
      </c>
      <c r="M226" s="33" t="n">
        <f>4966</f>
        <v>4966.0</v>
      </c>
      <c r="N226" s="34" t="s">
        <v>203</v>
      </c>
      <c r="O226" s="33" t="n">
        <f>4840</f>
        <v>4840.0</v>
      </c>
      <c r="P226" s="34" t="s">
        <v>60</v>
      </c>
      <c r="Q226" s="33" t="n">
        <f>4840</f>
        <v>4840.0</v>
      </c>
      <c r="R226" s="34" t="s">
        <v>60</v>
      </c>
      <c r="S226" s="35" t="n">
        <f>4903</f>
        <v>4903.0</v>
      </c>
      <c r="T226" s="32" t="n">
        <f>60</f>
        <v>60.0</v>
      </c>
      <c r="U226" s="32" t="str">
        <f>"－"</f>
        <v>－</v>
      </c>
      <c r="V226" s="32" t="n">
        <f>291700</f>
        <v>291700.0</v>
      </c>
      <c r="W226" s="32" t="str">
        <f>"－"</f>
        <v>－</v>
      </c>
      <c r="X226" s="36" t="n">
        <f>2</f>
        <v>2.0</v>
      </c>
    </row>
    <row r="227">
      <c r="A227" s="27" t="s">
        <v>42</v>
      </c>
      <c r="B227" s="27" t="s">
        <v>722</v>
      </c>
      <c r="C227" s="27" t="s">
        <v>723</v>
      </c>
      <c r="D227" s="27" t="s">
        <v>724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5017</f>
        <v>5017.0</v>
      </c>
      <c r="L227" s="34" t="s">
        <v>48</v>
      </c>
      <c r="M227" s="33" t="n">
        <f>5092</f>
        <v>5092.0</v>
      </c>
      <c r="N227" s="34" t="s">
        <v>49</v>
      </c>
      <c r="O227" s="33" t="n">
        <f>4704</f>
        <v>4704.0</v>
      </c>
      <c r="P227" s="34" t="s">
        <v>86</v>
      </c>
      <c r="Q227" s="33" t="n">
        <f>4803</f>
        <v>4803.0</v>
      </c>
      <c r="R227" s="34" t="s">
        <v>50</v>
      </c>
      <c r="S227" s="35" t="n">
        <f>4859.33</f>
        <v>4859.33</v>
      </c>
      <c r="T227" s="32" t="n">
        <f>2489770</f>
        <v>2489770.0</v>
      </c>
      <c r="U227" s="32" t="n">
        <f>2280000</f>
        <v>2280000.0</v>
      </c>
      <c r="V227" s="32" t="n">
        <f>12208794710</f>
        <v>1.220879471E10</v>
      </c>
      <c r="W227" s="32" t="n">
        <f>11182002000</f>
        <v>1.1182002E10</v>
      </c>
      <c r="X227" s="36" t="n">
        <f>21</f>
        <v>21.0</v>
      </c>
    </row>
    <row r="228">
      <c r="A228" s="27" t="s">
        <v>42</v>
      </c>
      <c r="B228" s="27" t="s">
        <v>725</v>
      </c>
      <c r="C228" s="27" t="s">
        <v>726</v>
      </c>
      <c r="D228" s="27" t="s">
        <v>727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944</f>
        <v>944.0</v>
      </c>
      <c r="L228" s="34" t="s">
        <v>48</v>
      </c>
      <c r="M228" s="33" t="n">
        <f>989</f>
        <v>989.0</v>
      </c>
      <c r="N228" s="34" t="s">
        <v>49</v>
      </c>
      <c r="O228" s="33" t="n">
        <f>922</f>
        <v>922.0</v>
      </c>
      <c r="P228" s="34" t="s">
        <v>105</v>
      </c>
      <c r="Q228" s="33" t="n">
        <f>928</f>
        <v>928.0</v>
      </c>
      <c r="R228" s="34" t="s">
        <v>50</v>
      </c>
      <c r="S228" s="35" t="n">
        <f>939.71</f>
        <v>939.71</v>
      </c>
      <c r="T228" s="32" t="n">
        <f>664553</f>
        <v>664553.0</v>
      </c>
      <c r="U228" s="32" t="n">
        <f>522000</f>
        <v>522000.0</v>
      </c>
      <c r="V228" s="32" t="n">
        <f>620046392</f>
        <v>6.20046392E8</v>
      </c>
      <c r="W228" s="32" t="n">
        <f>484677000</f>
        <v>4.84677E8</v>
      </c>
      <c r="X228" s="36" t="n">
        <f>21</f>
        <v>21.0</v>
      </c>
    </row>
    <row r="229">
      <c r="A229" s="27" t="s">
        <v>42</v>
      </c>
      <c r="B229" s="27" t="s">
        <v>728</v>
      </c>
      <c r="C229" s="27" t="s">
        <v>729</v>
      </c>
      <c r="D229" s="27" t="s">
        <v>730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1107</f>
        <v>1107.0</v>
      </c>
      <c r="L229" s="34" t="s">
        <v>48</v>
      </c>
      <c r="M229" s="33" t="n">
        <f>1109</f>
        <v>1109.0</v>
      </c>
      <c r="N229" s="34" t="s">
        <v>48</v>
      </c>
      <c r="O229" s="33" t="n">
        <f>967</f>
        <v>967.0</v>
      </c>
      <c r="P229" s="34" t="s">
        <v>78</v>
      </c>
      <c r="Q229" s="33" t="n">
        <f>1058</f>
        <v>1058.0</v>
      </c>
      <c r="R229" s="34" t="s">
        <v>50</v>
      </c>
      <c r="S229" s="35" t="n">
        <f>1050.29</f>
        <v>1050.29</v>
      </c>
      <c r="T229" s="32" t="n">
        <f>656352</f>
        <v>656352.0</v>
      </c>
      <c r="U229" s="32" t="n">
        <f>612000</f>
        <v>612000.0</v>
      </c>
      <c r="V229" s="32" t="n">
        <f>702494961</f>
        <v>7.02494961E8</v>
      </c>
      <c r="W229" s="32" t="n">
        <f>656246284</f>
        <v>6.56246284E8</v>
      </c>
      <c r="X229" s="36" t="n">
        <f>21</f>
        <v>21.0</v>
      </c>
    </row>
    <row r="230">
      <c r="A230" s="27" t="s">
        <v>42</v>
      </c>
      <c r="B230" s="27" t="s">
        <v>731</v>
      </c>
      <c r="C230" s="27" t="s">
        <v>732</v>
      </c>
      <c r="D230" s="27" t="s">
        <v>733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989</f>
        <v>989.0</v>
      </c>
      <c r="L230" s="34" t="s">
        <v>48</v>
      </c>
      <c r="M230" s="33" t="n">
        <f>1040</f>
        <v>1040.0</v>
      </c>
      <c r="N230" s="34" t="s">
        <v>223</v>
      </c>
      <c r="O230" s="33" t="n">
        <f>935</f>
        <v>935.0</v>
      </c>
      <c r="P230" s="34" t="s">
        <v>49</v>
      </c>
      <c r="Q230" s="33" t="n">
        <f>1002</f>
        <v>1002.0</v>
      </c>
      <c r="R230" s="34" t="s">
        <v>50</v>
      </c>
      <c r="S230" s="35" t="n">
        <f>996.38</f>
        <v>996.38</v>
      </c>
      <c r="T230" s="32" t="n">
        <f>139286</f>
        <v>139286.0</v>
      </c>
      <c r="U230" s="32" t="str">
        <f>"－"</f>
        <v>－</v>
      </c>
      <c r="V230" s="32" t="n">
        <f>138875664</f>
        <v>1.38875664E8</v>
      </c>
      <c r="W230" s="32" t="str">
        <f>"－"</f>
        <v>－</v>
      </c>
      <c r="X230" s="36" t="n">
        <f>21</f>
        <v>21.0</v>
      </c>
    </row>
    <row r="231">
      <c r="A231" s="27" t="s">
        <v>42</v>
      </c>
      <c r="B231" s="27" t="s">
        <v>734</v>
      </c>
      <c r="C231" s="27" t="s">
        <v>735</v>
      </c>
      <c r="D231" s="27" t="s">
        <v>736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922</f>
        <v>922.0</v>
      </c>
      <c r="L231" s="34" t="s">
        <v>48</v>
      </c>
      <c r="M231" s="33" t="n">
        <f>940</f>
        <v>940.0</v>
      </c>
      <c r="N231" s="34" t="s">
        <v>49</v>
      </c>
      <c r="O231" s="33" t="n">
        <f>879</f>
        <v>879.0</v>
      </c>
      <c r="P231" s="34" t="s">
        <v>49</v>
      </c>
      <c r="Q231" s="33" t="n">
        <f>915</f>
        <v>915.0</v>
      </c>
      <c r="R231" s="34" t="s">
        <v>50</v>
      </c>
      <c r="S231" s="35" t="n">
        <f>916.38</f>
        <v>916.38</v>
      </c>
      <c r="T231" s="32" t="n">
        <f>390122</f>
        <v>390122.0</v>
      </c>
      <c r="U231" s="32" t="str">
        <f>"－"</f>
        <v>－</v>
      </c>
      <c r="V231" s="32" t="n">
        <f>357857131</f>
        <v>3.57857131E8</v>
      </c>
      <c r="W231" s="32" t="str">
        <f>"－"</f>
        <v>－</v>
      </c>
      <c r="X231" s="36" t="n">
        <f>21</f>
        <v>21.0</v>
      </c>
    </row>
    <row r="232">
      <c r="A232" s="27" t="s">
        <v>42</v>
      </c>
      <c r="B232" s="27" t="s">
        <v>737</v>
      </c>
      <c r="C232" s="27" t="s">
        <v>738</v>
      </c>
      <c r="D232" s="27" t="s">
        <v>739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975</f>
        <v>975.0</v>
      </c>
      <c r="L232" s="34" t="s">
        <v>48</v>
      </c>
      <c r="M232" s="33" t="n">
        <f>982</f>
        <v>982.0</v>
      </c>
      <c r="N232" s="34" t="s">
        <v>95</v>
      </c>
      <c r="O232" s="33" t="n">
        <f>910</f>
        <v>910.0</v>
      </c>
      <c r="P232" s="34" t="s">
        <v>49</v>
      </c>
      <c r="Q232" s="33" t="n">
        <f>949</f>
        <v>949.0</v>
      </c>
      <c r="R232" s="34" t="s">
        <v>50</v>
      </c>
      <c r="S232" s="35" t="n">
        <f>951.43</f>
        <v>951.43</v>
      </c>
      <c r="T232" s="32" t="n">
        <f>75688</f>
        <v>75688.0</v>
      </c>
      <c r="U232" s="32" t="str">
        <f>"－"</f>
        <v>－</v>
      </c>
      <c r="V232" s="32" t="n">
        <f>71710390</f>
        <v>7.171039E7</v>
      </c>
      <c r="W232" s="32" t="str">
        <f>"－"</f>
        <v>－</v>
      </c>
      <c r="X232" s="36" t="n">
        <f>21</f>
        <v>21.0</v>
      </c>
    </row>
    <row r="233">
      <c r="A233" s="27" t="s">
        <v>42</v>
      </c>
      <c r="B233" s="27" t="s">
        <v>740</v>
      </c>
      <c r="C233" s="27" t="s">
        <v>741</v>
      </c>
      <c r="D233" s="27" t="s">
        <v>742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1512</f>
        <v>1512.0</v>
      </c>
      <c r="L233" s="34" t="s">
        <v>48</v>
      </c>
      <c r="M233" s="33" t="n">
        <f>1522</f>
        <v>1522.0</v>
      </c>
      <c r="N233" s="34" t="s">
        <v>105</v>
      </c>
      <c r="O233" s="33" t="n">
        <f>1421</f>
        <v>1421.0</v>
      </c>
      <c r="P233" s="34" t="s">
        <v>49</v>
      </c>
      <c r="Q233" s="33" t="n">
        <f>1490</f>
        <v>1490.0</v>
      </c>
      <c r="R233" s="34" t="s">
        <v>50</v>
      </c>
      <c r="S233" s="35" t="n">
        <f>1495.19</f>
        <v>1495.19</v>
      </c>
      <c r="T233" s="32" t="n">
        <f>184493</f>
        <v>184493.0</v>
      </c>
      <c r="U233" s="32" t="n">
        <f>40000</f>
        <v>40000.0</v>
      </c>
      <c r="V233" s="32" t="n">
        <f>273479173</f>
        <v>2.73479173E8</v>
      </c>
      <c r="W233" s="32" t="n">
        <f>60232355</f>
        <v>6.0232355E7</v>
      </c>
      <c r="X233" s="36" t="n">
        <f>21</f>
        <v>21.0</v>
      </c>
    </row>
    <row r="234">
      <c r="A234" s="27" t="s">
        <v>42</v>
      </c>
      <c r="B234" s="27" t="s">
        <v>743</v>
      </c>
      <c r="C234" s="27" t="s">
        <v>744</v>
      </c>
      <c r="D234" s="27" t="s">
        <v>745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10.0</v>
      </c>
      <c r="K234" s="33" t="n">
        <f>129</f>
        <v>129.0</v>
      </c>
      <c r="L234" s="34" t="s">
        <v>48</v>
      </c>
      <c r="M234" s="33" t="n">
        <f>130</f>
        <v>130.0</v>
      </c>
      <c r="N234" s="34" t="s">
        <v>48</v>
      </c>
      <c r="O234" s="33" t="n">
        <f>99</f>
        <v>99.0</v>
      </c>
      <c r="P234" s="34" t="s">
        <v>49</v>
      </c>
      <c r="Q234" s="33" t="n">
        <f>123.4</f>
        <v>123.4</v>
      </c>
      <c r="R234" s="34" t="s">
        <v>50</v>
      </c>
      <c r="S234" s="35" t="n">
        <f>117.67</f>
        <v>117.67</v>
      </c>
      <c r="T234" s="32" t="n">
        <f>9518500</f>
        <v>9518500.0</v>
      </c>
      <c r="U234" s="32" t="n">
        <f>2400000</f>
        <v>2400000.0</v>
      </c>
      <c r="V234" s="32" t="n">
        <f>1112619056</f>
        <v>1.112619056E9</v>
      </c>
      <c r="W234" s="32" t="n">
        <f>284439120</f>
        <v>2.8443912E8</v>
      </c>
      <c r="X234" s="36" t="n">
        <f>21</f>
        <v>21.0</v>
      </c>
    </row>
    <row r="235">
      <c r="A235" s="27" t="s">
        <v>42</v>
      </c>
      <c r="B235" s="27" t="s">
        <v>746</v>
      </c>
      <c r="C235" s="27" t="s">
        <v>747</v>
      </c>
      <c r="D235" s="27" t="s">
        <v>748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373.8</f>
        <v>373.8</v>
      </c>
      <c r="L235" s="34" t="s">
        <v>48</v>
      </c>
      <c r="M235" s="33" t="n">
        <f>376.1</f>
        <v>376.1</v>
      </c>
      <c r="N235" s="34" t="s">
        <v>48</v>
      </c>
      <c r="O235" s="33" t="n">
        <f>280</f>
        <v>280.0</v>
      </c>
      <c r="P235" s="34" t="s">
        <v>49</v>
      </c>
      <c r="Q235" s="33" t="n">
        <f>346.5</f>
        <v>346.5</v>
      </c>
      <c r="R235" s="34" t="s">
        <v>50</v>
      </c>
      <c r="S235" s="35" t="n">
        <f>335.76</f>
        <v>335.76</v>
      </c>
      <c r="T235" s="32" t="n">
        <f>2035270</f>
        <v>2035270.0</v>
      </c>
      <c r="U235" s="32" t="str">
        <f>"－"</f>
        <v>－</v>
      </c>
      <c r="V235" s="32" t="n">
        <f>650717628</f>
        <v>6.50717628E8</v>
      </c>
      <c r="W235" s="32" t="str">
        <f>"－"</f>
        <v>－</v>
      </c>
      <c r="X235" s="36" t="n">
        <f>21</f>
        <v>21.0</v>
      </c>
    </row>
    <row r="236">
      <c r="A236" s="27" t="s">
        <v>42</v>
      </c>
      <c r="B236" s="27" t="s">
        <v>749</v>
      </c>
      <c r="C236" s="27" t="s">
        <v>750</v>
      </c>
      <c r="D236" s="27" t="s">
        <v>751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2743</f>
        <v>2743.0</v>
      </c>
      <c r="L236" s="34" t="s">
        <v>48</v>
      </c>
      <c r="M236" s="33" t="n">
        <f>2786.5</f>
        <v>2786.5</v>
      </c>
      <c r="N236" s="34" t="s">
        <v>82</v>
      </c>
      <c r="O236" s="33" t="n">
        <f>2326</f>
        <v>2326.0</v>
      </c>
      <c r="P236" s="34" t="s">
        <v>78</v>
      </c>
      <c r="Q236" s="33" t="n">
        <f>2524</f>
        <v>2524.0</v>
      </c>
      <c r="R236" s="34" t="s">
        <v>50</v>
      </c>
      <c r="S236" s="35" t="n">
        <f>2512.52</f>
        <v>2512.52</v>
      </c>
      <c r="T236" s="32" t="n">
        <f>278472</f>
        <v>278472.0</v>
      </c>
      <c r="U236" s="32" t="n">
        <f>196827</f>
        <v>196827.0</v>
      </c>
      <c r="V236" s="32" t="n">
        <f>702216300</f>
        <v>7.022163E8</v>
      </c>
      <c r="W236" s="32" t="n">
        <f>499999628</f>
        <v>4.99999628E8</v>
      </c>
      <c r="X236" s="36" t="n">
        <f>21</f>
        <v>21.0</v>
      </c>
    </row>
    <row r="237">
      <c r="A237" s="27" t="s">
        <v>42</v>
      </c>
      <c r="B237" s="27" t="s">
        <v>752</v>
      </c>
      <c r="C237" s="27" t="s">
        <v>753</v>
      </c>
      <c r="D237" s="27" t="s">
        <v>754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1.0</v>
      </c>
      <c r="K237" s="33" t="n">
        <f>1242</f>
        <v>1242.0</v>
      </c>
      <c r="L237" s="34" t="s">
        <v>48</v>
      </c>
      <c r="M237" s="33" t="n">
        <f>1245</f>
        <v>1245.0</v>
      </c>
      <c r="N237" s="34" t="s">
        <v>48</v>
      </c>
      <c r="O237" s="33" t="n">
        <f>1048</f>
        <v>1048.0</v>
      </c>
      <c r="P237" s="34" t="s">
        <v>78</v>
      </c>
      <c r="Q237" s="33" t="n">
        <f>1134</f>
        <v>1134.0</v>
      </c>
      <c r="R237" s="34" t="s">
        <v>50</v>
      </c>
      <c r="S237" s="35" t="n">
        <f>1137.76</f>
        <v>1137.76</v>
      </c>
      <c r="T237" s="32" t="n">
        <f>1755790</f>
        <v>1755790.0</v>
      </c>
      <c r="U237" s="32" t="n">
        <f>575987</f>
        <v>575987.0</v>
      </c>
      <c r="V237" s="32" t="n">
        <f>1990508557</f>
        <v>1.990508557E9</v>
      </c>
      <c r="W237" s="32" t="n">
        <f>661142899</f>
        <v>6.61142899E8</v>
      </c>
      <c r="X237" s="36" t="n">
        <f>21</f>
        <v>21.0</v>
      </c>
    </row>
    <row r="238">
      <c r="A238" s="27" t="s">
        <v>42</v>
      </c>
      <c r="B238" s="27" t="s">
        <v>755</v>
      </c>
      <c r="C238" s="27" t="s">
        <v>756</v>
      </c>
      <c r="D238" s="27" t="s">
        <v>757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75180</f>
        <v>75180.0</v>
      </c>
      <c r="L238" s="34" t="s">
        <v>48</v>
      </c>
      <c r="M238" s="33" t="n">
        <f>76440</f>
        <v>76440.0</v>
      </c>
      <c r="N238" s="34" t="s">
        <v>82</v>
      </c>
      <c r="O238" s="33" t="n">
        <f>56160</f>
        <v>56160.0</v>
      </c>
      <c r="P238" s="34" t="s">
        <v>78</v>
      </c>
      <c r="Q238" s="33" t="n">
        <f>72260</f>
        <v>72260.0</v>
      </c>
      <c r="R238" s="34" t="s">
        <v>50</v>
      </c>
      <c r="S238" s="35" t="n">
        <f>67883.81</f>
        <v>67883.81</v>
      </c>
      <c r="T238" s="32" t="n">
        <f>223013</f>
        <v>223013.0</v>
      </c>
      <c r="U238" s="32" t="n">
        <f>1</f>
        <v>1.0</v>
      </c>
      <c r="V238" s="32" t="n">
        <f>14485034960</f>
        <v>1.448503496E10</v>
      </c>
      <c r="W238" s="32" t="n">
        <f>69060</f>
        <v>69060.0</v>
      </c>
      <c r="X238" s="36" t="n">
        <f>21</f>
        <v>21.0</v>
      </c>
    </row>
    <row r="239">
      <c r="A239" s="27" t="s">
        <v>42</v>
      </c>
      <c r="B239" s="27" t="s">
        <v>758</v>
      </c>
      <c r="C239" s="27" t="s">
        <v>759</v>
      </c>
      <c r="D239" s="27" t="s">
        <v>760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7190</f>
        <v>7190.0</v>
      </c>
      <c r="L239" s="34" t="s">
        <v>48</v>
      </c>
      <c r="M239" s="33" t="n">
        <f>8271</f>
        <v>8271.0</v>
      </c>
      <c r="N239" s="34" t="s">
        <v>49</v>
      </c>
      <c r="O239" s="33" t="n">
        <f>7098</f>
        <v>7098.0</v>
      </c>
      <c r="P239" s="34" t="s">
        <v>50</v>
      </c>
      <c r="Q239" s="33" t="n">
        <f>7110</f>
        <v>7110.0</v>
      </c>
      <c r="R239" s="34" t="s">
        <v>50</v>
      </c>
      <c r="S239" s="35" t="n">
        <f>7452.57</f>
        <v>7452.57</v>
      </c>
      <c r="T239" s="32" t="n">
        <f>749877</f>
        <v>749877.0</v>
      </c>
      <c r="U239" s="32" t="n">
        <f>343513</f>
        <v>343513.0</v>
      </c>
      <c r="V239" s="32" t="n">
        <f>5963741740</f>
        <v>5.96374174E9</v>
      </c>
      <c r="W239" s="32" t="n">
        <f>2791319099</f>
        <v>2.791319099E9</v>
      </c>
      <c r="X239" s="36" t="n">
        <f>21</f>
        <v>21.0</v>
      </c>
    </row>
    <row r="240">
      <c r="A240" s="27" t="s">
        <v>42</v>
      </c>
      <c r="B240" s="27" t="s">
        <v>761</v>
      </c>
      <c r="C240" s="27" t="s">
        <v>762</v>
      </c>
      <c r="D240" s="27" t="s">
        <v>763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16305</f>
        <v>16305.0</v>
      </c>
      <c r="L240" s="34" t="s">
        <v>48</v>
      </c>
      <c r="M240" s="33" t="n">
        <f>16590</f>
        <v>16590.0</v>
      </c>
      <c r="N240" s="34" t="s">
        <v>82</v>
      </c>
      <c r="O240" s="33" t="n">
        <f>12140</f>
        <v>12140.0</v>
      </c>
      <c r="P240" s="34" t="s">
        <v>78</v>
      </c>
      <c r="Q240" s="33" t="n">
        <f>15580</f>
        <v>15580.0</v>
      </c>
      <c r="R240" s="34" t="s">
        <v>50</v>
      </c>
      <c r="S240" s="35" t="n">
        <f>14701.9</f>
        <v>14701.9</v>
      </c>
      <c r="T240" s="32" t="n">
        <f>333164</f>
        <v>333164.0</v>
      </c>
      <c r="U240" s="32" t="str">
        <f>"－"</f>
        <v>－</v>
      </c>
      <c r="V240" s="32" t="n">
        <f>4787116175</f>
        <v>4.787116175E9</v>
      </c>
      <c r="W240" s="32" t="str">
        <f>"－"</f>
        <v>－</v>
      </c>
      <c r="X240" s="36" t="n">
        <f>21</f>
        <v>21.0</v>
      </c>
    </row>
    <row r="241">
      <c r="A241" s="27" t="s">
        <v>42</v>
      </c>
      <c r="B241" s="27" t="s">
        <v>764</v>
      </c>
      <c r="C241" s="27" t="s">
        <v>765</v>
      </c>
      <c r="D241" s="27" t="s">
        <v>766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968</f>
        <v>968.0</v>
      </c>
      <c r="L241" s="34" t="s">
        <v>48</v>
      </c>
      <c r="M241" s="33" t="n">
        <f>990</f>
        <v>990.0</v>
      </c>
      <c r="N241" s="34" t="s">
        <v>82</v>
      </c>
      <c r="O241" s="33" t="n">
        <f>799</f>
        <v>799.0</v>
      </c>
      <c r="P241" s="34" t="s">
        <v>49</v>
      </c>
      <c r="Q241" s="33" t="n">
        <f>947</f>
        <v>947.0</v>
      </c>
      <c r="R241" s="34" t="s">
        <v>50</v>
      </c>
      <c r="S241" s="35" t="n">
        <f>896.9</f>
        <v>896.9</v>
      </c>
      <c r="T241" s="32" t="n">
        <f>501449</f>
        <v>501449.0</v>
      </c>
      <c r="U241" s="32" t="str">
        <f>"－"</f>
        <v>－</v>
      </c>
      <c r="V241" s="32" t="n">
        <f>442272920</f>
        <v>4.4227292E8</v>
      </c>
      <c r="W241" s="32" t="str">
        <f>"－"</f>
        <v>－</v>
      </c>
      <c r="X241" s="36" t="n">
        <f>21</f>
        <v>21.0</v>
      </c>
    </row>
    <row r="242">
      <c r="A242" s="27" t="s">
        <v>42</v>
      </c>
      <c r="B242" s="27" t="s">
        <v>767</v>
      </c>
      <c r="C242" s="27" t="s">
        <v>768</v>
      </c>
      <c r="D242" s="27" t="s">
        <v>769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7277</f>
        <v>7277.0</v>
      </c>
      <c r="L242" s="34" t="s">
        <v>48</v>
      </c>
      <c r="M242" s="33" t="n">
        <f>8545</f>
        <v>8545.0</v>
      </c>
      <c r="N242" s="34" t="s">
        <v>49</v>
      </c>
      <c r="O242" s="33" t="n">
        <f>7200</f>
        <v>7200.0</v>
      </c>
      <c r="P242" s="34" t="s">
        <v>50</v>
      </c>
      <c r="Q242" s="33" t="n">
        <f>7223</f>
        <v>7223.0</v>
      </c>
      <c r="R242" s="34" t="s">
        <v>50</v>
      </c>
      <c r="S242" s="35" t="n">
        <f>7553.33</f>
        <v>7553.33</v>
      </c>
      <c r="T242" s="32" t="n">
        <f>160566</f>
        <v>160566.0</v>
      </c>
      <c r="U242" s="32" t="n">
        <f>30000</f>
        <v>30000.0</v>
      </c>
      <c r="V242" s="32" t="n">
        <f>1262228263</f>
        <v>1.262228263E9</v>
      </c>
      <c r="W242" s="32" t="n">
        <f>247467600</f>
        <v>2.474676E8</v>
      </c>
      <c r="X242" s="36" t="n">
        <f>21</f>
        <v>21.0</v>
      </c>
    </row>
    <row r="243">
      <c r="A243" s="27" t="s">
        <v>42</v>
      </c>
      <c r="B243" s="27" t="s">
        <v>770</v>
      </c>
      <c r="C243" s="27" t="s">
        <v>771</v>
      </c>
      <c r="D243" s="27" t="s">
        <v>772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699.1</f>
        <v>699.1</v>
      </c>
      <c r="L243" s="34" t="s">
        <v>48</v>
      </c>
      <c r="M243" s="33" t="n">
        <f>710.7</f>
        <v>710.7</v>
      </c>
      <c r="N243" s="34" t="s">
        <v>82</v>
      </c>
      <c r="O243" s="33" t="n">
        <f>595.2</f>
        <v>595.2</v>
      </c>
      <c r="P243" s="34" t="s">
        <v>78</v>
      </c>
      <c r="Q243" s="33" t="n">
        <f>645.3</f>
        <v>645.3</v>
      </c>
      <c r="R243" s="34" t="s">
        <v>50</v>
      </c>
      <c r="S243" s="35" t="n">
        <f>644.71</f>
        <v>644.71</v>
      </c>
      <c r="T243" s="32" t="n">
        <f>656350</f>
        <v>656350.0</v>
      </c>
      <c r="U243" s="32" t="n">
        <f>320</f>
        <v>320.0</v>
      </c>
      <c r="V243" s="32" t="n">
        <f>420254048</f>
        <v>4.20254048E8</v>
      </c>
      <c r="W243" s="32" t="n">
        <f>205280</f>
        <v>205280.0</v>
      </c>
      <c r="X243" s="36" t="n">
        <f>21</f>
        <v>21.0</v>
      </c>
    </row>
    <row r="244">
      <c r="A244" s="27" t="s">
        <v>42</v>
      </c>
      <c r="B244" s="27" t="s">
        <v>773</v>
      </c>
      <c r="C244" s="27" t="s">
        <v>774</v>
      </c>
      <c r="D244" s="27" t="s">
        <v>775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569.6</f>
        <v>569.6</v>
      </c>
      <c r="L244" s="34" t="s">
        <v>48</v>
      </c>
      <c r="M244" s="33" t="n">
        <f>569.6</f>
        <v>569.6</v>
      </c>
      <c r="N244" s="34" t="s">
        <v>48</v>
      </c>
      <c r="O244" s="33" t="n">
        <f>497.4</f>
        <v>497.4</v>
      </c>
      <c r="P244" s="34" t="s">
        <v>78</v>
      </c>
      <c r="Q244" s="33" t="n">
        <f>545.4</f>
        <v>545.4</v>
      </c>
      <c r="R244" s="34" t="s">
        <v>50</v>
      </c>
      <c r="S244" s="35" t="n">
        <f>537.62</f>
        <v>537.62</v>
      </c>
      <c r="T244" s="32" t="n">
        <f>2578940</f>
        <v>2578940.0</v>
      </c>
      <c r="U244" s="32" t="n">
        <f>2357470</f>
        <v>2357470.0</v>
      </c>
      <c r="V244" s="32" t="n">
        <f>1361800060</f>
        <v>1.36180006E9</v>
      </c>
      <c r="W244" s="32" t="n">
        <f>1244621100</f>
        <v>1.2446211E9</v>
      </c>
      <c r="X244" s="36" t="n">
        <f>21</f>
        <v>21.0</v>
      </c>
    </row>
    <row r="245">
      <c r="A245" s="27" t="s">
        <v>42</v>
      </c>
      <c r="B245" s="27" t="s">
        <v>776</v>
      </c>
      <c r="C245" s="27" t="s">
        <v>777</v>
      </c>
      <c r="D245" s="27" t="s">
        <v>778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1.0</v>
      </c>
      <c r="K245" s="33" t="n">
        <f>1516</f>
        <v>1516.0</v>
      </c>
      <c r="L245" s="34" t="s">
        <v>48</v>
      </c>
      <c r="M245" s="33" t="n">
        <f>1538</f>
        <v>1538.0</v>
      </c>
      <c r="N245" s="34" t="s">
        <v>82</v>
      </c>
      <c r="O245" s="33" t="n">
        <f>1163</f>
        <v>1163.0</v>
      </c>
      <c r="P245" s="34" t="s">
        <v>49</v>
      </c>
      <c r="Q245" s="33" t="n">
        <f>1422</f>
        <v>1422.0</v>
      </c>
      <c r="R245" s="34" t="s">
        <v>50</v>
      </c>
      <c r="S245" s="35" t="n">
        <f>1368.29</f>
        <v>1368.29</v>
      </c>
      <c r="T245" s="32" t="n">
        <f>8843132</f>
        <v>8843132.0</v>
      </c>
      <c r="U245" s="32" t="n">
        <f>68133</f>
        <v>68133.0</v>
      </c>
      <c r="V245" s="32" t="n">
        <f>11894722790</f>
        <v>1.189472279E10</v>
      </c>
      <c r="W245" s="32" t="n">
        <f>99595400</f>
        <v>9.95954E7</v>
      </c>
      <c r="X245" s="36" t="n">
        <f>21</f>
        <v>21.0</v>
      </c>
    </row>
    <row r="246">
      <c r="A246" s="27" t="s">
        <v>42</v>
      </c>
      <c r="B246" s="27" t="s">
        <v>779</v>
      </c>
      <c r="C246" s="27" t="s">
        <v>780</v>
      </c>
      <c r="D246" s="27" t="s">
        <v>781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2096</f>
        <v>2096.0</v>
      </c>
      <c r="L246" s="34" t="s">
        <v>48</v>
      </c>
      <c r="M246" s="33" t="n">
        <f>2134</f>
        <v>2134.0</v>
      </c>
      <c r="N246" s="34" t="s">
        <v>82</v>
      </c>
      <c r="O246" s="33" t="n">
        <f>1713</f>
        <v>1713.0</v>
      </c>
      <c r="P246" s="34" t="s">
        <v>49</v>
      </c>
      <c r="Q246" s="33" t="n">
        <f>2045</f>
        <v>2045.0</v>
      </c>
      <c r="R246" s="34" t="s">
        <v>50</v>
      </c>
      <c r="S246" s="35" t="n">
        <f>1945.62</f>
        <v>1945.62</v>
      </c>
      <c r="T246" s="32" t="n">
        <f>7203404</f>
        <v>7203404.0</v>
      </c>
      <c r="U246" s="32" t="n">
        <f>958</f>
        <v>958.0</v>
      </c>
      <c r="V246" s="32" t="n">
        <f>13814329388</f>
        <v>1.3814329388E10</v>
      </c>
      <c r="W246" s="32" t="n">
        <f>1772948</f>
        <v>1772948.0</v>
      </c>
      <c r="X246" s="36" t="n">
        <f>21</f>
        <v>21.0</v>
      </c>
    </row>
    <row r="247">
      <c r="A247" s="27" t="s">
        <v>42</v>
      </c>
      <c r="B247" s="27" t="s">
        <v>782</v>
      </c>
      <c r="C247" s="27" t="s">
        <v>783</v>
      </c>
      <c r="D247" s="27" t="s">
        <v>784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765.8</f>
        <v>765.8</v>
      </c>
      <c r="L247" s="34" t="s">
        <v>48</v>
      </c>
      <c r="M247" s="33" t="n">
        <f>768.5</f>
        <v>768.5</v>
      </c>
      <c r="N247" s="34" t="s">
        <v>634</v>
      </c>
      <c r="O247" s="33" t="n">
        <f>736.9</f>
        <v>736.9</v>
      </c>
      <c r="P247" s="34" t="s">
        <v>48</v>
      </c>
      <c r="Q247" s="33" t="n">
        <f>751.5</f>
        <v>751.5</v>
      </c>
      <c r="R247" s="34" t="s">
        <v>50</v>
      </c>
      <c r="S247" s="35" t="n">
        <f>748.39</f>
        <v>748.39</v>
      </c>
      <c r="T247" s="32" t="n">
        <f>1590</f>
        <v>1590.0</v>
      </c>
      <c r="U247" s="32" t="str">
        <f>"－"</f>
        <v>－</v>
      </c>
      <c r="V247" s="32" t="n">
        <f>1192601</f>
        <v>1192601.0</v>
      </c>
      <c r="W247" s="32" t="str">
        <f>"－"</f>
        <v>－</v>
      </c>
      <c r="X247" s="36" t="n">
        <f>16</f>
        <v>16.0</v>
      </c>
    </row>
    <row r="248">
      <c r="A248" s="27" t="s">
        <v>42</v>
      </c>
      <c r="B248" s="27" t="s">
        <v>785</v>
      </c>
      <c r="C248" s="27" t="s">
        <v>786</v>
      </c>
      <c r="D248" s="27" t="s">
        <v>787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749.3</f>
        <v>749.3</v>
      </c>
      <c r="L248" s="34" t="s">
        <v>48</v>
      </c>
      <c r="M248" s="33" t="n">
        <f>749.9</f>
        <v>749.9</v>
      </c>
      <c r="N248" s="34" t="s">
        <v>105</v>
      </c>
      <c r="O248" s="33" t="n">
        <f>686.3</f>
        <v>686.3</v>
      </c>
      <c r="P248" s="34" t="s">
        <v>60</v>
      </c>
      <c r="Q248" s="33" t="n">
        <f>746.3</f>
        <v>746.3</v>
      </c>
      <c r="R248" s="34" t="s">
        <v>289</v>
      </c>
      <c r="S248" s="35" t="n">
        <f>743.94</f>
        <v>743.94</v>
      </c>
      <c r="T248" s="32" t="n">
        <f>540</f>
        <v>540.0</v>
      </c>
      <c r="U248" s="32" t="n">
        <f>10</f>
        <v>10.0</v>
      </c>
      <c r="V248" s="32" t="n">
        <f>402040</f>
        <v>402040.0</v>
      </c>
      <c r="W248" s="32" t="n">
        <f>7391</f>
        <v>7391.0</v>
      </c>
      <c r="X248" s="36" t="n">
        <f>8</f>
        <v>8.0</v>
      </c>
    </row>
    <row r="249">
      <c r="A249" s="27" t="s">
        <v>42</v>
      </c>
      <c r="B249" s="27" t="s">
        <v>788</v>
      </c>
      <c r="C249" s="27" t="s">
        <v>789</v>
      </c>
      <c r="D249" s="27" t="s">
        <v>790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1.0</v>
      </c>
      <c r="K249" s="33" t="n">
        <f>1573</f>
        <v>1573.0</v>
      </c>
      <c r="L249" s="34" t="s">
        <v>48</v>
      </c>
      <c r="M249" s="33" t="n">
        <f>1584</f>
        <v>1584.0</v>
      </c>
      <c r="N249" s="34" t="s">
        <v>82</v>
      </c>
      <c r="O249" s="33" t="n">
        <f>1317</f>
        <v>1317.0</v>
      </c>
      <c r="P249" s="34" t="s">
        <v>78</v>
      </c>
      <c r="Q249" s="33" t="n">
        <f>1483</f>
        <v>1483.0</v>
      </c>
      <c r="R249" s="34" t="s">
        <v>50</v>
      </c>
      <c r="S249" s="35" t="n">
        <f>1448</f>
        <v>1448.0</v>
      </c>
      <c r="T249" s="32" t="n">
        <f>10342196</f>
        <v>1.0342196E7</v>
      </c>
      <c r="U249" s="32" t="n">
        <f>357701</f>
        <v>357701.0</v>
      </c>
      <c r="V249" s="32" t="n">
        <f>14405602446</f>
        <v>1.4405602446E10</v>
      </c>
      <c r="W249" s="32" t="n">
        <f>500173483</f>
        <v>5.00173483E8</v>
      </c>
      <c r="X249" s="36" t="n">
        <f>21</f>
        <v>21.0</v>
      </c>
    </row>
    <row r="250">
      <c r="A250" s="27" t="s">
        <v>42</v>
      </c>
      <c r="B250" s="27" t="s">
        <v>791</v>
      </c>
      <c r="C250" s="27" t="s">
        <v>792</v>
      </c>
      <c r="D250" s="27" t="s">
        <v>793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2114</f>
        <v>2114.0</v>
      </c>
      <c r="L250" s="34" t="s">
        <v>48</v>
      </c>
      <c r="M250" s="33" t="n">
        <f>2124</f>
        <v>2124.0</v>
      </c>
      <c r="N250" s="34" t="s">
        <v>82</v>
      </c>
      <c r="O250" s="33" t="n">
        <f>1835</f>
        <v>1835.0</v>
      </c>
      <c r="P250" s="34" t="s">
        <v>78</v>
      </c>
      <c r="Q250" s="33" t="n">
        <f>2085</f>
        <v>2085.0</v>
      </c>
      <c r="R250" s="34" t="s">
        <v>50</v>
      </c>
      <c r="S250" s="35" t="n">
        <f>2015.48</f>
        <v>2015.48</v>
      </c>
      <c r="T250" s="32" t="n">
        <f>2589416</f>
        <v>2589416.0</v>
      </c>
      <c r="U250" s="32" t="n">
        <f>990001</f>
        <v>990001.0</v>
      </c>
      <c r="V250" s="32" t="n">
        <f>5150396215</f>
        <v>5.150396215E9</v>
      </c>
      <c r="W250" s="32" t="n">
        <f>2050396927</f>
        <v>2.050396927E9</v>
      </c>
      <c r="X250" s="36" t="n">
        <f>21</f>
        <v>21.0</v>
      </c>
    </row>
    <row r="251">
      <c r="A251" s="27" t="s">
        <v>42</v>
      </c>
      <c r="B251" s="27" t="s">
        <v>794</v>
      </c>
      <c r="C251" s="27" t="s">
        <v>795</v>
      </c>
      <c r="D251" s="27" t="s">
        <v>796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18785</f>
        <v>18785.0</v>
      </c>
      <c r="L251" s="34" t="s">
        <v>48</v>
      </c>
      <c r="M251" s="33" t="n">
        <f>25085</f>
        <v>25085.0</v>
      </c>
      <c r="N251" s="34" t="s">
        <v>49</v>
      </c>
      <c r="O251" s="33" t="n">
        <f>17710</f>
        <v>17710.0</v>
      </c>
      <c r="P251" s="34" t="s">
        <v>50</v>
      </c>
      <c r="Q251" s="33" t="n">
        <f>17755</f>
        <v>17755.0</v>
      </c>
      <c r="R251" s="34" t="s">
        <v>50</v>
      </c>
      <c r="S251" s="35" t="n">
        <f>19678.33</f>
        <v>19678.33</v>
      </c>
      <c r="T251" s="32" t="n">
        <f>468432</f>
        <v>468432.0</v>
      </c>
      <c r="U251" s="32" t="n">
        <f>6</f>
        <v>6.0</v>
      </c>
      <c r="V251" s="32" t="n">
        <f>9692530295</f>
        <v>9.692530295E9</v>
      </c>
      <c r="W251" s="32" t="n">
        <f>131380</f>
        <v>131380.0</v>
      </c>
      <c r="X251" s="36" t="n">
        <f>21</f>
        <v>21.0</v>
      </c>
    </row>
    <row r="252">
      <c r="A252" s="27" t="s">
        <v>42</v>
      </c>
      <c r="B252" s="27" t="s">
        <v>797</v>
      </c>
      <c r="C252" s="27" t="s">
        <v>798</v>
      </c>
      <c r="D252" s="27" t="s">
        <v>799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789</f>
        <v>789.0</v>
      </c>
      <c r="L252" s="34" t="s">
        <v>48</v>
      </c>
      <c r="M252" s="33" t="n">
        <f>818</f>
        <v>818.0</v>
      </c>
      <c r="N252" s="34" t="s">
        <v>50</v>
      </c>
      <c r="O252" s="33" t="n">
        <f>650</f>
        <v>650.0</v>
      </c>
      <c r="P252" s="34" t="s">
        <v>49</v>
      </c>
      <c r="Q252" s="33" t="n">
        <f>815</f>
        <v>815.0</v>
      </c>
      <c r="R252" s="34" t="s">
        <v>50</v>
      </c>
      <c r="S252" s="35" t="n">
        <f>744.52</f>
        <v>744.52</v>
      </c>
      <c r="T252" s="32" t="n">
        <f>404488</f>
        <v>404488.0</v>
      </c>
      <c r="U252" s="32" t="str">
        <f>"－"</f>
        <v>－</v>
      </c>
      <c r="V252" s="32" t="n">
        <f>296638990</f>
        <v>2.9663899E8</v>
      </c>
      <c r="W252" s="32" t="str">
        <f>"－"</f>
        <v>－</v>
      </c>
      <c r="X252" s="36" t="n">
        <f>21</f>
        <v>21.0</v>
      </c>
    </row>
    <row r="253">
      <c r="A253" s="27" t="s">
        <v>42</v>
      </c>
      <c r="B253" s="27" t="s">
        <v>800</v>
      </c>
      <c r="C253" s="27" t="s">
        <v>801</v>
      </c>
      <c r="D253" s="27" t="s">
        <v>802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245.5</f>
        <v>245.5</v>
      </c>
      <c r="L253" s="34" t="s">
        <v>48</v>
      </c>
      <c r="M253" s="33" t="n">
        <f>245.5</f>
        <v>245.5</v>
      </c>
      <c r="N253" s="34" t="s">
        <v>48</v>
      </c>
      <c r="O253" s="33" t="n">
        <f>204.7</f>
        <v>204.7</v>
      </c>
      <c r="P253" s="34" t="s">
        <v>49</v>
      </c>
      <c r="Q253" s="33" t="n">
        <f>237</f>
        <v>237.0</v>
      </c>
      <c r="R253" s="34" t="s">
        <v>50</v>
      </c>
      <c r="S253" s="35" t="n">
        <f>225.8</f>
        <v>225.8</v>
      </c>
      <c r="T253" s="32" t="n">
        <f>27110</f>
        <v>27110.0</v>
      </c>
      <c r="U253" s="32" t="str">
        <f>"－"</f>
        <v>－</v>
      </c>
      <c r="V253" s="32" t="n">
        <f>6054384</f>
        <v>6054384.0</v>
      </c>
      <c r="W253" s="32" t="str">
        <f>"－"</f>
        <v>－</v>
      </c>
      <c r="X253" s="36" t="n">
        <f>21</f>
        <v>21.0</v>
      </c>
    </row>
    <row r="254">
      <c r="A254" s="27" t="s">
        <v>42</v>
      </c>
      <c r="B254" s="27" t="s">
        <v>803</v>
      </c>
      <c r="C254" s="27" t="s">
        <v>804</v>
      </c>
      <c r="D254" s="27" t="s">
        <v>805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801</f>
        <v>801.0</v>
      </c>
      <c r="L254" s="34" t="s">
        <v>48</v>
      </c>
      <c r="M254" s="33" t="n">
        <f>819</f>
        <v>819.0</v>
      </c>
      <c r="N254" s="34" t="s">
        <v>48</v>
      </c>
      <c r="O254" s="33" t="n">
        <f>740</f>
        <v>740.0</v>
      </c>
      <c r="P254" s="34" t="s">
        <v>49</v>
      </c>
      <c r="Q254" s="33" t="n">
        <f>774.7</f>
        <v>774.7</v>
      </c>
      <c r="R254" s="34" t="s">
        <v>50</v>
      </c>
      <c r="S254" s="35" t="n">
        <f>778.11</f>
        <v>778.11</v>
      </c>
      <c r="T254" s="32" t="n">
        <f>45657490</f>
        <v>4.565749E7</v>
      </c>
      <c r="U254" s="32" t="n">
        <f>42248830</f>
        <v>4.224883E7</v>
      </c>
      <c r="V254" s="32" t="n">
        <f>35251378261</f>
        <v>3.5251378261E10</v>
      </c>
      <c r="W254" s="32" t="n">
        <f>32628805900</f>
        <v>3.26288059E10</v>
      </c>
      <c r="X254" s="36" t="n">
        <f>21</f>
        <v>21.0</v>
      </c>
    </row>
    <row r="255">
      <c r="A255" s="27" t="s">
        <v>42</v>
      </c>
      <c r="B255" s="27" t="s">
        <v>806</v>
      </c>
      <c r="C255" s="27" t="s">
        <v>807</v>
      </c>
      <c r="D255" s="27" t="s">
        <v>808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1127</f>
        <v>1127.0</v>
      </c>
      <c r="L255" s="34" t="s">
        <v>48</v>
      </c>
      <c r="M255" s="33" t="n">
        <f>1136</f>
        <v>1136.0</v>
      </c>
      <c r="N255" s="34" t="s">
        <v>82</v>
      </c>
      <c r="O255" s="33" t="n">
        <f>917</f>
        <v>917.0</v>
      </c>
      <c r="P255" s="34" t="s">
        <v>78</v>
      </c>
      <c r="Q255" s="33" t="n">
        <f>1033</f>
        <v>1033.0</v>
      </c>
      <c r="R255" s="34" t="s">
        <v>50</v>
      </c>
      <c r="S255" s="35" t="n">
        <f>1007.95</f>
        <v>1007.95</v>
      </c>
      <c r="T255" s="32" t="n">
        <f>121491</f>
        <v>121491.0</v>
      </c>
      <c r="U255" s="32" t="str">
        <f>"－"</f>
        <v>－</v>
      </c>
      <c r="V255" s="32" t="n">
        <f>119307859</f>
        <v>1.19307859E8</v>
      </c>
      <c r="W255" s="32" t="str">
        <f>"－"</f>
        <v>－</v>
      </c>
      <c r="X255" s="36" t="n">
        <f>21</f>
        <v>21.0</v>
      </c>
    </row>
    <row r="256">
      <c r="A256" s="27" t="s">
        <v>42</v>
      </c>
      <c r="B256" s="27" t="s">
        <v>809</v>
      </c>
      <c r="C256" s="27" t="s">
        <v>810</v>
      </c>
      <c r="D256" s="27" t="s">
        <v>811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1204</f>
        <v>1204.0</v>
      </c>
      <c r="L256" s="34" t="s">
        <v>48</v>
      </c>
      <c r="M256" s="33" t="n">
        <f>1212</f>
        <v>1212.0</v>
      </c>
      <c r="N256" s="34" t="s">
        <v>82</v>
      </c>
      <c r="O256" s="33" t="n">
        <f>1005</f>
        <v>1005.0</v>
      </c>
      <c r="P256" s="34" t="s">
        <v>78</v>
      </c>
      <c r="Q256" s="33" t="n">
        <f>1104</f>
        <v>1104.0</v>
      </c>
      <c r="R256" s="34" t="s">
        <v>50</v>
      </c>
      <c r="S256" s="35" t="n">
        <f>1089.38</f>
        <v>1089.38</v>
      </c>
      <c r="T256" s="32" t="n">
        <f>278941</f>
        <v>278941.0</v>
      </c>
      <c r="U256" s="32" t="n">
        <f>27</f>
        <v>27.0</v>
      </c>
      <c r="V256" s="32" t="n">
        <f>300223880</f>
        <v>3.0022388E8</v>
      </c>
      <c r="W256" s="32" t="n">
        <f>27648</f>
        <v>27648.0</v>
      </c>
      <c r="X256" s="36" t="n">
        <f>21</f>
        <v>21.0</v>
      </c>
    </row>
    <row r="257">
      <c r="A257" s="27" t="s">
        <v>42</v>
      </c>
      <c r="B257" s="27" t="s">
        <v>812</v>
      </c>
      <c r="C257" s="27" t="s">
        <v>813</v>
      </c>
      <c r="D257" s="27" t="s">
        <v>814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951</f>
        <v>951.0</v>
      </c>
      <c r="L257" s="34" t="s">
        <v>48</v>
      </c>
      <c r="M257" s="33" t="n">
        <f>951</f>
        <v>951.0</v>
      </c>
      <c r="N257" s="34" t="s">
        <v>48</v>
      </c>
      <c r="O257" s="33" t="n">
        <f>733</f>
        <v>733.0</v>
      </c>
      <c r="P257" s="34" t="s">
        <v>78</v>
      </c>
      <c r="Q257" s="33" t="n">
        <f>840</f>
        <v>840.0</v>
      </c>
      <c r="R257" s="34" t="s">
        <v>50</v>
      </c>
      <c r="S257" s="35" t="n">
        <f>828.05</f>
        <v>828.05</v>
      </c>
      <c r="T257" s="32" t="n">
        <f>2987719</f>
        <v>2987719.0</v>
      </c>
      <c r="U257" s="32" t="str">
        <f>"－"</f>
        <v>－</v>
      </c>
      <c r="V257" s="32" t="n">
        <f>2511880309</f>
        <v>2.511880309E9</v>
      </c>
      <c r="W257" s="32" t="str">
        <f>"－"</f>
        <v>－</v>
      </c>
      <c r="X257" s="36" t="n">
        <f>21</f>
        <v>21.0</v>
      </c>
    </row>
    <row r="258">
      <c r="A258" s="27" t="s">
        <v>42</v>
      </c>
      <c r="B258" s="27" t="s">
        <v>815</v>
      </c>
      <c r="C258" s="27" t="s">
        <v>816</v>
      </c>
      <c r="D258" s="27" t="s">
        <v>817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207.9</f>
        <v>207.9</v>
      </c>
      <c r="L258" s="34" t="s">
        <v>48</v>
      </c>
      <c r="M258" s="33" t="n">
        <f>210.6</f>
        <v>210.6</v>
      </c>
      <c r="N258" s="34" t="s">
        <v>95</v>
      </c>
      <c r="O258" s="33" t="n">
        <f>182.1</f>
        <v>182.1</v>
      </c>
      <c r="P258" s="34" t="s">
        <v>86</v>
      </c>
      <c r="Q258" s="33" t="n">
        <f>194.3</f>
        <v>194.3</v>
      </c>
      <c r="R258" s="34" t="s">
        <v>50</v>
      </c>
      <c r="S258" s="35" t="n">
        <f>195.21</f>
        <v>195.21</v>
      </c>
      <c r="T258" s="32" t="n">
        <f>18910490</f>
        <v>1.891049E7</v>
      </c>
      <c r="U258" s="32" t="n">
        <f>1931030</f>
        <v>1931030.0</v>
      </c>
      <c r="V258" s="32" t="n">
        <f>3704766283</f>
        <v>3.704766283E9</v>
      </c>
      <c r="W258" s="32" t="n">
        <f>359639144</f>
        <v>3.59639144E8</v>
      </c>
      <c r="X258" s="36" t="n">
        <f>21</f>
        <v>21.0</v>
      </c>
    </row>
    <row r="259">
      <c r="A259" s="27" t="s">
        <v>42</v>
      </c>
      <c r="B259" s="27" t="s">
        <v>818</v>
      </c>
      <c r="C259" s="27" t="s">
        <v>819</v>
      </c>
      <c r="D259" s="27" t="s">
        <v>820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211.1</f>
        <v>211.1</v>
      </c>
      <c r="L259" s="34" t="s">
        <v>48</v>
      </c>
      <c r="M259" s="33" t="n">
        <f>212.9</f>
        <v>212.9</v>
      </c>
      <c r="N259" s="34" t="s">
        <v>82</v>
      </c>
      <c r="O259" s="33" t="n">
        <f>192.3</f>
        <v>192.3</v>
      </c>
      <c r="P259" s="34" t="s">
        <v>86</v>
      </c>
      <c r="Q259" s="33" t="n">
        <f>204.7</f>
        <v>204.7</v>
      </c>
      <c r="R259" s="34" t="s">
        <v>50</v>
      </c>
      <c r="S259" s="35" t="n">
        <f>201.52</f>
        <v>201.52</v>
      </c>
      <c r="T259" s="32" t="n">
        <f>1285020</f>
        <v>1285020.0</v>
      </c>
      <c r="U259" s="32" t="n">
        <f>150</f>
        <v>150.0</v>
      </c>
      <c r="V259" s="32" t="n">
        <f>259156550</f>
        <v>2.5915655E8</v>
      </c>
      <c r="W259" s="32" t="n">
        <f>27732</f>
        <v>27732.0</v>
      </c>
      <c r="X259" s="36" t="n">
        <f>21</f>
        <v>21.0</v>
      </c>
    </row>
    <row r="260">
      <c r="A260" s="27" t="s">
        <v>42</v>
      </c>
      <c r="B260" s="27" t="s">
        <v>821</v>
      </c>
      <c r="C260" s="27" t="s">
        <v>822</v>
      </c>
      <c r="D260" s="27" t="s">
        <v>823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212.7</f>
        <v>212.7</v>
      </c>
      <c r="L260" s="34" t="s">
        <v>48</v>
      </c>
      <c r="M260" s="33" t="n">
        <f>212.7</f>
        <v>212.7</v>
      </c>
      <c r="N260" s="34" t="s">
        <v>48</v>
      </c>
      <c r="O260" s="33" t="n">
        <f>191.9</f>
        <v>191.9</v>
      </c>
      <c r="P260" s="34" t="s">
        <v>86</v>
      </c>
      <c r="Q260" s="33" t="n">
        <f>200</f>
        <v>200.0</v>
      </c>
      <c r="R260" s="34" t="s">
        <v>50</v>
      </c>
      <c r="S260" s="35" t="n">
        <f>201.46</f>
        <v>201.46</v>
      </c>
      <c r="T260" s="32" t="n">
        <f>1042780</f>
        <v>1042780.0</v>
      </c>
      <c r="U260" s="32" t="n">
        <f>530</f>
        <v>530.0</v>
      </c>
      <c r="V260" s="32" t="n">
        <f>211769664</f>
        <v>2.11769664E8</v>
      </c>
      <c r="W260" s="32" t="n">
        <f>100709</f>
        <v>100709.0</v>
      </c>
      <c r="X260" s="36" t="n">
        <f>21</f>
        <v>21.0</v>
      </c>
    </row>
    <row r="261">
      <c r="A261" s="27" t="s">
        <v>42</v>
      </c>
      <c r="B261" s="27" t="s">
        <v>824</v>
      </c>
      <c r="C261" s="27" t="s">
        <v>825</v>
      </c>
      <c r="D261" s="27" t="s">
        <v>826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212</f>
        <v>212.0</v>
      </c>
      <c r="L261" s="34" t="s">
        <v>48</v>
      </c>
      <c r="M261" s="33" t="n">
        <f>214.6</f>
        <v>214.6</v>
      </c>
      <c r="N261" s="34" t="s">
        <v>82</v>
      </c>
      <c r="O261" s="33" t="n">
        <f>186.6</f>
        <v>186.6</v>
      </c>
      <c r="P261" s="34" t="s">
        <v>71</v>
      </c>
      <c r="Q261" s="33" t="n">
        <f>200.6</f>
        <v>200.6</v>
      </c>
      <c r="R261" s="34" t="s">
        <v>50</v>
      </c>
      <c r="S261" s="35" t="n">
        <f>201.47</f>
        <v>201.47</v>
      </c>
      <c r="T261" s="32" t="n">
        <f>3096650</f>
        <v>3096650.0</v>
      </c>
      <c r="U261" s="32" t="n">
        <f>1270</f>
        <v>1270.0</v>
      </c>
      <c r="V261" s="32" t="n">
        <f>618897943</f>
        <v>6.18897943E8</v>
      </c>
      <c r="W261" s="32" t="n">
        <f>234459</f>
        <v>234459.0</v>
      </c>
      <c r="X261" s="36" t="n">
        <f>21</f>
        <v>21.0</v>
      </c>
    </row>
    <row r="262">
      <c r="A262" s="27" t="s">
        <v>42</v>
      </c>
      <c r="B262" s="27" t="s">
        <v>827</v>
      </c>
      <c r="C262" s="27" t="s">
        <v>828</v>
      </c>
      <c r="D262" s="27" t="s">
        <v>829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191.9</f>
        <v>191.9</v>
      </c>
      <c r="L262" s="34" t="s">
        <v>48</v>
      </c>
      <c r="M262" s="33" t="n">
        <f>203</f>
        <v>203.0</v>
      </c>
      <c r="N262" s="34" t="s">
        <v>49</v>
      </c>
      <c r="O262" s="33" t="n">
        <f>189.6</f>
        <v>189.6</v>
      </c>
      <c r="P262" s="34" t="s">
        <v>203</v>
      </c>
      <c r="Q262" s="33" t="n">
        <f>193.9</f>
        <v>193.9</v>
      </c>
      <c r="R262" s="34" t="s">
        <v>50</v>
      </c>
      <c r="S262" s="35" t="n">
        <f>193.97</f>
        <v>193.97</v>
      </c>
      <c r="T262" s="32" t="n">
        <f>3314840</f>
        <v>3314840.0</v>
      </c>
      <c r="U262" s="32" t="n">
        <f>110</f>
        <v>110.0</v>
      </c>
      <c r="V262" s="32" t="n">
        <f>638792986</f>
        <v>6.38792986E8</v>
      </c>
      <c r="W262" s="32" t="n">
        <f>21312</f>
        <v>21312.0</v>
      </c>
      <c r="X262" s="36" t="n">
        <f>21</f>
        <v>21.0</v>
      </c>
    </row>
    <row r="263">
      <c r="A263" s="27" t="s">
        <v>42</v>
      </c>
      <c r="B263" s="27" t="s">
        <v>830</v>
      </c>
      <c r="C263" s="27" t="s">
        <v>831</v>
      </c>
      <c r="D263" s="27" t="s">
        <v>832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1.0</v>
      </c>
      <c r="K263" s="33" t="n">
        <f>1906</f>
        <v>1906.0</v>
      </c>
      <c r="L263" s="34" t="s">
        <v>48</v>
      </c>
      <c r="M263" s="33" t="n">
        <f>1927</f>
        <v>1927.0</v>
      </c>
      <c r="N263" s="34" t="s">
        <v>105</v>
      </c>
      <c r="O263" s="33" t="n">
        <f>1694</f>
        <v>1694.0</v>
      </c>
      <c r="P263" s="34" t="s">
        <v>49</v>
      </c>
      <c r="Q263" s="33" t="n">
        <f>1906</f>
        <v>1906.0</v>
      </c>
      <c r="R263" s="34" t="s">
        <v>50</v>
      </c>
      <c r="S263" s="35" t="n">
        <f>1859.9</f>
        <v>1859.9</v>
      </c>
      <c r="T263" s="32" t="n">
        <f>1287110</f>
        <v>1287110.0</v>
      </c>
      <c r="U263" s="32" t="n">
        <f>301</f>
        <v>301.0</v>
      </c>
      <c r="V263" s="32" t="n">
        <f>2367953707</f>
        <v>2.367953707E9</v>
      </c>
      <c r="W263" s="32" t="n">
        <f>568887</f>
        <v>568887.0</v>
      </c>
      <c r="X263" s="36" t="n">
        <f>21</f>
        <v>21.0</v>
      </c>
    </row>
    <row r="264">
      <c r="A264" s="27" t="s">
        <v>42</v>
      </c>
      <c r="B264" s="27" t="s">
        <v>833</v>
      </c>
      <c r="C264" s="27" t="s">
        <v>834</v>
      </c>
      <c r="D264" s="27" t="s">
        <v>835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1045</f>
        <v>1045.0</v>
      </c>
      <c r="L264" s="34" t="s">
        <v>48</v>
      </c>
      <c r="M264" s="33" t="n">
        <f>1045</f>
        <v>1045.0</v>
      </c>
      <c r="N264" s="34" t="s">
        <v>48</v>
      </c>
      <c r="O264" s="33" t="n">
        <f>862</f>
        <v>862.0</v>
      </c>
      <c r="P264" s="34" t="s">
        <v>49</v>
      </c>
      <c r="Q264" s="33" t="n">
        <f>979</f>
        <v>979.0</v>
      </c>
      <c r="R264" s="34" t="s">
        <v>50</v>
      </c>
      <c r="S264" s="35" t="n">
        <f>945.86</f>
        <v>945.86</v>
      </c>
      <c r="T264" s="32" t="n">
        <f>607888</f>
        <v>607888.0</v>
      </c>
      <c r="U264" s="32" t="n">
        <f>204010</f>
        <v>204010.0</v>
      </c>
      <c r="V264" s="32" t="n">
        <f>568307261</f>
        <v>5.68307261E8</v>
      </c>
      <c r="W264" s="32" t="n">
        <f>196873750</f>
        <v>1.9687375E8</v>
      </c>
      <c r="X264" s="36" t="n">
        <f>21</f>
        <v>21.0</v>
      </c>
    </row>
    <row r="265">
      <c r="A265" s="27" t="s">
        <v>42</v>
      </c>
      <c r="B265" s="27" t="s">
        <v>836</v>
      </c>
      <c r="C265" s="27" t="s">
        <v>837</v>
      </c>
      <c r="D265" s="27" t="s">
        <v>838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1038</f>
        <v>1038.0</v>
      </c>
      <c r="L265" s="34" t="s">
        <v>48</v>
      </c>
      <c r="M265" s="33" t="n">
        <f>1038</f>
        <v>1038.0</v>
      </c>
      <c r="N265" s="34" t="s">
        <v>48</v>
      </c>
      <c r="O265" s="33" t="n">
        <f>894</f>
        <v>894.0</v>
      </c>
      <c r="P265" s="34" t="s">
        <v>49</v>
      </c>
      <c r="Q265" s="33" t="n">
        <f>1019</f>
        <v>1019.0</v>
      </c>
      <c r="R265" s="34" t="s">
        <v>50</v>
      </c>
      <c r="S265" s="35" t="n">
        <f>985</f>
        <v>985.0</v>
      </c>
      <c r="T265" s="32" t="n">
        <f>1555294</f>
        <v>1555294.0</v>
      </c>
      <c r="U265" s="32" t="n">
        <f>308420</f>
        <v>308420.0</v>
      </c>
      <c r="V265" s="32" t="n">
        <f>1513306393</f>
        <v>1.513306393E9</v>
      </c>
      <c r="W265" s="32" t="n">
        <f>307455651</f>
        <v>3.07455651E8</v>
      </c>
      <c r="X265" s="36" t="n">
        <f>21</f>
        <v>21.0</v>
      </c>
    </row>
    <row r="266">
      <c r="A266" s="27" t="s">
        <v>42</v>
      </c>
      <c r="B266" s="27" t="s">
        <v>839</v>
      </c>
      <c r="C266" s="27" t="s">
        <v>840</v>
      </c>
      <c r="D266" s="27" t="s">
        <v>841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479</f>
        <v>479.0</v>
      </c>
      <c r="L266" s="34" t="s">
        <v>48</v>
      </c>
      <c r="M266" s="33" t="n">
        <f>551</f>
        <v>551.0</v>
      </c>
      <c r="N266" s="34" t="s">
        <v>49</v>
      </c>
      <c r="O266" s="33" t="n">
        <f>478.7</f>
        <v>478.7</v>
      </c>
      <c r="P266" s="34" t="s">
        <v>48</v>
      </c>
      <c r="Q266" s="33" t="n">
        <f>487</f>
        <v>487.0</v>
      </c>
      <c r="R266" s="34" t="s">
        <v>50</v>
      </c>
      <c r="S266" s="35" t="n">
        <f>487.15</f>
        <v>487.15</v>
      </c>
      <c r="T266" s="32" t="n">
        <f>9448580</f>
        <v>9448580.0</v>
      </c>
      <c r="U266" s="32" t="n">
        <f>8952520</f>
        <v>8952520.0</v>
      </c>
      <c r="V266" s="32" t="n">
        <f>4583239012</f>
        <v>4.583239012E9</v>
      </c>
      <c r="W266" s="32" t="n">
        <f>4340601257</f>
        <v>4.340601257E9</v>
      </c>
      <c r="X266" s="36" t="n">
        <f>21</f>
        <v>21.0</v>
      </c>
    </row>
    <row r="267">
      <c r="A267" s="27" t="s">
        <v>42</v>
      </c>
      <c r="B267" s="27" t="s">
        <v>842</v>
      </c>
      <c r="C267" s="27" t="s">
        <v>843</v>
      </c>
      <c r="D267" s="27" t="s">
        <v>844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178.2</f>
        <v>178.2</v>
      </c>
      <c r="L267" s="34" t="s">
        <v>48</v>
      </c>
      <c r="M267" s="33" t="n">
        <f>186.9</f>
        <v>186.9</v>
      </c>
      <c r="N267" s="34" t="s">
        <v>49</v>
      </c>
      <c r="O267" s="33" t="n">
        <f>149.9</f>
        <v>149.9</v>
      </c>
      <c r="P267" s="34" t="s">
        <v>634</v>
      </c>
      <c r="Q267" s="33" t="n">
        <f>163.4</f>
        <v>163.4</v>
      </c>
      <c r="R267" s="34" t="s">
        <v>50</v>
      </c>
      <c r="S267" s="35" t="n">
        <f>164.6</f>
        <v>164.6</v>
      </c>
      <c r="T267" s="32" t="n">
        <f>4510720</f>
        <v>4510720.0</v>
      </c>
      <c r="U267" s="32" t="n">
        <f>1770</f>
        <v>1770.0</v>
      </c>
      <c r="V267" s="32" t="n">
        <f>747244644</f>
        <v>7.47244644E8</v>
      </c>
      <c r="W267" s="32" t="n">
        <f>281171</f>
        <v>281171.0</v>
      </c>
      <c r="X267" s="36" t="n">
        <f>21</f>
        <v>21.0</v>
      </c>
    </row>
    <row r="268">
      <c r="A268" s="27" t="s">
        <v>42</v>
      </c>
      <c r="B268" s="27" t="s">
        <v>845</v>
      </c>
      <c r="C268" s="27" t="s">
        <v>846</v>
      </c>
      <c r="D268" s="27" t="s">
        <v>847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164.8</f>
        <v>164.8</v>
      </c>
      <c r="L268" s="34" t="s">
        <v>48</v>
      </c>
      <c r="M268" s="33" t="n">
        <f>174.7</f>
        <v>174.7</v>
      </c>
      <c r="N268" s="34" t="s">
        <v>49</v>
      </c>
      <c r="O268" s="33" t="n">
        <f>144.5</f>
        <v>144.5</v>
      </c>
      <c r="P268" s="34" t="s">
        <v>86</v>
      </c>
      <c r="Q268" s="33" t="n">
        <f>157</f>
        <v>157.0</v>
      </c>
      <c r="R268" s="34" t="s">
        <v>50</v>
      </c>
      <c r="S268" s="35" t="n">
        <f>156.92</f>
        <v>156.92</v>
      </c>
      <c r="T268" s="32" t="n">
        <f>6283260</f>
        <v>6283260.0</v>
      </c>
      <c r="U268" s="32" t="n">
        <f>900</f>
        <v>900.0</v>
      </c>
      <c r="V268" s="32" t="n">
        <f>983782771</f>
        <v>9.83782771E8</v>
      </c>
      <c r="W268" s="32" t="n">
        <f>136747</f>
        <v>136747.0</v>
      </c>
      <c r="X268" s="36" t="n">
        <f>21</f>
        <v>21.0</v>
      </c>
    </row>
    <row r="269">
      <c r="A269" s="27" t="s">
        <v>42</v>
      </c>
      <c r="B269" s="27" t="s">
        <v>848</v>
      </c>
      <c r="C269" s="27" t="s">
        <v>849</v>
      </c>
      <c r="D269" s="27" t="s">
        <v>850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877</f>
        <v>877.0</v>
      </c>
      <c r="L269" s="34" t="s">
        <v>48</v>
      </c>
      <c r="M269" s="33" t="n">
        <f>903.2</f>
        <v>903.2</v>
      </c>
      <c r="N269" s="34" t="s">
        <v>49</v>
      </c>
      <c r="O269" s="33" t="n">
        <f>868.2</f>
        <v>868.2</v>
      </c>
      <c r="P269" s="34" t="s">
        <v>48</v>
      </c>
      <c r="Q269" s="33" t="n">
        <f>884.3</f>
        <v>884.3</v>
      </c>
      <c r="R269" s="34" t="s">
        <v>50</v>
      </c>
      <c r="S269" s="35" t="n">
        <f>881.99</f>
        <v>881.99</v>
      </c>
      <c r="T269" s="32" t="n">
        <f>7091610</f>
        <v>7091610.0</v>
      </c>
      <c r="U269" s="32" t="n">
        <f>4381620</f>
        <v>4381620.0</v>
      </c>
      <c r="V269" s="32" t="n">
        <f>6259639917</f>
        <v>6.259639917E9</v>
      </c>
      <c r="W269" s="32" t="n">
        <f>3865839303</f>
        <v>3.865839303E9</v>
      </c>
      <c r="X269" s="36" t="n">
        <f>21</f>
        <v>21.0</v>
      </c>
    </row>
    <row r="270">
      <c r="A270" s="27" t="s">
        <v>42</v>
      </c>
      <c r="B270" s="27" t="s">
        <v>851</v>
      </c>
      <c r="C270" s="27" t="s">
        <v>852</v>
      </c>
      <c r="D270" s="27" t="s">
        <v>853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1075.5</f>
        <v>1075.5</v>
      </c>
      <c r="L270" s="34" t="s">
        <v>48</v>
      </c>
      <c r="M270" s="33" t="n">
        <f>1082</f>
        <v>1082.0</v>
      </c>
      <c r="N270" s="34" t="s">
        <v>82</v>
      </c>
      <c r="O270" s="33" t="n">
        <f>1029.5</f>
        <v>1029.5</v>
      </c>
      <c r="P270" s="34" t="s">
        <v>86</v>
      </c>
      <c r="Q270" s="33" t="n">
        <f>1054</f>
        <v>1054.0</v>
      </c>
      <c r="R270" s="34" t="s">
        <v>50</v>
      </c>
      <c r="S270" s="35" t="n">
        <f>1055.52</f>
        <v>1055.52</v>
      </c>
      <c r="T270" s="32" t="n">
        <f>4701260</f>
        <v>4701260.0</v>
      </c>
      <c r="U270" s="32" t="n">
        <f>2583690</f>
        <v>2583690.0</v>
      </c>
      <c r="V270" s="32" t="n">
        <f>4991395840</f>
        <v>4.99139584E9</v>
      </c>
      <c r="W270" s="32" t="n">
        <f>2758863520</f>
        <v>2.75886352E9</v>
      </c>
      <c r="X270" s="36" t="n">
        <f>21</f>
        <v>21.0</v>
      </c>
    </row>
    <row r="271">
      <c r="A271" s="27" t="s">
        <v>42</v>
      </c>
      <c r="B271" s="27" t="s">
        <v>854</v>
      </c>
      <c r="C271" s="27" t="s">
        <v>855</v>
      </c>
      <c r="D271" s="27" t="s">
        <v>856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761.8</f>
        <v>761.8</v>
      </c>
      <c r="L271" s="34" t="s">
        <v>48</v>
      </c>
      <c r="M271" s="33" t="n">
        <f>774.2</f>
        <v>774.2</v>
      </c>
      <c r="N271" s="34" t="s">
        <v>160</v>
      </c>
      <c r="O271" s="33" t="n">
        <f>754.3</f>
        <v>754.3</v>
      </c>
      <c r="P271" s="34" t="s">
        <v>78</v>
      </c>
      <c r="Q271" s="33" t="n">
        <f>767</f>
        <v>767.0</v>
      </c>
      <c r="R271" s="34" t="s">
        <v>50</v>
      </c>
      <c r="S271" s="35" t="n">
        <f>763.85</f>
        <v>763.85</v>
      </c>
      <c r="T271" s="32" t="n">
        <f>3401700</f>
        <v>3401700.0</v>
      </c>
      <c r="U271" s="32" t="n">
        <f>1641120</f>
        <v>1641120.0</v>
      </c>
      <c r="V271" s="32" t="n">
        <f>2589500040</f>
        <v>2.58950004E9</v>
      </c>
      <c r="W271" s="32" t="n">
        <f>1247244282</f>
        <v>1.247244282E9</v>
      </c>
      <c r="X271" s="36" t="n">
        <f>21</f>
        <v>21.0</v>
      </c>
    </row>
    <row r="272">
      <c r="A272" s="27" t="s">
        <v>42</v>
      </c>
      <c r="B272" s="27" t="s">
        <v>857</v>
      </c>
      <c r="C272" s="27" t="s">
        <v>858</v>
      </c>
      <c r="D272" s="27" t="s">
        <v>859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2488</f>
        <v>2488.0</v>
      </c>
      <c r="L272" s="34" t="s">
        <v>48</v>
      </c>
      <c r="M272" s="33" t="n">
        <f>2507</f>
        <v>2507.0</v>
      </c>
      <c r="N272" s="34" t="s">
        <v>82</v>
      </c>
      <c r="O272" s="33" t="n">
        <f>2098</f>
        <v>2098.0</v>
      </c>
      <c r="P272" s="34" t="s">
        <v>78</v>
      </c>
      <c r="Q272" s="33" t="n">
        <f>2379.5</f>
        <v>2379.5</v>
      </c>
      <c r="R272" s="34" t="s">
        <v>50</v>
      </c>
      <c r="S272" s="35" t="n">
        <f>2314.55</f>
        <v>2314.55</v>
      </c>
      <c r="T272" s="32" t="n">
        <f>2567010</f>
        <v>2567010.0</v>
      </c>
      <c r="U272" s="32" t="n">
        <f>928380</f>
        <v>928380.0</v>
      </c>
      <c r="V272" s="32" t="n">
        <f>5886765843</f>
        <v>5.886765843E9</v>
      </c>
      <c r="W272" s="32" t="n">
        <f>2227540708</f>
        <v>2.227540708E9</v>
      </c>
      <c r="X272" s="36" t="n">
        <f>21</f>
        <v>21.0</v>
      </c>
    </row>
    <row r="273">
      <c r="A273" s="27" t="s">
        <v>42</v>
      </c>
      <c r="B273" s="27" t="s">
        <v>860</v>
      </c>
      <c r="C273" s="27" t="s">
        <v>861</v>
      </c>
      <c r="D273" s="27" t="s">
        <v>862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1585</f>
        <v>1585.0</v>
      </c>
      <c r="L273" s="34" t="s">
        <v>48</v>
      </c>
      <c r="M273" s="33" t="n">
        <f>1600</f>
        <v>1600.0</v>
      </c>
      <c r="N273" s="34" t="s">
        <v>82</v>
      </c>
      <c r="O273" s="33" t="n">
        <f>1363.5</f>
        <v>1363.5</v>
      </c>
      <c r="P273" s="34" t="s">
        <v>49</v>
      </c>
      <c r="Q273" s="33" t="n">
        <f>1567.5</f>
        <v>1567.5</v>
      </c>
      <c r="R273" s="34" t="s">
        <v>50</v>
      </c>
      <c r="S273" s="35" t="n">
        <f>1512.31</f>
        <v>1512.31</v>
      </c>
      <c r="T273" s="32" t="n">
        <f>1172680</f>
        <v>1172680.0</v>
      </c>
      <c r="U273" s="32" t="n">
        <f>598000</f>
        <v>598000.0</v>
      </c>
      <c r="V273" s="32" t="n">
        <f>1793596085</f>
        <v>1.793596085E9</v>
      </c>
      <c r="W273" s="32" t="n">
        <f>930707600</f>
        <v>9.307076E8</v>
      </c>
      <c r="X273" s="36" t="n">
        <f>21</f>
        <v>21.0</v>
      </c>
    </row>
    <row r="274">
      <c r="A274" s="27" t="s">
        <v>42</v>
      </c>
      <c r="B274" s="27" t="s">
        <v>863</v>
      </c>
      <c r="C274" s="27" t="s">
        <v>864</v>
      </c>
      <c r="D274" s="27" t="s">
        <v>865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1380</f>
        <v>1380.0</v>
      </c>
      <c r="L274" s="34" t="s">
        <v>48</v>
      </c>
      <c r="M274" s="33" t="n">
        <f>1389</f>
        <v>1389.0</v>
      </c>
      <c r="N274" s="34" t="s">
        <v>82</v>
      </c>
      <c r="O274" s="33" t="n">
        <f>1154</f>
        <v>1154.0</v>
      </c>
      <c r="P274" s="34" t="s">
        <v>78</v>
      </c>
      <c r="Q274" s="33" t="n">
        <f>1294.5</f>
        <v>1294.5</v>
      </c>
      <c r="R274" s="34" t="s">
        <v>50</v>
      </c>
      <c r="S274" s="35" t="n">
        <f>1276.83</f>
        <v>1276.83</v>
      </c>
      <c r="T274" s="32" t="n">
        <f>654610</f>
        <v>654610.0</v>
      </c>
      <c r="U274" s="32" t="n">
        <f>30100</f>
        <v>30100.0</v>
      </c>
      <c r="V274" s="32" t="n">
        <f>835328895</f>
        <v>8.35328895E8</v>
      </c>
      <c r="W274" s="32" t="n">
        <f>37101050</f>
        <v>3.710105E7</v>
      </c>
      <c r="X274" s="36" t="n">
        <f>21</f>
        <v>21.0</v>
      </c>
    </row>
    <row r="275">
      <c r="A275" s="27" t="s">
        <v>42</v>
      </c>
      <c r="B275" s="27" t="s">
        <v>866</v>
      </c>
      <c r="C275" s="27" t="s">
        <v>867</v>
      </c>
      <c r="D275" s="27" t="s">
        <v>868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512.4</f>
        <v>512.4</v>
      </c>
      <c r="L275" s="34" t="s">
        <v>48</v>
      </c>
      <c r="M275" s="33" t="n">
        <f>533.8</f>
        <v>533.8</v>
      </c>
      <c r="N275" s="34" t="s">
        <v>50</v>
      </c>
      <c r="O275" s="33" t="n">
        <f>416.4</f>
        <v>416.4</v>
      </c>
      <c r="P275" s="34" t="s">
        <v>49</v>
      </c>
      <c r="Q275" s="33" t="n">
        <f>533.8</f>
        <v>533.8</v>
      </c>
      <c r="R275" s="34" t="s">
        <v>50</v>
      </c>
      <c r="S275" s="35" t="n">
        <f>498.52</f>
        <v>498.52</v>
      </c>
      <c r="T275" s="32" t="n">
        <f>22095320</f>
        <v>2.209532E7</v>
      </c>
      <c r="U275" s="32" t="n">
        <f>298010</f>
        <v>298010.0</v>
      </c>
      <c r="V275" s="32" t="n">
        <f>10909690915</f>
        <v>1.0909690915E10</v>
      </c>
      <c r="W275" s="32" t="n">
        <f>157532457</f>
        <v>1.57532457E8</v>
      </c>
      <c r="X275" s="36" t="n">
        <f>21</f>
        <v>21.0</v>
      </c>
    </row>
    <row r="276">
      <c r="A276" s="27" t="s">
        <v>42</v>
      </c>
      <c r="B276" s="27" t="s">
        <v>869</v>
      </c>
      <c r="C276" s="27" t="s">
        <v>870</v>
      </c>
      <c r="D276" s="27" t="s">
        <v>871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1031</f>
        <v>1031.0</v>
      </c>
      <c r="L276" s="34" t="s">
        <v>48</v>
      </c>
      <c r="M276" s="33" t="n">
        <f>1050</f>
        <v>1050.0</v>
      </c>
      <c r="N276" s="34" t="s">
        <v>203</v>
      </c>
      <c r="O276" s="33" t="n">
        <f>985</f>
        <v>985.0</v>
      </c>
      <c r="P276" s="34" t="s">
        <v>49</v>
      </c>
      <c r="Q276" s="33" t="n">
        <f>1040.5</f>
        <v>1040.5</v>
      </c>
      <c r="R276" s="34" t="s">
        <v>50</v>
      </c>
      <c r="S276" s="35" t="n">
        <f>1030.63</f>
        <v>1030.63</v>
      </c>
      <c r="T276" s="32" t="n">
        <f>3368070</f>
        <v>3368070.0</v>
      </c>
      <c r="U276" s="32" t="n">
        <f>2480100</f>
        <v>2480100.0</v>
      </c>
      <c r="V276" s="32" t="n">
        <f>3438377879</f>
        <v>3.438377879E9</v>
      </c>
      <c r="W276" s="32" t="n">
        <f>2532626660</f>
        <v>2.53262666E9</v>
      </c>
      <c r="X276" s="36" t="n">
        <f>21</f>
        <v>21.0</v>
      </c>
    </row>
    <row r="277">
      <c r="A277" s="27" t="s">
        <v>42</v>
      </c>
      <c r="B277" s="27" t="s">
        <v>872</v>
      </c>
      <c r="C277" s="27" t="s">
        <v>873</v>
      </c>
      <c r="D277" s="27" t="s">
        <v>874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1578</f>
        <v>1578.0</v>
      </c>
      <c r="L277" s="34" t="s">
        <v>48</v>
      </c>
      <c r="M277" s="33" t="n">
        <f>1578</f>
        <v>1578.0</v>
      </c>
      <c r="N277" s="34" t="s">
        <v>48</v>
      </c>
      <c r="O277" s="33" t="n">
        <f>1281</f>
        <v>1281.0</v>
      </c>
      <c r="P277" s="34" t="s">
        <v>49</v>
      </c>
      <c r="Q277" s="33" t="n">
        <f>1524</f>
        <v>1524.0</v>
      </c>
      <c r="R277" s="34" t="s">
        <v>50</v>
      </c>
      <c r="S277" s="35" t="n">
        <f>1470.43</f>
        <v>1470.43</v>
      </c>
      <c r="T277" s="32" t="n">
        <f>58339</f>
        <v>58339.0</v>
      </c>
      <c r="U277" s="32" t="str">
        <f>"－"</f>
        <v>－</v>
      </c>
      <c r="V277" s="32" t="n">
        <f>85081402</f>
        <v>8.5081402E7</v>
      </c>
      <c r="W277" s="32" t="str">
        <f>"－"</f>
        <v>－</v>
      </c>
      <c r="X277" s="36" t="n">
        <f>21</f>
        <v>21.0</v>
      </c>
    </row>
    <row r="278">
      <c r="A278" s="27" t="s">
        <v>42</v>
      </c>
      <c r="B278" s="27" t="s">
        <v>875</v>
      </c>
      <c r="C278" s="27" t="s">
        <v>876</v>
      </c>
      <c r="D278" s="27" t="s">
        <v>877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1070</f>
        <v>1070.0</v>
      </c>
      <c r="L278" s="34" t="s">
        <v>48</v>
      </c>
      <c r="M278" s="33" t="n">
        <f>1074</f>
        <v>1074.0</v>
      </c>
      <c r="N278" s="34" t="s">
        <v>95</v>
      </c>
      <c r="O278" s="33" t="n">
        <f>970.1</f>
        <v>970.1</v>
      </c>
      <c r="P278" s="34" t="s">
        <v>86</v>
      </c>
      <c r="Q278" s="33" t="n">
        <f>1032</f>
        <v>1032.0</v>
      </c>
      <c r="R278" s="34" t="s">
        <v>50</v>
      </c>
      <c r="S278" s="35" t="n">
        <f>1015.4</f>
        <v>1015.4</v>
      </c>
      <c r="T278" s="32" t="n">
        <f>145160</f>
        <v>145160.0</v>
      </c>
      <c r="U278" s="32" t="str">
        <f>"－"</f>
        <v>－</v>
      </c>
      <c r="V278" s="32" t="n">
        <f>146033553</f>
        <v>1.46033553E8</v>
      </c>
      <c r="W278" s="32" t="str">
        <f>"－"</f>
        <v>－</v>
      </c>
      <c r="X278" s="36" t="n">
        <f>21</f>
        <v>21.0</v>
      </c>
    </row>
    <row r="279">
      <c r="A279" s="27" t="s">
        <v>42</v>
      </c>
      <c r="B279" s="27" t="s">
        <v>878</v>
      </c>
      <c r="C279" s="27" t="s">
        <v>879</v>
      </c>
      <c r="D279" s="27" t="s">
        <v>880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1453.5</f>
        <v>1453.5</v>
      </c>
      <c r="L279" s="34" t="s">
        <v>48</v>
      </c>
      <c r="M279" s="33" t="n">
        <f>1464</f>
        <v>1464.0</v>
      </c>
      <c r="N279" s="34" t="s">
        <v>95</v>
      </c>
      <c r="O279" s="33" t="n">
        <f>1217.5</f>
        <v>1217.5</v>
      </c>
      <c r="P279" s="34" t="s">
        <v>78</v>
      </c>
      <c r="Q279" s="33" t="n">
        <f>1374.5</f>
        <v>1374.5</v>
      </c>
      <c r="R279" s="34" t="s">
        <v>50</v>
      </c>
      <c r="S279" s="35" t="n">
        <f>1347.6</f>
        <v>1347.6</v>
      </c>
      <c r="T279" s="32" t="n">
        <f>140510</f>
        <v>140510.0</v>
      </c>
      <c r="U279" s="32" t="str">
        <f>"－"</f>
        <v>－</v>
      </c>
      <c r="V279" s="32" t="n">
        <f>189939690</f>
        <v>1.8993969E8</v>
      </c>
      <c r="W279" s="32" t="str">
        <f>"－"</f>
        <v>－</v>
      </c>
      <c r="X279" s="36" t="n">
        <f>21</f>
        <v>21.0</v>
      </c>
    </row>
    <row r="280">
      <c r="A280" s="27" t="s">
        <v>42</v>
      </c>
      <c r="B280" s="27" t="s">
        <v>881</v>
      </c>
      <c r="C280" s="27" t="s">
        <v>882</v>
      </c>
      <c r="D280" s="27" t="s">
        <v>883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1.0</v>
      </c>
      <c r="K280" s="33" t="n">
        <f>1657</f>
        <v>1657.0</v>
      </c>
      <c r="L280" s="34" t="s">
        <v>48</v>
      </c>
      <c r="M280" s="33" t="n">
        <f>1670</f>
        <v>1670.0</v>
      </c>
      <c r="N280" s="34" t="s">
        <v>82</v>
      </c>
      <c r="O280" s="33" t="n">
        <f>1443</f>
        <v>1443.0</v>
      </c>
      <c r="P280" s="34" t="s">
        <v>78</v>
      </c>
      <c r="Q280" s="33" t="n">
        <f>1640</f>
        <v>1640.0</v>
      </c>
      <c r="R280" s="34" t="s">
        <v>50</v>
      </c>
      <c r="S280" s="35" t="n">
        <f>1584.55</f>
        <v>1584.55</v>
      </c>
      <c r="T280" s="32" t="n">
        <f>5350248</f>
        <v>5350248.0</v>
      </c>
      <c r="U280" s="32" t="n">
        <f>2612410</f>
        <v>2612410.0</v>
      </c>
      <c r="V280" s="32" t="n">
        <f>8335675082</f>
        <v>8.335675082E9</v>
      </c>
      <c r="W280" s="32" t="n">
        <f>4136651373</f>
        <v>4.136651373E9</v>
      </c>
      <c r="X280" s="36" t="n">
        <f>21</f>
        <v>21.0</v>
      </c>
    </row>
    <row r="281">
      <c r="A281" s="27" t="s">
        <v>42</v>
      </c>
      <c r="B281" s="27" t="s">
        <v>884</v>
      </c>
      <c r="C281" s="27" t="s">
        <v>885</v>
      </c>
      <c r="D281" s="27" t="s">
        <v>886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1.0</v>
      </c>
      <c r="K281" s="33" t="n">
        <f>5110</f>
        <v>5110.0</v>
      </c>
      <c r="L281" s="34" t="s">
        <v>48</v>
      </c>
      <c r="M281" s="33" t="n">
        <f>5140</f>
        <v>5140.0</v>
      </c>
      <c r="N281" s="34" t="s">
        <v>82</v>
      </c>
      <c r="O281" s="33" t="n">
        <f>4160</f>
        <v>4160.0</v>
      </c>
      <c r="P281" s="34" t="s">
        <v>78</v>
      </c>
      <c r="Q281" s="33" t="n">
        <f>4940</f>
        <v>4940.0</v>
      </c>
      <c r="R281" s="34" t="s">
        <v>50</v>
      </c>
      <c r="S281" s="35" t="n">
        <f>4692.14</f>
        <v>4692.14</v>
      </c>
      <c r="T281" s="32" t="n">
        <f>283405</f>
        <v>283405.0</v>
      </c>
      <c r="U281" s="32" t="n">
        <f>100</f>
        <v>100.0</v>
      </c>
      <c r="V281" s="32" t="n">
        <f>1330028010</f>
        <v>1.33002801E9</v>
      </c>
      <c r="W281" s="32" t="n">
        <f>511000</f>
        <v>511000.0</v>
      </c>
      <c r="X281" s="36" t="n">
        <f>21</f>
        <v>21.0</v>
      </c>
    </row>
    <row r="282">
      <c r="A282" s="27" t="s">
        <v>42</v>
      </c>
      <c r="B282" s="27" t="s">
        <v>887</v>
      </c>
      <c r="C282" s="27" t="s">
        <v>888</v>
      </c>
      <c r="D282" s="27" t="s">
        <v>889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2491</f>
        <v>2491.0</v>
      </c>
      <c r="L282" s="34" t="s">
        <v>71</v>
      </c>
      <c r="M282" s="33" t="n">
        <f>2491</f>
        <v>2491.0</v>
      </c>
      <c r="N282" s="34" t="s">
        <v>71</v>
      </c>
      <c r="O282" s="33" t="n">
        <f>2208.5</f>
        <v>2208.5</v>
      </c>
      <c r="P282" s="34" t="s">
        <v>50</v>
      </c>
      <c r="Q282" s="33" t="n">
        <f>2208.5</f>
        <v>2208.5</v>
      </c>
      <c r="R282" s="34" t="s">
        <v>50</v>
      </c>
      <c r="S282" s="35" t="n">
        <f>2240.25</f>
        <v>2240.25</v>
      </c>
      <c r="T282" s="32" t="n">
        <f>230</f>
        <v>230.0</v>
      </c>
      <c r="U282" s="32" t="str">
        <f>"－"</f>
        <v>－</v>
      </c>
      <c r="V282" s="32" t="n">
        <f>544665</f>
        <v>544665.0</v>
      </c>
      <c r="W282" s="32" t="str">
        <f>"－"</f>
        <v>－</v>
      </c>
      <c r="X282" s="36" t="n">
        <f>2</f>
        <v>2.0</v>
      </c>
    </row>
    <row r="283">
      <c r="A283" s="27" t="s">
        <v>42</v>
      </c>
      <c r="B283" s="27" t="s">
        <v>890</v>
      </c>
      <c r="C283" s="27" t="s">
        <v>891</v>
      </c>
      <c r="D283" s="27" t="s">
        <v>892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2768</f>
        <v>2768.0</v>
      </c>
      <c r="L283" s="34" t="s">
        <v>48</v>
      </c>
      <c r="M283" s="33" t="n">
        <f>2768</f>
        <v>2768.0</v>
      </c>
      <c r="N283" s="34" t="s">
        <v>48</v>
      </c>
      <c r="O283" s="33" t="n">
        <f>2358.5</f>
        <v>2358.5</v>
      </c>
      <c r="P283" s="34" t="s">
        <v>49</v>
      </c>
      <c r="Q283" s="33" t="n">
        <f>2741</f>
        <v>2741.0</v>
      </c>
      <c r="R283" s="34" t="s">
        <v>50</v>
      </c>
      <c r="S283" s="35" t="n">
        <f>2609.88</f>
        <v>2609.88</v>
      </c>
      <c r="T283" s="32" t="n">
        <f>2565360</f>
        <v>2565360.0</v>
      </c>
      <c r="U283" s="32" t="n">
        <f>1866400</f>
        <v>1866400.0</v>
      </c>
      <c r="V283" s="32" t="n">
        <f>6527126485</f>
        <v>6.527126485E9</v>
      </c>
      <c r="W283" s="32" t="n">
        <f>4753127035</f>
        <v>4.753127035E9</v>
      </c>
      <c r="X283" s="36" t="n">
        <f>21</f>
        <v>21.0</v>
      </c>
    </row>
    <row r="284">
      <c r="A284" s="27" t="s">
        <v>42</v>
      </c>
      <c r="B284" s="27" t="s">
        <v>893</v>
      </c>
      <c r="C284" s="27" t="s">
        <v>894</v>
      </c>
      <c r="D284" s="27" t="s">
        <v>895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36330</f>
        <v>36330.0</v>
      </c>
      <c r="L284" s="34" t="s">
        <v>48</v>
      </c>
      <c r="M284" s="33" t="n">
        <f>36490</f>
        <v>36490.0</v>
      </c>
      <c r="N284" s="34" t="s">
        <v>71</v>
      </c>
      <c r="O284" s="33" t="n">
        <f>31440</f>
        <v>31440.0</v>
      </c>
      <c r="P284" s="34" t="s">
        <v>49</v>
      </c>
      <c r="Q284" s="33" t="n">
        <f>36350</f>
        <v>36350.0</v>
      </c>
      <c r="R284" s="34" t="s">
        <v>50</v>
      </c>
      <c r="S284" s="35" t="n">
        <f>34708.57</f>
        <v>34708.57</v>
      </c>
      <c r="T284" s="32" t="n">
        <f>389478</f>
        <v>389478.0</v>
      </c>
      <c r="U284" s="32" t="n">
        <f>187116</f>
        <v>187116.0</v>
      </c>
      <c r="V284" s="32" t="n">
        <f>13442911718</f>
        <v>1.3442911718E10</v>
      </c>
      <c r="W284" s="32" t="n">
        <f>6609748788</f>
        <v>6.609748788E9</v>
      </c>
      <c r="X284" s="36" t="n">
        <f>21</f>
        <v>21.0</v>
      </c>
    </row>
    <row r="285">
      <c r="A285" s="27" t="s">
        <v>42</v>
      </c>
      <c r="B285" s="27" t="s">
        <v>896</v>
      </c>
      <c r="C285" s="27" t="s">
        <v>897</v>
      </c>
      <c r="D285" s="27" t="s">
        <v>898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24895</f>
        <v>24895.0</v>
      </c>
      <c r="L285" s="34" t="s">
        <v>48</v>
      </c>
      <c r="M285" s="33" t="n">
        <f>24895</f>
        <v>24895.0</v>
      </c>
      <c r="N285" s="34" t="s">
        <v>48</v>
      </c>
      <c r="O285" s="33" t="n">
        <f>21240</f>
        <v>21240.0</v>
      </c>
      <c r="P285" s="34" t="s">
        <v>49</v>
      </c>
      <c r="Q285" s="33" t="n">
        <f>24595</f>
        <v>24595.0</v>
      </c>
      <c r="R285" s="34" t="s">
        <v>50</v>
      </c>
      <c r="S285" s="35" t="n">
        <f>23325.45</f>
        <v>23325.45</v>
      </c>
      <c r="T285" s="32" t="n">
        <f>3852</f>
        <v>3852.0</v>
      </c>
      <c r="U285" s="32" t="str">
        <f>"－"</f>
        <v>－</v>
      </c>
      <c r="V285" s="32" t="n">
        <f>87763675</f>
        <v>8.7763675E7</v>
      </c>
      <c r="W285" s="32" t="str">
        <f>"－"</f>
        <v>－</v>
      </c>
      <c r="X285" s="36" t="n">
        <f>11</f>
        <v>11.0</v>
      </c>
    </row>
    <row r="286">
      <c r="A286" s="27" t="s">
        <v>42</v>
      </c>
      <c r="B286" s="27" t="s">
        <v>899</v>
      </c>
      <c r="C286" s="27" t="s">
        <v>900</v>
      </c>
      <c r="D286" s="27" t="s">
        <v>901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1041</f>
        <v>1041.0</v>
      </c>
      <c r="L286" s="34" t="s">
        <v>48</v>
      </c>
      <c r="M286" s="33" t="n">
        <f>1058.5</f>
        <v>1058.5</v>
      </c>
      <c r="N286" s="34" t="s">
        <v>95</v>
      </c>
      <c r="O286" s="33" t="n">
        <f>999.9</f>
        <v>999.9</v>
      </c>
      <c r="P286" s="34" t="s">
        <v>49</v>
      </c>
      <c r="Q286" s="33" t="n">
        <f>1047</f>
        <v>1047.0</v>
      </c>
      <c r="R286" s="34" t="s">
        <v>50</v>
      </c>
      <c r="S286" s="35" t="n">
        <f>1037.69</f>
        <v>1037.69</v>
      </c>
      <c r="T286" s="32" t="n">
        <f>245930</f>
        <v>245930.0</v>
      </c>
      <c r="U286" s="32" t="str">
        <f>"－"</f>
        <v>－</v>
      </c>
      <c r="V286" s="32" t="n">
        <f>253765789</f>
        <v>2.53765789E8</v>
      </c>
      <c r="W286" s="32" t="str">
        <f>"－"</f>
        <v>－</v>
      </c>
      <c r="X286" s="36" t="n">
        <f>21</f>
        <v>21.0</v>
      </c>
    </row>
    <row r="287">
      <c r="A287" s="27" t="s">
        <v>42</v>
      </c>
      <c r="B287" s="27" t="s">
        <v>902</v>
      </c>
      <c r="C287" s="27" t="s">
        <v>903</v>
      </c>
      <c r="D287" s="27" t="s">
        <v>904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1022</f>
        <v>1022.0</v>
      </c>
      <c r="L287" s="34" t="s">
        <v>48</v>
      </c>
      <c r="M287" s="33" t="n">
        <f>1038</f>
        <v>1038.0</v>
      </c>
      <c r="N287" s="34" t="s">
        <v>105</v>
      </c>
      <c r="O287" s="33" t="n">
        <f>978</f>
        <v>978.0</v>
      </c>
      <c r="P287" s="34" t="s">
        <v>49</v>
      </c>
      <c r="Q287" s="33" t="n">
        <f>1029</f>
        <v>1029.0</v>
      </c>
      <c r="R287" s="34" t="s">
        <v>50</v>
      </c>
      <c r="S287" s="35" t="n">
        <f>1020.71</f>
        <v>1020.71</v>
      </c>
      <c r="T287" s="32" t="n">
        <f>112561</f>
        <v>112561.0</v>
      </c>
      <c r="U287" s="32" t="n">
        <f>272</f>
        <v>272.0</v>
      </c>
      <c r="V287" s="32" t="n">
        <f>113994458</f>
        <v>1.13994458E8</v>
      </c>
      <c r="W287" s="32" t="n">
        <f>277917</f>
        <v>277917.0</v>
      </c>
      <c r="X287" s="36" t="n">
        <f>21</f>
        <v>21.0</v>
      </c>
    </row>
    <row r="288">
      <c r="A288" s="27" t="s">
        <v>42</v>
      </c>
      <c r="B288" s="27" t="s">
        <v>905</v>
      </c>
      <c r="C288" s="27" t="s">
        <v>906</v>
      </c>
      <c r="D288" s="27" t="s">
        <v>907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1664</f>
        <v>1664.0</v>
      </c>
      <c r="L288" s="34" t="s">
        <v>48</v>
      </c>
      <c r="M288" s="33" t="n">
        <f>1664</f>
        <v>1664.0</v>
      </c>
      <c r="N288" s="34" t="s">
        <v>48</v>
      </c>
      <c r="O288" s="33" t="n">
        <f>1387</f>
        <v>1387.0</v>
      </c>
      <c r="P288" s="34" t="s">
        <v>49</v>
      </c>
      <c r="Q288" s="33" t="n">
        <f>1574</f>
        <v>1574.0</v>
      </c>
      <c r="R288" s="34" t="s">
        <v>50</v>
      </c>
      <c r="S288" s="35" t="n">
        <f>1533.81</f>
        <v>1533.81</v>
      </c>
      <c r="T288" s="32" t="n">
        <f>779601</f>
        <v>779601.0</v>
      </c>
      <c r="U288" s="32" t="n">
        <f>363760</f>
        <v>363760.0</v>
      </c>
      <c r="V288" s="32" t="n">
        <f>1153839497</f>
        <v>1.153839497E9</v>
      </c>
      <c r="W288" s="32" t="n">
        <f>521088066</f>
        <v>5.21088066E8</v>
      </c>
      <c r="X288" s="36" t="n">
        <f>21</f>
        <v>21.0</v>
      </c>
    </row>
    <row r="289">
      <c r="A289" s="27" t="s">
        <v>42</v>
      </c>
      <c r="B289" s="27" t="s">
        <v>908</v>
      </c>
      <c r="C289" s="27" t="s">
        <v>909</v>
      </c>
      <c r="D289" s="27" t="s">
        <v>910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13960</f>
        <v>13960.0</v>
      </c>
      <c r="L289" s="34" t="s">
        <v>48</v>
      </c>
      <c r="M289" s="33" t="n">
        <f>14180</f>
        <v>14180.0</v>
      </c>
      <c r="N289" s="34" t="s">
        <v>48</v>
      </c>
      <c r="O289" s="33" t="n">
        <f>12000</f>
        <v>12000.0</v>
      </c>
      <c r="P289" s="34" t="s">
        <v>49</v>
      </c>
      <c r="Q289" s="33" t="n">
        <f>13280</f>
        <v>13280.0</v>
      </c>
      <c r="R289" s="34" t="s">
        <v>50</v>
      </c>
      <c r="S289" s="35" t="n">
        <f>13191.67</f>
        <v>13191.67</v>
      </c>
      <c r="T289" s="32" t="n">
        <f>7891</f>
        <v>7891.0</v>
      </c>
      <c r="U289" s="32" t="str">
        <f>"－"</f>
        <v>－</v>
      </c>
      <c r="V289" s="32" t="n">
        <f>102844025</f>
        <v>1.02844025E8</v>
      </c>
      <c r="W289" s="32" t="str">
        <f>"－"</f>
        <v>－</v>
      </c>
      <c r="X289" s="36" t="n">
        <f>21</f>
        <v>21.0</v>
      </c>
    </row>
    <row r="290">
      <c r="A290" s="27" t="s">
        <v>42</v>
      </c>
      <c r="B290" s="27" t="s">
        <v>911</v>
      </c>
      <c r="C290" s="27" t="s">
        <v>912</v>
      </c>
      <c r="D290" s="27" t="s">
        <v>913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1831</f>
        <v>1831.0</v>
      </c>
      <c r="L290" s="34" t="s">
        <v>48</v>
      </c>
      <c r="M290" s="33" t="n">
        <f>1859</f>
        <v>1859.0</v>
      </c>
      <c r="N290" s="34" t="s">
        <v>105</v>
      </c>
      <c r="O290" s="33" t="n">
        <f>1738</f>
        <v>1738.0</v>
      </c>
      <c r="P290" s="34" t="s">
        <v>49</v>
      </c>
      <c r="Q290" s="33" t="n">
        <f>1841</f>
        <v>1841.0</v>
      </c>
      <c r="R290" s="34" t="s">
        <v>50</v>
      </c>
      <c r="S290" s="35" t="n">
        <f>1827</f>
        <v>1827.0</v>
      </c>
      <c r="T290" s="32" t="n">
        <f>122713</f>
        <v>122713.0</v>
      </c>
      <c r="U290" s="32" t="n">
        <f>10948</f>
        <v>10948.0</v>
      </c>
      <c r="V290" s="32" t="n">
        <f>222389952</f>
        <v>2.22389952E8</v>
      </c>
      <c r="W290" s="32" t="n">
        <f>20034850</f>
        <v>2.003485E7</v>
      </c>
      <c r="X290" s="36" t="n">
        <f>21</f>
        <v>21.0</v>
      </c>
    </row>
    <row r="291">
      <c r="A291" s="27" t="s">
        <v>42</v>
      </c>
      <c r="B291" s="27" t="s">
        <v>914</v>
      </c>
      <c r="C291" s="27" t="s">
        <v>915</v>
      </c>
      <c r="D291" s="27" t="s">
        <v>916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10.0</v>
      </c>
      <c r="K291" s="33" t="n">
        <f>1665</f>
        <v>1665.0</v>
      </c>
      <c r="L291" s="34" t="s">
        <v>48</v>
      </c>
      <c r="M291" s="33" t="n">
        <f>1684.5</f>
        <v>1684.5</v>
      </c>
      <c r="N291" s="34" t="s">
        <v>82</v>
      </c>
      <c r="O291" s="33" t="n">
        <f>1372</f>
        <v>1372.0</v>
      </c>
      <c r="P291" s="34" t="s">
        <v>78</v>
      </c>
      <c r="Q291" s="33" t="n">
        <f>1522</f>
        <v>1522.0</v>
      </c>
      <c r="R291" s="34" t="s">
        <v>50</v>
      </c>
      <c r="S291" s="35" t="n">
        <f>1520.76</f>
        <v>1520.76</v>
      </c>
      <c r="T291" s="32" t="n">
        <f>564810</f>
        <v>564810.0</v>
      </c>
      <c r="U291" s="32" t="str">
        <f>"－"</f>
        <v>－</v>
      </c>
      <c r="V291" s="32" t="n">
        <f>847824910</f>
        <v>8.4782491E8</v>
      </c>
      <c r="W291" s="32" t="str">
        <f>"－"</f>
        <v>－</v>
      </c>
      <c r="X291" s="36" t="n">
        <f>21</f>
        <v>21.0</v>
      </c>
    </row>
    <row r="292">
      <c r="A292" s="27" t="s">
        <v>42</v>
      </c>
      <c r="B292" s="27" t="s">
        <v>917</v>
      </c>
      <c r="C292" s="27" t="s">
        <v>918</v>
      </c>
      <c r="D292" s="27" t="s">
        <v>919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786</f>
        <v>786.0</v>
      </c>
      <c r="L292" s="34" t="s">
        <v>48</v>
      </c>
      <c r="M292" s="33" t="n">
        <f>794</f>
        <v>794.0</v>
      </c>
      <c r="N292" s="34" t="s">
        <v>71</v>
      </c>
      <c r="O292" s="33" t="n">
        <f>767.8</f>
        <v>767.8</v>
      </c>
      <c r="P292" s="34" t="s">
        <v>219</v>
      </c>
      <c r="Q292" s="33" t="n">
        <f>783.4</f>
        <v>783.4</v>
      </c>
      <c r="R292" s="34" t="s">
        <v>50</v>
      </c>
      <c r="S292" s="35" t="n">
        <f>778.89</f>
        <v>778.89</v>
      </c>
      <c r="T292" s="32" t="n">
        <f>561830</f>
        <v>561830.0</v>
      </c>
      <c r="U292" s="32" t="str">
        <f>"－"</f>
        <v>－</v>
      </c>
      <c r="V292" s="32" t="n">
        <f>438396269</f>
        <v>4.38396269E8</v>
      </c>
      <c r="W292" s="32" t="str">
        <f>"－"</f>
        <v>－</v>
      </c>
      <c r="X292" s="36" t="n">
        <f>21</f>
        <v>21.0</v>
      </c>
    </row>
    <row r="293">
      <c r="A293" s="27" t="s">
        <v>42</v>
      </c>
      <c r="B293" s="27" t="s">
        <v>920</v>
      </c>
      <c r="C293" s="27" t="s">
        <v>921</v>
      </c>
      <c r="D293" s="27" t="s">
        <v>922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1766</f>
        <v>1766.0</v>
      </c>
      <c r="L293" s="34" t="s">
        <v>48</v>
      </c>
      <c r="M293" s="33" t="n">
        <f>1789.5</f>
        <v>1789.5</v>
      </c>
      <c r="N293" s="34" t="s">
        <v>82</v>
      </c>
      <c r="O293" s="33" t="n">
        <f>1676</f>
        <v>1676.0</v>
      </c>
      <c r="P293" s="34" t="s">
        <v>49</v>
      </c>
      <c r="Q293" s="33" t="n">
        <f>1765.5</f>
        <v>1765.5</v>
      </c>
      <c r="R293" s="34" t="s">
        <v>50</v>
      </c>
      <c r="S293" s="35" t="n">
        <f>1747.21</f>
        <v>1747.21</v>
      </c>
      <c r="T293" s="32" t="n">
        <f>319190</f>
        <v>319190.0</v>
      </c>
      <c r="U293" s="32" t="n">
        <f>60</f>
        <v>60.0</v>
      </c>
      <c r="V293" s="32" t="n">
        <f>551627275</f>
        <v>5.51627275E8</v>
      </c>
      <c r="W293" s="32" t="n">
        <f>105090</f>
        <v>105090.0</v>
      </c>
      <c r="X293" s="36" t="n">
        <f>21</f>
        <v>21.0</v>
      </c>
    </row>
    <row r="294">
      <c r="A294" s="27" t="s">
        <v>42</v>
      </c>
      <c r="B294" s="27" t="s">
        <v>923</v>
      </c>
      <c r="C294" s="27" t="s">
        <v>924</v>
      </c>
      <c r="D294" s="27" t="s">
        <v>925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1772</f>
        <v>1772.0</v>
      </c>
      <c r="L294" s="34" t="s">
        <v>48</v>
      </c>
      <c r="M294" s="33" t="n">
        <f>1777.5</f>
        <v>1777.5</v>
      </c>
      <c r="N294" s="34" t="s">
        <v>48</v>
      </c>
      <c r="O294" s="33" t="n">
        <f>1657</f>
        <v>1657.0</v>
      </c>
      <c r="P294" s="34" t="s">
        <v>49</v>
      </c>
      <c r="Q294" s="33" t="n">
        <f>1755</f>
        <v>1755.0</v>
      </c>
      <c r="R294" s="34" t="s">
        <v>50</v>
      </c>
      <c r="S294" s="35" t="n">
        <f>1744.05</f>
        <v>1744.05</v>
      </c>
      <c r="T294" s="32" t="n">
        <f>544660</f>
        <v>544660.0</v>
      </c>
      <c r="U294" s="32" t="n">
        <f>40260</f>
        <v>40260.0</v>
      </c>
      <c r="V294" s="32" t="n">
        <f>942729616</f>
        <v>9.42729616E8</v>
      </c>
      <c r="W294" s="32" t="n">
        <f>70381946</f>
        <v>7.0381946E7</v>
      </c>
      <c r="X294" s="36" t="n">
        <f>21</f>
        <v>21.0</v>
      </c>
    </row>
    <row r="295">
      <c r="A295" s="27" t="s">
        <v>42</v>
      </c>
      <c r="B295" s="27" t="s">
        <v>926</v>
      </c>
      <c r="C295" s="27" t="s">
        <v>927</v>
      </c>
      <c r="D295" s="27" t="s">
        <v>928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2751</f>
        <v>2751.0</v>
      </c>
      <c r="L295" s="34" t="s">
        <v>48</v>
      </c>
      <c r="M295" s="33" t="n">
        <f>2751</f>
        <v>2751.0</v>
      </c>
      <c r="N295" s="34" t="s">
        <v>48</v>
      </c>
      <c r="O295" s="33" t="n">
        <f>2250.5</f>
        <v>2250.5</v>
      </c>
      <c r="P295" s="34" t="s">
        <v>49</v>
      </c>
      <c r="Q295" s="33" t="n">
        <f>2677.5</f>
        <v>2677.5</v>
      </c>
      <c r="R295" s="34" t="s">
        <v>50</v>
      </c>
      <c r="S295" s="35" t="n">
        <f>2560.29</f>
        <v>2560.29</v>
      </c>
      <c r="T295" s="32" t="n">
        <f>1234460</f>
        <v>1234460.0</v>
      </c>
      <c r="U295" s="32" t="n">
        <f>882050</f>
        <v>882050.0</v>
      </c>
      <c r="V295" s="32" t="n">
        <f>3089927635</f>
        <v>3.089927635E9</v>
      </c>
      <c r="W295" s="32" t="n">
        <f>2182665065</f>
        <v>2.182665065E9</v>
      </c>
      <c r="X295" s="36" t="n">
        <f>21</f>
        <v>21.0</v>
      </c>
    </row>
    <row r="296">
      <c r="A296" s="27" t="s">
        <v>42</v>
      </c>
      <c r="B296" s="27" t="s">
        <v>929</v>
      </c>
      <c r="C296" s="27" t="s">
        <v>930</v>
      </c>
      <c r="D296" s="27" t="s">
        <v>931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24135</f>
        <v>24135.0</v>
      </c>
      <c r="L296" s="34" t="s">
        <v>48</v>
      </c>
      <c r="M296" s="33" t="n">
        <f>24320</f>
        <v>24320.0</v>
      </c>
      <c r="N296" s="34" t="s">
        <v>82</v>
      </c>
      <c r="O296" s="33" t="n">
        <f>20210</f>
        <v>20210.0</v>
      </c>
      <c r="P296" s="34" t="s">
        <v>78</v>
      </c>
      <c r="Q296" s="33" t="n">
        <f>22800</f>
        <v>22800.0</v>
      </c>
      <c r="R296" s="34" t="s">
        <v>50</v>
      </c>
      <c r="S296" s="35" t="n">
        <f>22229.05</f>
        <v>22229.05</v>
      </c>
      <c r="T296" s="32" t="n">
        <f>1047879</f>
        <v>1047879.0</v>
      </c>
      <c r="U296" s="32" t="n">
        <f>61541</f>
        <v>61541.0</v>
      </c>
      <c r="V296" s="32" t="n">
        <f>23092185918</f>
        <v>2.3092185918E10</v>
      </c>
      <c r="W296" s="32" t="n">
        <f>1435599308</f>
        <v>1.435599308E9</v>
      </c>
      <c r="X296" s="36" t="n">
        <f>21</f>
        <v>21.0</v>
      </c>
    </row>
    <row r="297">
      <c r="A297" s="27" t="s">
        <v>42</v>
      </c>
      <c r="B297" s="27" t="s">
        <v>932</v>
      </c>
      <c r="C297" s="27" t="s">
        <v>933</v>
      </c>
      <c r="D297" s="27" t="s">
        <v>934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20405</f>
        <v>20405.0</v>
      </c>
      <c r="L297" s="34" t="s">
        <v>48</v>
      </c>
      <c r="M297" s="33" t="n">
        <f>20535</f>
        <v>20535.0</v>
      </c>
      <c r="N297" s="34" t="s">
        <v>82</v>
      </c>
      <c r="O297" s="33" t="n">
        <f>17245</f>
        <v>17245.0</v>
      </c>
      <c r="P297" s="34" t="s">
        <v>78</v>
      </c>
      <c r="Q297" s="33" t="n">
        <f>19595</f>
        <v>19595.0</v>
      </c>
      <c r="R297" s="34" t="s">
        <v>50</v>
      </c>
      <c r="S297" s="35" t="n">
        <f>18990</f>
        <v>18990.0</v>
      </c>
      <c r="T297" s="32" t="n">
        <f>550870</f>
        <v>550870.0</v>
      </c>
      <c r="U297" s="32" t="n">
        <f>12202</f>
        <v>12202.0</v>
      </c>
      <c r="V297" s="32" t="n">
        <f>10273346424</f>
        <v>1.0273346424E10</v>
      </c>
      <c r="W297" s="32" t="n">
        <f>224824964</f>
        <v>2.24824964E8</v>
      </c>
      <c r="X297" s="36" t="n">
        <f>21</f>
        <v>21.0</v>
      </c>
    </row>
    <row r="298">
      <c r="A298" s="27" t="s">
        <v>42</v>
      </c>
      <c r="B298" s="27" t="s">
        <v>935</v>
      </c>
      <c r="C298" s="27" t="s">
        <v>936</v>
      </c>
      <c r="D298" s="27" t="s">
        <v>937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38140</f>
        <v>38140.0</v>
      </c>
      <c r="L298" s="34" t="s">
        <v>48</v>
      </c>
      <c r="M298" s="33" t="n">
        <f>38140</f>
        <v>38140.0</v>
      </c>
      <c r="N298" s="34" t="s">
        <v>48</v>
      </c>
      <c r="O298" s="33" t="n">
        <f>31540</f>
        <v>31540.0</v>
      </c>
      <c r="P298" s="34" t="s">
        <v>160</v>
      </c>
      <c r="Q298" s="33" t="n">
        <f>35520</f>
        <v>35520.0</v>
      </c>
      <c r="R298" s="34" t="s">
        <v>67</v>
      </c>
      <c r="S298" s="35" t="n">
        <f>34420</f>
        <v>34420.0</v>
      </c>
      <c r="T298" s="32" t="n">
        <f>17</f>
        <v>17.0</v>
      </c>
      <c r="U298" s="32" t="str">
        <f>"－"</f>
        <v>－</v>
      </c>
      <c r="V298" s="32" t="n">
        <f>595620</f>
        <v>595620.0</v>
      </c>
      <c r="W298" s="32" t="str">
        <f>"－"</f>
        <v>－</v>
      </c>
      <c r="X298" s="36" t="n">
        <f>5</f>
        <v>5.0</v>
      </c>
    </row>
    <row r="299">
      <c r="A299" s="27" t="s">
        <v>42</v>
      </c>
      <c r="B299" s="27" t="s">
        <v>938</v>
      </c>
      <c r="C299" s="27" t="s">
        <v>939</v>
      </c>
      <c r="D299" s="27" t="s">
        <v>940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2250</f>
        <v>2250.0</v>
      </c>
      <c r="L299" s="34" t="s">
        <v>48</v>
      </c>
      <c r="M299" s="33" t="n">
        <f>2410</f>
        <v>2410.0</v>
      </c>
      <c r="N299" s="34" t="s">
        <v>49</v>
      </c>
      <c r="O299" s="33" t="n">
        <f>2223</f>
        <v>2223.0</v>
      </c>
      <c r="P299" s="34" t="s">
        <v>941</v>
      </c>
      <c r="Q299" s="33" t="n">
        <f>2257</f>
        <v>2257.0</v>
      </c>
      <c r="R299" s="34" t="s">
        <v>50</v>
      </c>
      <c r="S299" s="35" t="n">
        <f>2261.86</f>
        <v>2261.86</v>
      </c>
      <c r="T299" s="32" t="n">
        <f>4130898</f>
        <v>4130898.0</v>
      </c>
      <c r="U299" s="32" t="n">
        <f>3517165</f>
        <v>3517165.0</v>
      </c>
      <c r="V299" s="32" t="n">
        <f>9297802600</f>
        <v>9.2978026E9</v>
      </c>
      <c r="W299" s="32" t="n">
        <f>7903290822</f>
        <v>7.903290822E9</v>
      </c>
      <c r="X299" s="36" t="n">
        <f>21</f>
        <v>21.0</v>
      </c>
    </row>
    <row r="300">
      <c r="A300" s="27" t="s">
        <v>42</v>
      </c>
      <c r="B300" s="27" t="s">
        <v>942</v>
      </c>
      <c r="C300" s="27" t="s">
        <v>943</v>
      </c>
      <c r="D300" s="27" t="s">
        <v>944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3057</f>
        <v>3057.0</v>
      </c>
      <c r="L300" s="34" t="s">
        <v>48</v>
      </c>
      <c r="M300" s="33" t="n">
        <f>3072</f>
        <v>3072.0</v>
      </c>
      <c r="N300" s="34" t="s">
        <v>82</v>
      </c>
      <c r="O300" s="33" t="n">
        <f>2695</f>
        <v>2695.0</v>
      </c>
      <c r="P300" s="34" t="s">
        <v>78</v>
      </c>
      <c r="Q300" s="33" t="n">
        <f>2960</f>
        <v>2960.0</v>
      </c>
      <c r="R300" s="34" t="s">
        <v>50</v>
      </c>
      <c r="S300" s="35" t="n">
        <f>2918.57</f>
        <v>2918.57</v>
      </c>
      <c r="T300" s="32" t="n">
        <f>1879532</f>
        <v>1879532.0</v>
      </c>
      <c r="U300" s="32" t="n">
        <f>1376540</f>
        <v>1376540.0</v>
      </c>
      <c r="V300" s="32" t="n">
        <f>5392911898</f>
        <v>5.392911898E9</v>
      </c>
      <c r="W300" s="32" t="n">
        <f>3953927986</f>
        <v>3.953927986E9</v>
      </c>
      <c r="X300" s="36" t="n">
        <f>21</f>
        <v>21.0</v>
      </c>
    </row>
    <row r="301">
      <c r="A301" s="27" t="s">
        <v>42</v>
      </c>
      <c r="B301" s="27" t="s">
        <v>945</v>
      </c>
      <c r="C301" s="27" t="s">
        <v>946</v>
      </c>
      <c r="D301" s="27" t="s">
        <v>947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310</f>
        <v>310.0</v>
      </c>
      <c r="L301" s="34" t="s">
        <v>48</v>
      </c>
      <c r="M301" s="33" t="n">
        <f>312.5</f>
        <v>312.5</v>
      </c>
      <c r="N301" s="34" t="s">
        <v>82</v>
      </c>
      <c r="O301" s="33" t="n">
        <f>270</f>
        <v>270.0</v>
      </c>
      <c r="P301" s="34" t="s">
        <v>78</v>
      </c>
      <c r="Q301" s="33" t="n">
        <f>306.7</f>
        <v>306.7</v>
      </c>
      <c r="R301" s="34" t="s">
        <v>50</v>
      </c>
      <c r="S301" s="35" t="n">
        <f>296.78</f>
        <v>296.78</v>
      </c>
      <c r="T301" s="32" t="n">
        <f>48521360</f>
        <v>4.852136E7</v>
      </c>
      <c r="U301" s="32" t="n">
        <f>18692700</f>
        <v>1.86927E7</v>
      </c>
      <c r="V301" s="32" t="n">
        <f>14206152898</f>
        <v>1.4206152898E10</v>
      </c>
      <c r="W301" s="32" t="n">
        <f>5484649814</f>
        <v>5.484649814E9</v>
      </c>
      <c r="X301" s="36" t="n">
        <f>21</f>
        <v>21.0</v>
      </c>
    </row>
    <row r="302">
      <c r="A302" s="27" t="s">
        <v>42</v>
      </c>
      <c r="B302" s="27" t="s">
        <v>948</v>
      </c>
      <c r="C302" s="27" t="s">
        <v>949</v>
      </c>
      <c r="D302" s="27" t="s">
        <v>950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2820</f>
        <v>2820.0</v>
      </c>
      <c r="L302" s="34" t="s">
        <v>48</v>
      </c>
      <c r="M302" s="33" t="n">
        <f>2821</f>
        <v>2821.0</v>
      </c>
      <c r="N302" s="34" t="s">
        <v>48</v>
      </c>
      <c r="O302" s="33" t="n">
        <f>2415</f>
        <v>2415.0</v>
      </c>
      <c r="P302" s="34" t="s">
        <v>49</v>
      </c>
      <c r="Q302" s="33" t="n">
        <f>2697</f>
        <v>2697.0</v>
      </c>
      <c r="R302" s="34" t="s">
        <v>50</v>
      </c>
      <c r="S302" s="35" t="n">
        <f>2675.71</f>
        <v>2675.71</v>
      </c>
      <c r="T302" s="32" t="n">
        <f>1624169</f>
        <v>1624169.0</v>
      </c>
      <c r="U302" s="32" t="n">
        <f>758677</f>
        <v>758677.0</v>
      </c>
      <c r="V302" s="32" t="n">
        <f>4197421617</f>
        <v>4.197421617E9</v>
      </c>
      <c r="W302" s="32" t="n">
        <f>1919751886</f>
        <v>1.919751886E9</v>
      </c>
      <c r="X302" s="36" t="n">
        <f>21</f>
        <v>21.0</v>
      </c>
    </row>
    <row r="303">
      <c r="A303" s="27" t="s">
        <v>42</v>
      </c>
      <c r="B303" s="27" t="s">
        <v>951</v>
      </c>
      <c r="C303" s="27" t="s">
        <v>952</v>
      </c>
      <c r="D303" s="27" t="s">
        <v>953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850</f>
        <v>850.0</v>
      </c>
      <c r="L303" s="34" t="s">
        <v>48</v>
      </c>
      <c r="M303" s="33" t="n">
        <f>850</f>
        <v>850.0</v>
      </c>
      <c r="N303" s="34" t="s">
        <v>48</v>
      </c>
      <c r="O303" s="33" t="n">
        <f>806</f>
        <v>806.0</v>
      </c>
      <c r="P303" s="34" t="s">
        <v>49</v>
      </c>
      <c r="Q303" s="33" t="n">
        <f>835</f>
        <v>835.0</v>
      </c>
      <c r="R303" s="34" t="s">
        <v>50</v>
      </c>
      <c r="S303" s="35" t="n">
        <f>835.29</f>
        <v>835.29</v>
      </c>
      <c r="T303" s="32" t="n">
        <f>378597</f>
        <v>378597.0</v>
      </c>
      <c r="U303" s="32" t="n">
        <f>6023</f>
        <v>6023.0</v>
      </c>
      <c r="V303" s="32" t="n">
        <f>314936781</f>
        <v>3.14936781E8</v>
      </c>
      <c r="W303" s="32" t="n">
        <f>5003482</f>
        <v>5003482.0</v>
      </c>
      <c r="X303" s="36" t="n">
        <f>21</f>
        <v>21.0</v>
      </c>
    </row>
    <row r="304">
      <c r="A304" s="27" t="s">
        <v>42</v>
      </c>
      <c r="B304" s="27" t="s">
        <v>954</v>
      </c>
      <c r="C304" s="27" t="s">
        <v>955</v>
      </c>
      <c r="D304" s="27" t="s">
        <v>956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965.5</f>
        <v>965.5</v>
      </c>
      <c r="L304" s="34" t="s">
        <v>48</v>
      </c>
      <c r="M304" s="33" t="n">
        <f>973.3</f>
        <v>973.3</v>
      </c>
      <c r="N304" s="34" t="s">
        <v>48</v>
      </c>
      <c r="O304" s="33" t="n">
        <f>916</f>
        <v>916.0</v>
      </c>
      <c r="P304" s="34" t="s">
        <v>49</v>
      </c>
      <c r="Q304" s="33" t="n">
        <f>963</f>
        <v>963.0</v>
      </c>
      <c r="R304" s="34" t="s">
        <v>50</v>
      </c>
      <c r="S304" s="35" t="n">
        <f>956.41</f>
        <v>956.41</v>
      </c>
      <c r="T304" s="32" t="n">
        <f>39963</f>
        <v>39963.0</v>
      </c>
      <c r="U304" s="32" t="n">
        <f>10</f>
        <v>10.0</v>
      </c>
      <c r="V304" s="32" t="n">
        <f>38135670</f>
        <v>3.813567E7</v>
      </c>
      <c r="W304" s="32" t="n">
        <f>9561</f>
        <v>9561.0</v>
      </c>
      <c r="X304" s="36" t="n">
        <f>21</f>
        <v>21.0</v>
      </c>
    </row>
    <row r="305">
      <c r="A305" s="27" t="s">
        <v>42</v>
      </c>
      <c r="B305" s="27" t="s">
        <v>957</v>
      </c>
      <c r="C305" s="27" t="s">
        <v>958</v>
      </c>
      <c r="D305" s="27" t="s">
        <v>959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10.0</v>
      </c>
      <c r="K305" s="33" t="n">
        <f>333</f>
        <v>333.0</v>
      </c>
      <c r="L305" s="34" t="s">
        <v>95</v>
      </c>
      <c r="M305" s="33" t="n">
        <f>354.3</f>
        <v>354.3</v>
      </c>
      <c r="N305" s="34" t="s">
        <v>50</v>
      </c>
      <c r="O305" s="33" t="n">
        <f>296.8</f>
        <v>296.8</v>
      </c>
      <c r="P305" s="34" t="s">
        <v>60</v>
      </c>
      <c r="Q305" s="33" t="n">
        <f>354.3</f>
        <v>354.3</v>
      </c>
      <c r="R305" s="34" t="s">
        <v>50</v>
      </c>
      <c r="S305" s="35" t="n">
        <f>335.21</f>
        <v>335.21</v>
      </c>
      <c r="T305" s="32" t="n">
        <f>16510</f>
        <v>16510.0</v>
      </c>
      <c r="U305" s="32" t="str">
        <f>"－"</f>
        <v>－</v>
      </c>
      <c r="V305" s="32" t="n">
        <f>5464288</f>
        <v>5464288.0</v>
      </c>
      <c r="W305" s="32" t="str">
        <f>"－"</f>
        <v>－</v>
      </c>
      <c r="X305" s="36" t="n">
        <f>18</f>
        <v>18.0</v>
      </c>
    </row>
    <row r="306">
      <c r="A306" s="27" t="s">
        <v>42</v>
      </c>
      <c r="B306" s="27" t="s">
        <v>960</v>
      </c>
      <c r="C306" s="27" t="s">
        <v>961</v>
      </c>
      <c r="D306" s="27" t="s">
        <v>962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4941</f>
        <v>4941.0</v>
      </c>
      <c r="L306" s="34" t="s">
        <v>48</v>
      </c>
      <c r="M306" s="33" t="n">
        <f>5003</f>
        <v>5003.0</v>
      </c>
      <c r="N306" s="34" t="s">
        <v>82</v>
      </c>
      <c r="O306" s="33" t="n">
        <f>4118</f>
        <v>4118.0</v>
      </c>
      <c r="P306" s="34" t="s">
        <v>49</v>
      </c>
      <c r="Q306" s="33" t="n">
        <f>4770</f>
        <v>4770.0</v>
      </c>
      <c r="R306" s="34" t="s">
        <v>50</v>
      </c>
      <c r="S306" s="35" t="n">
        <f>4590.19</f>
        <v>4590.19</v>
      </c>
      <c r="T306" s="32" t="n">
        <f>1087933</f>
        <v>1087933.0</v>
      </c>
      <c r="U306" s="32" t="str">
        <f>"－"</f>
        <v>－</v>
      </c>
      <c r="V306" s="32" t="n">
        <f>4884550970</f>
        <v>4.88455097E9</v>
      </c>
      <c r="W306" s="32" t="str">
        <f>"－"</f>
        <v>－</v>
      </c>
      <c r="X306" s="36" t="n">
        <f>21</f>
        <v>21.0</v>
      </c>
    </row>
    <row r="307">
      <c r="A307" s="27" t="s">
        <v>42</v>
      </c>
      <c r="B307" s="27" t="s">
        <v>963</v>
      </c>
      <c r="C307" s="27" t="s">
        <v>964</v>
      </c>
      <c r="D307" s="27" t="s">
        <v>965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2941.5</f>
        <v>2941.5</v>
      </c>
      <c r="L307" s="34" t="s">
        <v>48</v>
      </c>
      <c r="M307" s="33" t="n">
        <f>2986</f>
        <v>2986.0</v>
      </c>
      <c r="N307" s="34" t="s">
        <v>82</v>
      </c>
      <c r="O307" s="33" t="n">
        <f>2534.5</f>
        <v>2534.5</v>
      </c>
      <c r="P307" s="34" t="s">
        <v>49</v>
      </c>
      <c r="Q307" s="33" t="n">
        <f>2976</f>
        <v>2976.0</v>
      </c>
      <c r="R307" s="34" t="s">
        <v>50</v>
      </c>
      <c r="S307" s="35" t="n">
        <f>2842.62</f>
        <v>2842.62</v>
      </c>
      <c r="T307" s="32" t="n">
        <f>1957740</f>
        <v>1957740.0</v>
      </c>
      <c r="U307" s="32" t="n">
        <f>702000</f>
        <v>702000.0</v>
      </c>
      <c r="V307" s="32" t="n">
        <f>5512378460</f>
        <v>5.51237846E9</v>
      </c>
      <c r="W307" s="32" t="n">
        <f>2041475998</f>
        <v>2.041475998E9</v>
      </c>
      <c r="X307" s="36" t="n">
        <f>21</f>
        <v>21.0</v>
      </c>
    </row>
    <row r="308">
      <c r="A308" s="27" t="s">
        <v>42</v>
      </c>
      <c r="B308" s="27" t="s">
        <v>966</v>
      </c>
      <c r="C308" s="27" t="s">
        <v>967</v>
      </c>
      <c r="D308" s="27" t="s">
        <v>968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2022</f>
        <v>2022.0</v>
      </c>
      <c r="L308" s="34" t="s">
        <v>48</v>
      </c>
      <c r="M308" s="33" t="n">
        <f>2022</f>
        <v>2022.0</v>
      </c>
      <c r="N308" s="34" t="s">
        <v>48</v>
      </c>
      <c r="O308" s="33" t="n">
        <f>1650</f>
        <v>1650.0</v>
      </c>
      <c r="P308" s="34" t="s">
        <v>49</v>
      </c>
      <c r="Q308" s="33" t="n">
        <f>1986</f>
        <v>1986.0</v>
      </c>
      <c r="R308" s="34" t="s">
        <v>50</v>
      </c>
      <c r="S308" s="35" t="n">
        <f>1875.48</f>
        <v>1875.48</v>
      </c>
      <c r="T308" s="32" t="n">
        <f>15817</f>
        <v>15817.0</v>
      </c>
      <c r="U308" s="32" t="str">
        <f>"－"</f>
        <v>－</v>
      </c>
      <c r="V308" s="32" t="n">
        <f>27983019</f>
        <v>2.7983019E7</v>
      </c>
      <c r="W308" s="32" t="str">
        <f>"－"</f>
        <v>－</v>
      </c>
      <c r="X308" s="36" t="n">
        <f>21</f>
        <v>21.0</v>
      </c>
    </row>
    <row r="309">
      <c r="A309" s="27" t="s">
        <v>42</v>
      </c>
      <c r="B309" s="27" t="s">
        <v>969</v>
      </c>
      <c r="C309" s="27" t="s">
        <v>970</v>
      </c>
      <c r="D309" s="27" t="s">
        <v>971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1980</f>
        <v>1980.0</v>
      </c>
      <c r="L309" s="34" t="s">
        <v>48</v>
      </c>
      <c r="M309" s="33" t="n">
        <f>2265</f>
        <v>2265.0</v>
      </c>
      <c r="N309" s="34" t="s">
        <v>219</v>
      </c>
      <c r="O309" s="33" t="n">
        <f>1857</f>
        <v>1857.0</v>
      </c>
      <c r="P309" s="34" t="s">
        <v>49</v>
      </c>
      <c r="Q309" s="33" t="n">
        <f>1966</f>
        <v>1966.0</v>
      </c>
      <c r="R309" s="34" t="s">
        <v>50</v>
      </c>
      <c r="S309" s="35" t="n">
        <f>1946.29</f>
        <v>1946.29</v>
      </c>
      <c r="T309" s="32" t="n">
        <f>9660</f>
        <v>9660.0</v>
      </c>
      <c r="U309" s="32" t="str">
        <f>"－"</f>
        <v>－</v>
      </c>
      <c r="V309" s="32" t="n">
        <f>18743851</f>
        <v>1.8743851E7</v>
      </c>
      <c r="W309" s="32" t="str">
        <f>"－"</f>
        <v>－</v>
      </c>
      <c r="X309" s="36" t="n">
        <f>21</f>
        <v>21.0</v>
      </c>
    </row>
    <row r="310">
      <c r="A310" s="27" t="s">
        <v>42</v>
      </c>
      <c r="B310" s="27" t="s">
        <v>972</v>
      </c>
      <c r="C310" s="27" t="s">
        <v>973</v>
      </c>
      <c r="D310" s="27" t="s">
        <v>974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348.4</f>
        <v>348.4</v>
      </c>
      <c r="L310" s="34" t="s">
        <v>48</v>
      </c>
      <c r="M310" s="33" t="n">
        <f>348.4</f>
        <v>348.4</v>
      </c>
      <c r="N310" s="34" t="s">
        <v>48</v>
      </c>
      <c r="O310" s="33" t="n">
        <f>320</f>
        <v>320.0</v>
      </c>
      <c r="P310" s="34" t="s">
        <v>86</v>
      </c>
      <c r="Q310" s="33" t="n">
        <f>329.5</f>
        <v>329.5</v>
      </c>
      <c r="R310" s="34" t="s">
        <v>50</v>
      </c>
      <c r="S310" s="35" t="n">
        <f>333.27</f>
        <v>333.27</v>
      </c>
      <c r="T310" s="32" t="n">
        <f>17904620</f>
        <v>1.790462E7</v>
      </c>
      <c r="U310" s="32" t="n">
        <f>15954000</f>
        <v>1.5954E7</v>
      </c>
      <c r="V310" s="32" t="n">
        <f>6172691399</f>
        <v>6.172691399E9</v>
      </c>
      <c r="W310" s="32" t="n">
        <f>5518810200</f>
        <v>5.5188102E9</v>
      </c>
      <c r="X310" s="36" t="n">
        <f>21</f>
        <v>21.0</v>
      </c>
    </row>
    <row r="311">
      <c r="A311" s="27" t="s">
        <v>42</v>
      </c>
      <c r="B311" s="27" t="s">
        <v>975</v>
      </c>
      <c r="C311" s="27" t="s">
        <v>976</v>
      </c>
      <c r="D311" s="27" t="s">
        <v>977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1161</f>
        <v>1161.0</v>
      </c>
      <c r="L311" s="34" t="s">
        <v>48</v>
      </c>
      <c r="M311" s="33" t="n">
        <f>1207</f>
        <v>1207.0</v>
      </c>
      <c r="N311" s="34" t="s">
        <v>49</v>
      </c>
      <c r="O311" s="33" t="n">
        <f>1081</f>
        <v>1081.0</v>
      </c>
      <c r="P311" s="34" t="s">
        <v>78</v>
      </c>
      <c r="Q311" s="33" t="n">
        <f>1136</f>
        <v>1136.0</v>
      </c>
      <c r="R311" s="34" t="s">
        <v>50</v>
      </c>
      <c r="S311" s="35" t="n">
        <f>1127.52</f>
        <v>1127.52</v>
      </c>
      <c r="T311" s="32" t="n">
        <f>31931560</f>
        <v>3.193156E7</v>
      </c>
      <c r="U311" s="32" t="n">
        <f>26270</f>
        <v>26270.0</v>
      </c>
      <c r="V311" s="32" t="n">
        <f>36596724411</f>
        <v>3.6596724411E10</v>
      </c>
      <c r="W311" s="32" t="n">
        <f>29967412</f>
        <v>2.9967412E7</v>
      </c>
      <c r="X311" s="36" t="n">
        <f>21</f>
        <v>21.0</v>
      </c>
    </row>
    <row r="312">
      <c r="A312" s="27" t="s">
        <v>42</v>
      </c>
      <c r="B312" s="27" t="s">
        <v>978</v>
      </c>
      <c r="C312" s="27" t="s">
        <v>979</v>
      </c>
      <c r="D312" s="27" t="s">
        <v>980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1729</f>
        <v>1729.0</v>
      </c>
      <c r="L312" s="34" t="s">
        <v>48</v>
      </c>
      <c r="M312" s="33" t="n">
        <f>1745</f>
        <v>1745.0</v>
      </c>
      <c r="N312" s="34" t="s">
        <v>224</v>
      </c>
      <c r="O312" s="33" t="n">
        <f>1610</f>
        <v>1610.0</v>
      </c>
      <c r="P312" s="34" t="s">
        <v>203</v>
      </c>
      <c r="Q312" s="33" t="n">
        <f>1690</f>
        <v>1690.0</v>
      </c>
      <c r="R312" s="34" t="s">
        <v>50</v>
      </c>
      <c r="S312" s="35" t="n">
        <f>1676.24</f>
        <v>1676.24</v>
      </c>
      <c r="T312" s="32" t="n">
        <f>51540</f>
        <v>51540.0</v>
      </c>
      <c r="U312" s="32" t="str">
        <f>"－"</f>
        <v>－</v>
      </c>
      <c r="V312" s="32" t="n">
        <f>86014217</f>
        <v>8.6014217E7</v>
      </c>
      <c r="W312" s="32" t="str">
        <f>"－"</f>
        <v>－</v>
      </c>
      <c r="X312" s="36" t="n">
        <f>21</f>
        <v>21.0</v>
      </c>
    </row>
    <row r="313">
      <c r="A313" s="27" t="s">
        <v>42</v>
      </c>
      <c r="B313" s="27" t="s">
        <v>981</v>
      </c>
      <c r="C313" s="27" t="s">
        <v>982</v>
      </c>
      <c r="D313" s="27" t="s">
        <v>983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2066</f>
        <v>2066.0</v>
      </c>
      <c r="L313" s="34" t="s">
        <v>48</v>
      </c>
      <c r="M313" s="33" t="n">
        <f>2110</f>
        <v>2110.0</v>
      </c>
      <c r="N313" s="34" t="s">
        <v>60</v>
      </c>
      <c r="O313" s="33" t="n">
        <f>2003</f>
        <v>2003.0</v>
      </c>
      <c r="P313" s="34" t="s">
        <v>219</v>
      </c>
      <c r="Q313" s="33" t="n">
        <f>2035</f>
        <v>2035.0</v>
      </c>
      <c r="R313" s="34" t="s">
        <v>50</v>
      </c>
      <c r="S313" s="35" t="n">
        <f>2038.47</f>
        <v>2038.47</v>
      </c>
      <c r="T313" s="32" t="n">
        <f>605130</f>
        <v>605130.0</v>
      </c>
      <c r="U313" s="32" t="n">
        <f>591004</f>
        <v>591004.0</v>
      </c>
      <c r="V313" s="32" t="n">
        <f>1228010461</f>
        <v>1.228010461E9</v>
      </c>
      <c r="W313" s="32" t="n">
        <f>1199442695</f>
        <v>1.199442695E9</v>
      </c>
      <c r="X313" s="36" t="n">
        <f>19</f>
        <v>19.0</v>
      </c>
    </row>
    <row r="314">
      <c r="A314" s="27" t="s">
        <v>42</v>
      </c>
      <c r="B314" s="27" t="s">
        <v>984</v>
      </c>
      <c r="C314" s="27" t="s">
        <v>985</v>
      </c>
      <c r="D314" s="27" t="s">
        <v>986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3635</f>
        <v>3635.0</v>
      </c>
      <c r="L314" s="34" t="s">
        <v>48</v>
      </c>
      <c r="M314" s="33" t="n">
        <f>3650</f>
        <v>3650.0</v>
      </c>
      <c r="N314" s="34" t="s">
        <v>48</v>
      </c>
      <c r="O314" s="33" t="n">
        <f>3105</f>
        <v>3105.0</v>
      </c>
      <c r="P314" s="34" t="s">
        <v>49</v>
      </c>
      <c r="Q314" s="33" t="n">
        <f>3620</f>
        <v>3620.0</v>
      </c>
      <c r="R314" s="34" t="s">
        <v>50</v>
      </c>
      <c r="S314" s="35" t="n">
        <f>3461.19</f>
        <v>3461.19</v>
      </c>
      <c r="T314" s="32" t="n">
        <f>1249637</f>
        <v>1249637.0</v>
      </c>
      <c r="U314" s="32" t="n">
        <f>196077</f>
        <v>196077.0</v>
      </c>
      <c r="V314" s="32" t="n">
        <f>4228249068</f>
        <v>4.228249068E9</v>
      </c>
      <c r="W314" s="32" t="n">
        <f>665867428</f>
        <v>6.65867428E8</v>
      </c>
      <c r="X314" s="36" t="n">
        <f>21</f>
        <v>21.0</v>
      </c>
    </row>
    <row r="315">
      <c r="A315" s="27" t="s">
        <v>42</v>
      </c>
      <c r="B315" s="27" t="s">
        <v>987</v>
      </c>
      <c r="C315" s="27" t="s">
        <v>988</v>
      </c>
      <c r="D315" s="27" t="s">
        <v>989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2732</f>
        <v>2732.0</v>
      </c>
      <c r="L315" s="34" t="s">
        <v>48</v>
      </c>
      <c r="M315" s="33" t="n">
        <f>2732</f>
        <v>2732.0</v>
      </c>
      <c r="N315" s="34" t="s">
        <v>48</v>
      </c>
      <c r="O315" s="33" t="n">
        <f>2271</f>
        <v>2271.0</v>
      </c>
      <c r="P315" s="34" t="s">
        <v>49</v>
      </c>
      <c r="Q315" s="33" t="n">
        <f>2672</f>
        <v>2672.0</v>
      </c>
      <c r="R315" s="34" t="s">
        <v>50</v>
      </c>
      <c r="S315" s="35" t="n">
        <f>2552.57</f>
        <v>2552.57</v>
      </c>
      <c r="T315" s="32" t="n">
        <f>919225</f>
        <v>919225.0</v>
      </c>
      <c r="U315" s="32" t="n">
        <f>436870</f>
        <v>436870.0</v>
      </c>
      <c r="V315" s="32" t="n">
        <f>2322812163</f>
        <v>2.322812163E9</v>
      </c>
      <c r="W315" s="32" t="n">
        <f>1093852936</f>
        <v>1.093852936E9</v>
      </c>
      <c r="X315" s="36" t="n">
        <f>21</f>
        <v>21.0</v>
      </c>
    </row>
    <row r="316">
      <c r="A316" s="27" t="s">
        <v>42</v>
      </c>
      <c r="B316" s="27" t="s">
        <v>990</v>
      </c>
      <c r="C316" s="27" t="s">
        <v>991</v>
      </c>
      <c r="D316" s="27" t="s">
        <v>992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2480</f>
        <v>2480.0</v>
      </c>
      <c r="L316" s="34" t="s">
        <v>48</v>
      </c>
      <c r="M316" s="33" t="n">
        <f>2600</f>
        <v>2600.0</v>
      </c>
      <c r="N316" s="34" t="s">
        <v>50</v>
      </c>
      <c r="O316" s="33" t="n">
        <f>2158</f>
        <v>2158.0</v>
      </c>
      <c r="P316" s="34" t="s">
        <v>49</v>
      </c>
      <c r="Q316" s="33" t="n">
        <f>2598</f>
        <v>2598.0</v>
      </c>
      <c r="R316" s="34" t="s">
        <v>50</v>
      </c>
      <c r="S316" s="35" t="n">
        <f>2449.1</f>
        <v>2449.1</v>
      </c>
      <c r="T316" s="32" t="n">
        <f>18540</f>
        <v>18540.0</v>
      </c>
      <c r="U316" s="32" t="str">
        <f>"－"</f>
        <v>－</v>
      </c>
      <c r="V316" s="32" t="n">
        <f>43674057</f>
        <v>4.3674057E7</v>
      </c>
      <c r="W316" s="32" t="str">
        <f>"－"</f>
        <v>－</v>
      </c>
      <c r="X316" s="36" t="n">
        <f>21</f>
        <v>21.0</v>
      </c>
    </row>
    <row r="317">
      <c r="A317" s="27" t="s">
        <v>42</v>
      </c>
      <c r="B317" s="27" t="s">
        <v>993</v>
      </c>
      <c r="C317" s="27" t="s">
        <v>994</v>
      </c>
      <c r="D317" s="27" t="s">
        <v>995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1424</f>
        <v>1424.0</v>
      </c>
      <c r="L317" s="34" t="s">
        <v>48</v>
      </c>
      <c r="M317" s="33" t="n">
        <f>1488</f>
        <v>1488.0</v>
      </c>
      <c r="N317" s="34" t="s">
        <v>634</v>
      </c>
      <c r="O317" s="33" t="n">
        <f>1290</f>
        <v>1290.0</v>
      </c>
      <c r="P317" s="34" t="s">
        <v>49</v>
      </c>
      <c r="Q317" s="33" t="n">
        <f>1470</f>
        <v>1470.0</v>
      </c>
      <c r="R317" s="34" t="s">
        <v>71</v>
      </c>
      <c r="S317" s="35" t="n">
        <f>1414.65</f>
        <v>1414.65</v>
      </c>
      <c r="T317" s="32" t="n">
        <f>13172</f>
        <v>13172.0</v>
      </c>
      <c r="U317" s="32" t="str">
        <f>"－"</f>
        <v>－</v>
      </c>
      <c r="V317" s="32" t="n">
        <f>18312530</f>
        <v>1.831253E7</v>
      </c>
      <c r="W317" s="32" t="str">
        <f>"－"</f>
        <v>－</v>
      </c>
      <c r="X317" s="36" t="n">
        <f>20</f>
        <v>20.0</v>
      </c>
    </row>
    <row r="318">
      <c r="A318" s="27" t="s">
        <v>42</v>
      </c>
      <c r="B318" s="27" t="s">
        <v>996</v>
      </c>
      <c r="C318" s="27" t="s">
        <v>997</v>
      </c>
      <c r="D318" s="27" t="s">
        <v>998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2040</f>
        <v>2040.0</v>
      </c>
      <c r="L318" s="34" t="s">
        <v>48</v>
      </c>
      <c r="M318" s="33" t="n">
        <f>2066</f>
        <v>2066.0</v>
      </c>
      <c r="N318" s="34" t="s">
        <v>48</v>
      </c>
      <c r="O318" s="33" t="n">
        <f>1654</f>
        <v>1654.0</v>
      </c>
      <c r="P318" s="34" t="s">
        <v>49</v>
      </c>
      <c r="Q318" s="33" t="n">
        <f>1929</f>
        <v>1929.0</v>
      </c>
      <c r="R318" s="34" t="s">
        <v>50</v>
      </c>
      <c r="S318" s="35" t="n">
        <f>1910.38</f>
        <v>1910.38</v>
      </c>
      <c r="T318" s="32" t="n">
        <f>579442</f>
        <v>579442.0</v>
      </c>
      <c r="U318" s="32" t="str">
        <f>"－"</f>
        <v>－</v>
      </c>
      <c r="V318" s="32" t="n">
        <f>1087154284</f>
        <v>1.087154284E9</v>
      </c>
      <c r="W318" s="32" t="str">
        <f>"－"</f>
        <v>－</v>
      </c>
      <c r="X318" s="36" t="n">
        <f>21</f>
        <v>21.0</v>
      </c>
    </row>
    <row r="319">
      <c r="A319" s="27" t="s">
        <v>42</v>
      </c>
      <c r="B319" s="27" t="s">
        <v>999</v>
      </c>
      <c r="C319" s="27" t="s">
        <v>1000</v>
      </c>
      <c r="D319" s="27" t="s">
        <v>1001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2866</f>
        <v>2866.0</v>
      </c>
      <c r="L319" s="34" t="s">
        <v>48</v>
      </c>
      <c r="M319" s="33" t="n">
        <f>2919</f>
        <v>2919.0</v>
      </c>
      <c r="N319" s="34" t="s">
        <v>48</v>
      </c>
      <c r="O319" s="33" t="n">
        <f>2371</f>
        <v>2371.0</v>
      </c>
      <c r="P319" s="34" t="s">
        <v>78</v>
      </c>
      <c r="Q319" s="33" t="n">
        <f>2620</f>
        <v>2620.0</v>
      </c>
      <c r="R319" s="34" t="s">
        <v>50</v>
      </c>
      <c r="S319" s="35" t="n">
        <f>2639.57</f>
        <v>2639.57</v>
      </c>
      <c r="T319" s="32" t="n">
        <f>75459</f>
        <v>75459.0</v>
      </c>
      <c r="U319" s="32" t="str">
        <f>"－"</f>
        <v>－</v>
      </c>
      <c r="V319" s="32" t="n">
        <f>196615616</f>
        <v>1.96615616E8</v>
      </c>
      <c r="W319" s="32" t="str">
        <f>"－"</f>
        <v>－</v>
      </c>
      <c r="X319" s="36" t="n">
        <f>21</f>
        <v>21.0</v>
      </c>
    </row>
    <row r="320">
      <c r="A320" s="27" t="s">
        <v>42</v>
      </c>
      <c r="B320" s="27" t="s">
        <v>1002</v>
      </c>
      <c r="C320" s="27" t="s">
        <v>1003</v>
      </c>
      <c r="D320" s="27" t="s">
        <v>1004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12300</f>
        <v>12300.0</v>
      </c>
      <c r="L320" s="34" t="s">
        <v>48</v>
      </c>
      <c r="M320" s="33" t="n">
        <f>12445</f>
        <v>12445.0</v>
      </c>
      <c r="N320" s="34" t="s">
        <v>48</v>
      </c>
      <c r="O320" s="33" t="n">
        <f>10700</f>
        <v>10700.0</v>
      </c>
      <c r="P320" s="34" t="s">
        <v>78</v>
      </c>
      <c r="Q320" s="33" t="n">
        <f>12105</f>
        <v>12105.0</v>
      </c>
      <c r="R320" s="34" t="s">
        <v>50</v>
      </c>
      <c r="S320" s="35" t="n">
        <f>11765</f>
        <v>11765.0</v>
      </c>
      <c r="T320" s="32" t="n">
        <f>1259301</f>
        <v>1259301.0</v>
      </c>
      <c r="U320" s="32" t="n">
        <f>943929</f>
        <v>943929.0</v>
      </c>
      <c r="V320" s="32" t="n">
        <f>14859568013</f>
        <v>1.4859568013E10</v>
      </c>
      <c r="W320" s="32" t="n">
        <f>11171069088</f>
        <v>1.1171069088E10</v>
      </c>
      <c r="X320" s="36" t="n">
        <f>21</f>
        <v>21.0</v>
      </c>
    </row>
    <row r="321">
      <c r="A321" s="27" t="s">
        <v>42</v>
      </c>
      <c r="B321" s="27" t="s">
        <v>1005</v>
      </c>
      <c r="C321" s="27" t="s">
        <v>1006</v>
      </c>
      <c r="D321" s="27" t="s">
        <v>1007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20625</f>
        <v>20625.0</v>
      </c>
      <c r="L321" s="34" t="s">
        <v>48</v>
      </c>
      <c r="M321" s="33" t="n">
        <f>20910</f>
        <v>20910.0</v>
      </c>
      <c r="N321" s="34" t="s">
        <v>82</v>
      </c>
      <c r="O321" s="33" t="n">
        <f>17195</f>
        <v>17195.0</v>
      </c>
      <c r="P321" s="34" t="s">
        <v>49</v>
      </c>
      <c r="Q321" s="33" t="n">
        <f>19860</f>
        <v>19860.0</v>
      </c>
      <c r="R321" s="34" t="s">
        <v>50</v>
      </c>
      <c r="S321" s="35" t="n">
        <f>19166.67</f>
        <v>19166.67</v>
      </c>
      <c r="T321" s="32" t="n">
        <f>485145</f>
        <v>485145.0</v>
      </c>
      <c r="U321" s="32" t="n">
        <f>1</f>
        <v>1.0</v>
      </c>
      <c r="V321" s="32" t="n">
        <f>9135953380</f>
        <v>9.13595338E9</v>
      </c>
      <c r="W321" s="32" t="n">
        <f>20870</f>
        <v>20870.0</v>
      </c>
      <c r="X321" s="36" t="n">
        <f>21</f>
        <v>21.0</v>
      </c>
    </row>
    <row r="322">
      <c r="A322" s="27" t="s">
        <v>42</v>
      </c>
      <c r="B322" s="27" t="s">
        <v>1008</v>
      </c>
      <c r="C322" s="27" t="s">
        <v>1009</v>
      </c>
      <c r="D322" s="27" t="s">
        <v>1010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12275</f>
        <v>12275.0</v>
      </c>
      <c r="L322" s="34" t="s">
        <v>48</v>
      </c>
      <c r="M322" s="33" t="n">
        <f>12435</f>
        <v>12435.0</v>
      </c>
      <c r="N322" s="34" t="s">
        <v>82</v>
      </c>
      <c r="O322" s="33" t="n">
        <f>10575</f>
        <v>10575.0</v>
      </c>
      <c r="P322" s="34" t="s">
        <v>49</v>
      </c>
      <c r="Q322" s="33" t="n">
        <f>12415</f>
        <v>12415.0</v>
      </c>
      <c r="R322" s="34" t="s">
        <v>50</v>
      </c>
      <c r="S322" s="35" t="n">
        <f>11837.62</f>
        <v>11837.62</v>
      </c>
      <c r="T322" s="32" t="n">
        <f>351513</f>
        <v>351513.0</v>
      </c>
      <c r="U322" s="32" t="n">
        <f>64246</f>
        <v>64246.0</v>
      </c>
      <c r="V322" s="32" t="n">
        <f>4071233726</f>
        <v>4.071233726E9</v>
      </c>
      <c r="W322" s="32" t="n">
        <f>741230166</f>
        <v>7.41230166E8</v>
      </c>
      <c r="X322" s="36" t="n">
        <f>21</f>
        <v>21.0</v>
      </c>
    </row>
    <row r="323">
      <c r="A323" s="27" t="s">
        <v>42</v>
      </c>
      <c r="B323" s="27" t="s">
        <v>1011</v>
      </c>
      <c r="C323" s="27" t="s">
        <v>1012</v>
      </c>
      <c r="D323" s="27" t="s">
        <v>1013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10.0</v>
      </c>
      <c r="K323" s="33" t="n">
        <f>386.6</f>
        <v>386.6</v>
      </c>
      <c r="L323" s="34" t="s">
        <v>48</v>
      </c>
      <c r="M323" s="33" t="n">
        <f>389.4</f>
        <v>389.4</v>
      </c>
      <c r="N323" s="34" t="s">
        <v>82</v>
      </c>
      <c r="O323" s="33" t="n">
        <f>323.5</f>
        <v>323.5</v>
      </c>
      <c r="P323" s="34" t="s">
        <v>78</v>
      </c>
      <c r="Q323" s="33" t="n">
        <f>364.7</f>
        <v>364.7</v>
      </c>
      <c r="R323" s="34" t="s">
        <v>50</v>
      </c>
      <c r="S323" s="35" t="n">
        <f>355.91</f>
        <v>355.91</v>
      </c>
      <c r="T323" s="32" t="n">
        <f>16764990</f>
        <v>1.676499E7</v>
      </c>
      <c r="U323" s="32" t="n">
        <f>361000</f>
        <v>361000.0</v>
      </c>
      <c r="V323" s="32" t="n">
        <f>5833162411</f>
        <v>5.833162411E9</v>
      </c>
      <c r="W323" s="32" t="n">
        <f>125808690</f>
        <v>1.2580869E8</v>
      </c>
      <c r="X323" s="36" t="n">
        <f>21</f>
        <v>21.0</v>
      </c>
    </row>
    <row r="324">
      <c r="A324" s="27" t="s">
        <v>42</v>
      </c>
      <c r="B324" s="27" t="s">
        <v>1014</v>
      </c>
      <c r="C324" s="27" t="s">
        <v>1015</v>
      </c>
      <c r="D324" s="27" t="s">
        <v>1016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2418.5</f>
        <v>2418.5</v>
      </c>
      <c r="L324" s="34" t="s">
        <v>48</v>
      </c>
      <c r="M324" s="33" t="n">
        <f>2440.5</f>
        <v>2440.5</v>
      </c>
      <c r="N324" s="34" t="s">
        <v>82</v>
      </c>
      <c r="O324" s="33" t="n">
        <f>2105.5</f>
        <v>2105.5</v>
      </c>
      <c r="P324" s="34" t="s">
        <v>78</v>
      </c>
      <c r="Q324" s="33" t="n">
        <f>2394</f>
        <v>2394.0</v>
      </c>
      <c r="R324" s="34" t="s">
        <v>50</v>
      </c>
      <c r="S324" s="35" t="n">
        <f>2314.86</f>
        <v>2314.86</v>
      </c>
      <c r="T324" s="32" t="n">
        <f>2065270</f>
        <v>2065270.0</v>
      </c>
      <c r="U324" s="32" t="n">
        <f>548010</f>
        <v>548010.0</v>
      </c>
      <c r="V324" s="32" t="n">
        <f>4687010243</f>
        <v>4.687010243E9</v>
      </c>
      <c r="W324" s="32" t="n">
        <f>1240666213</f>
        <v>1.240666213E9</v>
      </c>
      <c r="X324" s="36" t="n">
        <f>21</f>
        <v>21.0</v>
      </c>
    </row>
    <row r="325">
      <c r="A325" s="27" t="s">
        <v>42</v>
      </c>
      <c r="B325" s="27" t="s">
        <v>1017</v>
      </c>
      <c r="C325" s="27" t="s">
        <v>1018</v>
      </c>
      <c r="D325" s="27" t="s">
        <v>1019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3926</f>
        <v>3926.0</v>
      </c>
      <c r="L325" s="34" t="s">
        <v>48</v>
      </c>
      <c r="M325" s="33" t="n">
        <f>3956</f>
        <v>3956.0</v>
      </c>
      <c r="N325" s="34" t="s">
        <v>82</v>
      </c>
      <c r="O325" s="33" t="n">
        <f>3292</f>
        <v>3292.0</v>
      </c>
      <c r="P325" s="34" t="s">
        <v>78</v>
      </c>
      <c r="Q325" s="33" t="n">
        <f>3686</f>
        <v>3686.0</v>
      </c>
      <c r="R325" s="34" t="s">
        <v>50</v>
      </c>
      <c r="S325" s="35" t="n">
        <f>3613.14</f>
        <v>3613.14</v>
      </c>
      <c r="T325" s="32" t="n">
        <f>243600</f>
        <v>243600.0</v>
      </c>
      <c r="U325" s="32" t="str">
        <f>"－"</f>
        <v>－</v>
      </c>
      <c r="V325" s="32" t="n">
        <f>855778120</f>
        <v>8.5577812E8</v>
      </c>
      <c r="W325" s="32" t="str">
        <f>"－"</f>
        <v>－</v>
      </c>
      <c r="X325" s="36" t="n">
        <f>21</f>
        <v>21.0</v>
      </c>
    </row>
    <row r="326">
      <c r="A326" s="27" t="s">
        <v>42</v>
      </c>
      <c r="B326" s="27" t="s">
        <v>1020</v>
      </c>
      <c r="C326" s="27" t="s">
        <v>1021</v>
      </c>
      <c r="D326" s="27" t="s">
        <v>1022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1.0</v>
      </c>
      <c r="K326" s="33" t="n">
        <f>3170</f>
        <v>3170.0</v>
      </c>
      <c r="L326" s="34" t="s">
        <v>48</v>
      </c>
      <c r="M326" s="33" t="n">
        <f>3220</f>
        <v>3220.0</v>
      </c>
      <c r="N326" s="34" t="s">
        <v>71</v>
      </c>
      <c r="O326" s="33" t="n">
        <f>2762</f>
        <v>2762.0</v>
      </c>
      <c r="P326" s="34" t="s">
        <v>49</v>
      </c>
      <c r="Q326" s="33" t="n">
        <f>3205</f>
        <v>3205.0</v>
      </c>
      <c r="R326" s="34" t="s">
        <v>50</v>
      </c>
      <c r="S326" s="35" t="n">
        <f>3040.1</f>
        <v>3040.1</v>
      </c>
      <c r="T326" s="32" t="n">
        <f>14327</f>
        <v>14327.0</v>
      </c>
      <c r="U326" s="32" t="str">
        <f>"－"</f>
        <v>－</v>
      </c>
      <c r="V326" s="32" t="n">
        <f>42749219</f>
        <v>4.2749219E7</v>
      </c>
      <c r="W326" s="32" t="str">
        <f>"－"</f>
        <v>－</v>
      </c>
      <c r="X326" s="36" t="n">
        <f>21</f>
        <v>21.0</v>
      </c>
    </row>
    <row r="327">
      <c r="A327" s="27" t="s">
        <v>42</v>
      </c>
      <c r="B327" s="27" t="s">
        <v>1023</v>
      </c>
      <c r="C327" s="27" t="s">
        <v>1024</v>
      </c>
      <c r="D327" s="27" t="s">
        <v>1025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1415</f>
        <v>1415.0</v>
      </c>
      <c r="L327" s="34" t="s">
        <v>48</v>
      </c>
      <c r="M327" s="33" t="n">
        <f>1425</f>
        <v>1425.0</v>
      </c>
      <c r="N327" s="34" t="s">
        <v>82</v>
      </c>
      <c r="O327" s="33" t="n">
        <f>1190</f>
        <v>1190.0</v>
      </c>
      <c r="P327" s="34" t="s">
        <v>49</v>
      </c>
      <c r="Q327" s="33" t="n">
        <f>1380</f>
        <v>1380.0</v>
      </c>
      <c r="R327" s="34" t="s">
        <v>50</v>
      </c>
      <c r="S327" s="35" t="n">
        <f>1321.57</f>
        <v>1321.57</v>
      </c>
      <c r="T327" s="32" t="n">
        <f>28234</f>
        <v>28234.0</v>
      </c>
      <c r="U327" s="32" t="str">
        <f>"－"</f>
        <v>－</v>
      </c>
      <c r="V327" s="32" t="n">
        <f>37487123</f>
        <v>3.7487123E7</v>
      </c>
      <c r="W327" s="32" t="str">
        <f>"－"</f>
        <v>－</v>
      </c>
      <c r="X327" s="36" t="n">
        <f>21</f>
        <v>21.0</v>
      </c>
    </row>
    <row r="328">
      <c r="A328" s="27" t="s">
        <v>42</v>
      </c>
      <c r="B328" s="27" t="s">
        <v>1026</v>
      </c>
      <c r="C328" s="27" t="s">
        <v>1027</v>
      </c>
      <c r="D328" s="27" t="s">
        <v>1028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1974</f>
        <v>1974.0</v>
      </c>
      <c r="L328" s="34" t="s">
        <v>48</v>
      </c>
      <c r="M328" s="33" t="n">
        <f>1974</f>
        <v>1974.0</v>
      </c>
      <c r="N328" s="34" t="s">
        <v>48</v>
      </c>
      <c r="O328" s="33" t="n">
        <f>1600</f>
        <v>1600.0</v>
      </c>
      <c r="P328" s="34" t="s">
        <v>49</v>
      </c>
      <c r="Q328" s="33" t="n">
        <f>1903</f>
        <v>1903.0</v>
      </c>
      <c r="R328" s="34" t="s">
        <v>50</v>
      </c>
      <c r="S328" s="35" t="n">
        <f>1826.86</f>
        <v>1826.86</v>
      </c>
      <c r="T328" s="32" t="n">
        <f>139104</f>
        <v>139104.0</v>
      </c>
      <c r="U328" s="32" t="str">
        <f>"－"</f>
        <v>－</v>
      </c>
      <c r="V328" s="32" t="n">
        <f>247062403</f>
        <v>2.47062403E8</v>
      </c>
      <c r="W328" s="32" t="str">
        <f>"－"</f>
        <v>－</v>
      </c>
      <c r="X328" s="36" t="n">
        <f>21</f>
        <v>21.0</v>
      </c>
    </row>
    <row r="329">
      <c r="A329" s="27" t="s">
        <v>42</v>
      </c>
      <c r="B329" s="27" t="s">
        <v>1029</v>
      </c>
      <c r="C329" s="27" t="s">
        <v>1030</v>
      </c>
      <c r="D329" s="27" t="s">
        <v>1031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1611</f>
        <v>1611.0</v>
      </c>
      <c r="L329" s="34" t="s">
        <v>48</v>
      </c>
      <c r="M329" s="33" t="n">
        <f>1620</f>
        <v>1620.0</v>
      </c>
      <c r="N329" s="34" t="s">
        <v>48</v>
      </c>
      <c r="O329" s="33" t="n">
        <f>1448</f>
        <v>1448.0</v>
      </c>
      <c r="P329" s="34" t="s">
        <v>49</v>
      </c>
      <c r="Q329" s="33" t="n">
        <f>1583</f>
        <v>1583.0</v>
      </c>
      <c r="R329" s="34" t="s">
        <v>50</v>
      </c>
      <c r="S329" s="35" t="n">
        <f>1544.67</f>
        <v>1544.67</v>
      </c>
      <c r="T329" s="32" t="n">
        <f>22034</f>
        <v>22034.0</v>
      </c>
      <c r="U329" s="32" t="str">
        <f>"－"</f>
        <v>－</v>
      </c>
      <c r="V329" s="32" t="n">
        <f>34498357</f>
        <v>3.4498357E7</v>
      </c>
      <c r="W329" s="32" t="str">
        <f>"－"</f>
        <v>－</v>
      </c>
      <c r="X329" s="36" t="n">
        <f>21</f>
        <v>21.0</v>
      </c>
    </row>
    <row r="330">
      <c r="A330" s="27" t="s">
        <v>42</v>
      </c>
      <c r="B330" s="27" t="s">
        <v>1032</v>
      </c>
      <c r="C330" s="27" t="s">
        <v>1033</v>
      </c>
      <c r="D330" s="27" t="s">
        <v>1034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3950</f>
        <v>3950.0</v>
      </c>
      <c r="L330" s="34" t="s">
        <v>48</v>
      </c>
      <c r="M330" s="33" t="n">
        <f>4250</f>
        <v>4250.0</v>
      </c>
      <c r="N330" s="34" t="s">
        <v>50</v>
      </c>
      <c r="O330" s="33" t="n">
        <f>3255</f>
        <v>3255.0</v>
      </c>
      <c r="P330" s="34" t="s">
        <v>49</v>
      </c>
      <c r="Q330" s="33" t="n">
        <f>4250</f>
        <v>4250.0</v>
      </c>
      <c r="R330" s="34" t="s">
        <v>50</v>
      </c>
      <c r="S330" s="35" t="n">
        <f>3941.67</f>
        <v>3941.67</v>
      </c>
      <c r="T330" s="32" t="n">
        <f>271535</f>
        <v>271535.0</v>
      </c>
      <c r="U330" s="32" t="n">
        <f>16490</f>
        <v>16490.0</v>
      </c>
      <c r="V330" s="32" t="n">
        <f>1043781877</f>
        <v>1.043781877E9</v>
      </c>
      <c r="W330" s="32" t="n">
        <f>64109687</f>
        <v>6.4109687E7</v>
      </c>
      <c r="X330" s="36" t="n">
        <f>21</f>
        <v>21.0</v>
      </c>
    </row>
    <row r="331">
      <c r="A331" s="27" t="s">
        <v>42</v>
      </c>
      <c r="B331" s="27" t="s">
        <v>1035</v>
      </c>
      <c r="C331" s="27" t="s">
        <v>1036</v>
      </c>
      <c r="D331" s="27" t="s">
        <v>1037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3225</f>
        <v>3225.0</v>
      </c>
      <c r="L331" s="34" t="s">
        <v>48</v>
      </c>
      <c r="M331" s="33" t="n">
        <f>3260</f>
        <v>3260.0</v>
      </c>
      <c r="N331" s="34" t="s">
        <v>50</v>
      </c>
      <c r="O331" s="33" t="n">
        <f>2469</f>
        <v>2469.0</v>
      </c>
      <c r="P331" s="34" t="s">
        <v>49</v>
      </c>
      <c r="Q331" s="33" t="n">
        <f>3245</f>
        <v>3245.0</v>
      </c>
      <c r="R331" s="34" t="s">
        <v>50</v>
      </c>
      <c r="S331" s="35" t="n">
        <f>3035.43</f>
        <v>3035.43</v>
      </c>
      <c r="T331" s="32" t="n">
        <f>756404</f>
        <v>756404.0</v>
      </c>
      <c r="U331" s="32" t="n">
        <f>245340</f>
        <v>245340.0</v>
      </c>
      <c r="V331" s="32" t="n">
        <f>2347488021</f>
        <v>2.347488021E9</v>
      </c>
      <c r="W331" s="32" t="n">
        <f>795714745</f>
        <v>7.95714745E8</v>
      </c>
      <c r="X331" s="36" t="n">
        <f>21</f>
        <v>21.0</v>
      </c>
    </row>
    <row r="332">
      <c r="A332" s="27" t="s">
        <v>42</v>
      </c>
      <c r="B332" s="27" t="s">
        <v>1038</v>
      </c>
      <c r="C332" s="27" t="s">
        <v>1039</v>
      </c>
      <c r="D332" s="27" t="s">
        <v>1040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35430</f>
        <v>35430.0</v>
      </c>
      <c r="L332" s="34" t="s">
        <v>82</v>
      </c>
      <c r="M332" s="33" t="n">
        <f>35870</f>
        <v>35870.0</v>
      </c>
      <c r="N332" s="34" t="s">
        <v>71</v>
      </c>
      <c r="O332" s="33" t="n">
        <f>31000</f>
        <v>31000.0</v>
      </c>
      <c r="P332" s="34" t="s">
        <v>49</v>
      </c>
      <c r="Q332" s="33" t="n">
        <f>35870</f>
        <v>35870.0</v>
      </c>
      <c r="R332" s="34" t="s">
        <v>71</v>
      </c>
      <c r="S332" s="35" t="n">
        <f>33939.41</f>
        <v>33939.41</v>
      </c>
      <c r="T332" s="32" t="n">
        <f>68</f>
        <v>68.0</v>
      </c>
      <c r="U332" s="32" t="str">
        <f>"－"</f>
        <v>－</v>
      </c>
      <c r="V332" s="32" t="n">
        <f>2222950</f>
        <v>2222950.0</v>
      </c>
      <c r="W332" s="32" t="str">
        <f>"－"</f>
        <v>－</v>
      </c>
      <c r="X332" s="36" t="n">
        <f>17</f>
        <v>17.0</v>
      </c>
    </row>
    <row r="333">
      <c r="A333" s="27" t="s">
        <v>42</v>
      </c>
      <c r="B333" s="27" t="s">
        <v>1041</v>
      </c>
      <c r="C333" s="27" t="s">
        <v>1042</v>
      </c>
      <c r="D333" s="27" t="s">
        <v>1043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2789</f>
        <v>2789.0</v>
      </c>
      <c r="L333" s="34" t="s">
        <v>48</v>
      </c>
      <c r="M333" s="33" t="n">
        <f>2789</f>
        <v>2789.0</v>
      </c>
      <c r="N333" s="34" t="s">
        <v>48</v>
      </c>
      <c r="O333" s="33" t="n">
        <f>2386</f>
        <v>2386.0</v>
      </c>
      <c r="P333" s="34" t="s">
        <v>49</v>
      </c>
      <c r="Q333" s="33" t="n">
        <f>2741</f>
        <v>2741.0</v>
      </c>
      <c r="R333" s="34" t="s">
        <v>50</v>
      </c>
      <c r="S333" s="35" t="n">
        <f>2621.14</f>
        <v>2621.14</v>
      </c>
      <c r="T333" s="32" t="n">
        <f>16270</f>
        <v>16270.0</v>
      </c>
      <c r="U333" s="32" t="str">
        <f>"－"</f>
        <v>－</v>
      </c>
      <c r="V333" s="32" t="n">
        <f>42362793</f>
        <v>4.2362793E7</v>
      </c>
      <c r="W333" s="32" t="str">
        <f>"－"</f>
        <v>－</v>
      </c>
      <c r="X333" s="36" t="n">
        <f>21</f>
        <v>21.0</v>
      </c>
    </row>
    <row r="334">
      <c r="A334" s="27" t="s">
        <v>42</v>
      </c>
      <c r="B334" s="27" t="s">
        <v>1044</v>
      </c>
      <c r="C334" s="27" t="s">
        <v>1045</v>
      </c>
      <c r="D334" s="27" t="s">
        <v>1046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1563</f>
        <v>1563.0</v>
      </c>
      <c r="L334" s="34" t="s">
        <v>48</v>
      </c>
      <c r="M334" s="33" t="n">
        <f>1574</f>
        <v>1574.0</v>
      </c>
      <c r="N334" s="34" t="s">
        <v>48</v>
      </c>
      <c r="O334" s="33" t="n">
        <f>1187</f>
        <v>1187.0</v>
      </c>
      <c r="P334" s="34" t="s">
        <v>49</v>
      </c>
      <c r="Q334" s="33" t="n">
        <f>1478</f>
        <v>1478.0</v>
      </c>
      <c r="R334" s="34" t="s">
        <v>50</v>
      </c>
      <c r="S334" s="35" t="n">
        <f>1419</f>
        <v>1419.0</v>
      </c>
      <c r="T334" s="32" t="n">
        <f>18611970</f>
        <v>1.861197E7</v>
      </c>
      <c r="U334" s="32" t="n">
        <f>690285</f>
        <v>690285.0</v>
      </c>
      <c r="V334" s="32" t="n">
        <f>25934152141</f>
        <v>2.5934152141E10</v>
      </c>
      <c r="W334" s="32" t="n">
        <f>908014766</f>
        <v>9.08014766E8</v>
      </c>
      <c r="X334" s="36" t="n">
        <f>21</f>
        <v>21.0</v>
      </c>
    </row>
    <row r="335">
      <c r="A335" s="27" t="s">
        <v>42</v>
      </c>
      <c r="B335" s="27" t="s">
        <v>1047</v>
      </c>
      <c r="C335" s="27" t="s">
        <v>1048</v>
      </c>
      <c r="D335" s="27" t="s">
        <v>1049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2534</f>
        <v>2534.0</v>
      </c>
      <c r="L335" s="34" t="s">
        <v>48</v>
      </c>
      <c r="M335" s="33" t="n">
        <f>2638</f>
        <v>2638.0</v>
      </c>
      <c r="N335" s="34" t="s">
        <v>223</v>
      </c>
      <c r="O335" s="33" t="n">
        <f>2201</f>
        <v>2201.0</v>
      </c>
      <c r="P335" s="34" t="s">
        <v>49</v>
      </c>
      <c r="Q335" s="33" t="n">
        <f>2517</f>
        <v>2517.0</v>
      </c>
      <c r="R335" s="34" t="s">
        <v>50</v>
      </c>
      <c r="S335" s="35" t="n">
        <f>2453</f>
        <v>2453.0</v>
      </c>
      <c r="T335" s="32" t="n">
        <f>66361</f>
        <v>66361.0</v>
      </c>
      <c r="U335" s="32" t="n">
        <f>40414</f>
        <v>40414.0</v>
      </c>
      <c r="V335" s="32" t="n">
        <f>164422479</f>
        <v>1.64422479E8</v>
      </c>
      <c r="W335" s="32" t="n">
        <f>100426769</f>
        <v>1.00426769E8</v>
      </c>
      <c r="X335" s="36" t="n">
        <f>21</f>
        <v>21.0</v>
      </c>
    </row>
    <row r="336">
      <c r="A336" s="27" t="s">
        <v>42</v>
      </c>
      <c r="B336" s="27" t="s">
        <v>1050</v>
      </c>
      <c r="C336" s="27" t="s">
        <v>1051</v>
      </c>
      <c r="D336" s="27" t="s">
        <v>1052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1644</f>
        <v>1644.0</v>
      </c>
      <c r="L336" s="34" t="s">
        <v>48</v>
      </c>
      <c r="M336" s="33" t="n">
        <f>1644</f>
        <v>1644.0</v>
      </c>
      <c r="N336" s="34" t="s">
        <v>48</v>
      </c>
      <c r="O336" s="33" t="n">
        <f>1350</f>
        <v>1350.0</v>
      </c>
      <c r="P336" s="34" t="s">
        <v>49</v>
      </c>
      <c r="Q336" s="33" t="n">
        <f>1563</f>
        <v>1563.0</v>
      </c>
      <c r="R336" s="34" t="s">
        <v>50</v>
      </c>
      <c r="S336" s="35" t="n">
        <f>1508.57</f>
        <v>1508.57</v>
      </c>
      <c r="T336" s="32" t="n">
        <f>7287</f>
        <v>7287.0</v>
      </c>
      <c r="U336" s="32" t="str">
        <f>"－"</f>
        <v>－</v>
      </c>
      <c r="V336" s="32" t="n">
        <f>10976834</f>
        <v>1.0976834E7</v>
      </c>
      <c r="W336" s="32" t="str">
        <f>"－"</f>
        <v>－</v>
      </c>
      <c r="X336" s="36" t="n">
        <f>21</f>
        <v>21.0</v>
      </c>
    </row>
    <row r="337">
      <c r="A337" s="27" t="s">
        <v>42</v>
      </c>
      <c r="B337" s="27" t="s">
        <v>1053</v>
      </c>
      <c r="C337" s="27" t="s">
        <v>1054</v>
      </c>
      <c r="D337" s="27" t="s">
        <v>1055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5641</f>
        <v>5641.0</v>
      </c>
      <c r="L337" s="34" t="s">
        <v>48</v>
      </c>
      <c r="M337" s="33" t="n">
        <f>5644</f>
        <v>5644.0</v>
      </c>
      <c r="N337" s="34" t="s">
        <v>82</v>
      </c>
      <c r="O337" s="33" t="n">
        <f>5211</f>
        <v>5211.0</v>
      </c>
      <c r="P337" s="34" t="s">
        <v>86</v>
      </c>
      <c r="Q337" s="33" t="n">
        <f>5400</f>
        <v>5400.0</v>
      </c>
      <c r="R337" s="34" t="s">
        <v>50</v>
      </c>
      <c r="S337" s="35" t="n">
        <f>5422.14</f>
        <v>5422.14</v>
      </c>
      <c r="T337" s="32" t="n">
        <f>584820</f>
        <v>584820.0</v>
      </c>
      <c r="U337" s="32" t="n">
        <f>548020</f>
        <v>548020.0</v>
      </c>
      <c r="V337" s="32" t="n">
        <f>3224020880</f>
        <v>3.22402088E9</v>
      </c>
      <c r="W337" s="32" t="n">
        <f>3029062740</f>
        <v>3.02906274E9</v>
      </c>
      <c r="X337" s="36" t="n">
        <f>21</f>
        <v>21.0</v>
      </c>
    </row>
    <row r="338">
      <c r="A338" s="27" t="s">
        <v>42</v>
      </c>
      <c r="B338" s="27" t="s">
        <v>1056</v>
      </c>
      <c r="C338" s="27" t="s">
        <v>1057</v>
      </c>
      <c r="D338" s="27" t="s">
        <v>1058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3605</f>
        <v>3605.0</v>
      </c>
      <c r="L338" s="34" t="s">
        <v>48</v>
      </c>
      <c r="M338" s="33" t="n">
        <f>3700</f>
        <v>3700.0</v>
      </c>
      <c r="N338" s="34" t="s">
        <v>203</v>
      </c>
      <c r="O338" s="33" t="n">
        <f>3530</f>
        <v>3530.0</v>
      </c>
      <c r="P338" s="34" t="s">
        <v>78</v>
      </c>
      <c r="Q338" s="33" t="n">
        <f>3609</f>
        <v>3609.0</v>
      </c>
      <c r="R338" s="34" t="s">
        <v>50</v>
      </c>
      <c r="S338" s="35" t="n">
        <f>3584.84</f>
        <v>3584.84</v>
      </c>
      <c r="T338" s="32" t="n">
        <f>355960</f>
        <v>355960.0</v>
      </c>
      <c r="U338" s="32" t="n">
        <f>175510</f>
        <v>175510.0</v>
      </c>
      <c r="V338" s="32" t="n">
        <f>1284183560</f>
        <v>1.28418356E9</v>
      </c>
      <c r="W338" s="32" t="n">
        <f>632994350</f>
        <v>6.3299435E8</v>
      </c>
      <c r="X338" s="36" t="n">
        <f>19</f>
        <v>19.0</v>
      </c>
    </row>
    <row r="339">
      <c r="A339" s="27" t="s">
        <v>42</v>
      </c>
      <c r="B339" s="27" t="s">
        <v>1059</v>
      </c>
      <c r="C339" s="27" t="s">
        <v>1060</v>
      </c>
      <c r="D339" s="27" t="s">
        <v>1061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616.8</f>
        <v>616.8</v>
      </c>
      <c r="L339" s="34" t="s">
        <v>48</v>
      </c>
      <c r="M339" s="33" t="n">
        <f>626</f>
        <v>626.0</v>
      </c>
      <c r="N339" s="34" t="s">
        <v>49</v>
      </c>
      <c r="O339" s="33" t="n">
        <f>595.2</f>
        <v>595.2</v>
      </c>
      <c r="P339" s="34" t="s">
        <v>219</v>
      </c>
      <c r="Q339" s="33" t="n">
        <f>608.7</f>
        <v>608.7</v>
      </c>
      <c r="R339" s="34" t="s">
        <v>50</v>
      </c>
      <c r="S339" s="35" t="n">
        <f>607.68</f>
        <v>607.68</v>
      </c>
      <c r="T339" s="32" t="n">
        <f>42670</f>
        <v>42670.0</v>
      </c>
      <c r="U339" s="32" t="n">
        <f>40</f>
        <v>40.0</v>
      </c>
      <c r="V339" s="32" t="n">
        <f>26105837</f>
        <v>2.6105837E7</v>
      </c>
      <c r="W339" s="32" t="n">
        <f>24481</f>
        <v>24481.0</v>
      </c>
      <c r="X339" s="36" t="n">
        <f>19</f>
        <v>19.0</v>
      </c>
    </row>
    <row r="340">
      <c r="A340" s="27" t="s">
        <v>42</v>
      </c>
      <c r="B340" s="27" t="s">
        <v>1062</v>
      </c>
      <c r="C340" s="27" t="s">
        <v>1063</v>
      </c>
      <c r="D340" s="27" t="s">
        <v>1064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9799</f>
        <v>9799.0</v>
      </c>
      <c r="L340" s="34" t="s">
        <v>48</v>
      </c>
      <c r="M340" s="33" t="n">
        <f>9862</f>
        <v>9862.0</v>
      </c>
      <c r="N340" s="34" t="s">
        <v>82</v>
      </c>
      <c r="O340" s="33" t="n">
        <f>8220</f>
        <v>8220.0</v>
      </c>
      <c r="P340" s="34" t="s">
        <v>49</v>
      </c>
      <c r="Q340" s="33" t="n">
        <f>9145</f>
        <v>9145.0</v>
      </c>
      <c r="R340" s="34" t="s">
        <v>50</v>
      </c>
      <c r="S340" s="35" t="n">
        <f>9075.48</f>
        <v>9075.48</v>
      </c>
      <c r="T340" s="32" t="n">
        <f>10642</f>
        <v>10642.0</v>
      </c>
      <c r="U340" s="32" t="str">
        <f>"－"</f>
        <v>－</v>
      </c>
      <c r="V340" s="32" t="n">
        <f>97400330</f>
        <v>9.740033E7</v>
      </c>
      <c r="W340" s="32" t="str">
        <f>"－"</f>
        <v>－</v>
      </c>
      <c r="X340" s="36" t="n">
        <f>21</f>
        <v>21.0</v>
      </c>
    </row>
    <row r="341">
      <c r="A341" s="27" t="s">
        <v>42</v>
      </c>
      <c r="B341" s="27" t="s">
        <v>1065</v>
      </c>
      <c r="C341" s="27" t="s">
        <v>1066</v>
      </c>
      <c r="D341" s="27" t="s">
        <v>1067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852</f>
        <v>852.0</v>
      </c>
      <c r="L341" s="34" t="s">
        <v>48</v>
      </c>
      <c r="M341" s="33" t="n">
        <f>852</f>
        <v>852.0</v>
      </c>
      <c r="N341" s="34" t="s">
        <v>48</v>
      </c>
      <c r="O341" s="33" t="n">
        <f>646</f>
        <v>646.0</v>
      </c>
      <c r="P341" s="34" t="s">
        <v>49</v>
      </c>
      <c r="Q341" s="33" t="n">
        <f>794</f>
        <v>794.0</v>
      </c>
      <c r="R341" s="34" t="s">
        <v>50</v>
      </c>
      <c r="S341" s="35" t="n">
        <f>760.71</f>
        <v>760.71</v>
      </c>
      <c r="T341" s="32" t="n">
        <f>2170784</f>
        <v>2170784.0</v>
      </c>
      <c r="U341" s="32" t="n">
        <f>814000</f>
        <v>814000.0</v>
      </c>
      <c r="V341" s="32" t="n">
        <f>1647733190</f>
        <v>1.64773319E9</v>
      </c>
      <c r="W341" s="32" t="n">
        <f>604898919</f>
        <v>6.04898919E8</v>
      </c>
      <c r="X341" s="36" t="n">
        <f>21</f>
        <v>21.0</v>
      </c>
    </row>
    <row r="342">
      <c r="A342" s="27" t="s">
        <v>42</v>
      </c>
      <c r="B342" s="27" t="s">
        <v>1068</v>
      </c>
      <c r="C342" s="27" t="s">
        <v>1069</v>
      </c>
      <c r="D342" s="27" t="s">
        <v>1070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2746</f>
        <v>2746.0</v>
      </c>
      <c r="L342" s="34" t="s">
        <v>48</v>
      </c>
      <c r="M342" s="33" t="n">
        <f>2925</f>
        <v>2925.0</v>
      </c>
      <c r="N342" s="34" t="s">
        <v>50</v>
      </c>
      <c r="O342" s="33" t="n">
        <f>2500</f>
        <v>2500.0</v>
      </c>
      <c r="P342" s="34" t="s">
        <v>49</v>
      </c>
      <c r="Q342" s="33" t="n">
        <f>2908</f>
        <v>2908.0</v>
      </c>
      <c r="R342" s="34" t="s">
        <v>50</v>
      </c>
      <c r="S342" s="35" t="n">
        <f>2773.81</f>
        <v>2773.81</v>
      </c>
      <c r="T342" s="32" t="n">
        <f>3154</f>
        <v>3154.0</v>
      </c>
      <c r="U342" s="32" t="str">
        <f>"－"</f>
        <v>－</v>
      </c>
      <c r="V342" s="32" t="n">
        <f>8653323</f>
        <v>8653323.0</v>
      </c>
      <c r="W342" s="32" t="str">
        <f>"－"</f>
        <v>－</v>
      </c>
      <c r="X342" s="36" t="n">
        <f>21</f>
        <v>21.0</v>
      </c>
    </row>
    <row r="343">
      <c r="A343" s="27" t="s">
        <v>42</v>
      </c>
      <c r="B343" s="27" t="s">
        <v>1071</v>
      </c>
      <c r="C343" s="27" t="s">
        <v>1072</v>
      </c>
      <c r="D343" s="27" t="s">
        <v>1073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2247</f>
        <v>2247.0</v>
      </c>
      <c r="L343" s="34" t="s">
        <v>48</v>
      </c>
      <c r="M343" s="33" t="n">
        <f>2368</f>
        <v>2368.0</v>
      </c>
      <c r="N343" s="34" t="s">
        <v>50</v>
      </c>
      <c r="O343" s="33" t="n">
        <f>1673</f>
        <v>1673.0</v>
      </c>
      <c r="P343" s="34" t="s">
        <v>49</v>
      </c>
      <c r="Q343" s="33" t="n">
        <f>2368</f>
        <v>2368.0</v>
      </c>
      <c r="R343" s="34" t="s">
        <v>50</v>
      </c>
      <c r="S343" s="35" t="n">
        <f>2248.05</f>
        <v>2248.05</v>
      </c>
      <c r="T343" s="32" t="n">
        <f>26745</f>
        <v>26745.0</v>
      </c>
      <c r="U343" s="32" t="n">
        <f>153</f>
        <v>153.0</v>
      </c>
      <c r="V343" s="32" t="n">
        <f>59355607</f>
        <v>5.9355607E7</v>
      </c>
      <c r="W343" s="32" t="n">
        <f>358566</f>
        <v>358566.0</v>
      </c>
      <c r="X343" s="36" t="n">
        <f>21</f>
        <v>21.0</v>
      </c>
    </row>
    <row r="344">
      <c r="A344" s="27" t="s">
        <v>42</v>
      </c>
      <c r="B344" s="27" t="s">
        <v>1074</v>
      </c>
      <c r="C344" s="27" t="s">
        <v>1075</v>
      </c>
      <c r="D344" s="27" t="s">
        <v>1076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8434</f>
        <v>8434.0</v>
      </c>
      <c r="L344" s="34" t="s">
        <v>48</v>
      </c>
      <c r="M344" s="33" t="n">
        <f>8456</f>
        <v>8456.0</v>
      </c>
      <c r="N344" s="34" t="s">
        <v>82</v>
      </c>
      <c r="O344" s="33" t="n">
        <f>7787</f>
        <v>7787.0</v>
      </c>
      <c r="P344" s="34" t="s">
        <v>941</v>
      </c>
      <c r="Q344" s="33" t="n">
        <f>8077</f>
        <v>8077.0</v>
      </c>
      <c r="R344" s="34" t="s">
        <v>50</v>
      </c>
      <c r="S344" s="35" t="n">
        <f>8117.62</f>
        <v>8117.62</v>
      </c>
      <c r="T344" s="32" t="n">
        <f>557432</f>
        <v>557432.0</v>
      </c>
      <c r="U344" s="32" t="n">
        <f>545000</f>
        <v>545000.0</v>
      </c>
      <c r="V344" s="32" t="n">
        <f>4663396785</f>
        <v>4.663396785E9</v>
      </c>
      <c r="W344" s="32" t="n">
        <f>4564348300</f>
        <v>4.5643483E9</v>
      </c>
      <c r="X344" s="36" t="n">
        <f>21</f>
        <v>21.0</v>
      </c>
    </row>
    <row r="345">
      <c r="A345" s="27" t="s">
        <v>42</v>
      </c>
      <c r="B345" s="27" t="s">
        <v>1077</v>
      </c>
      <c r="C345" s="27" t="s">
        <v>1078</v>
      </c>
      <c r="D345" s="27" t="s">
        <v>1079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5381</f>
        <v>5381.0</v>
      </c>
      <c r="L345" s="34" t="s">
        <v>48</v>
      </c>
      <c r="M345" s="33" t="n">
        <f>5523</f>
        <v>5523.0</v>
      </c>
      <c r="N345" s="34" t="s">
        <v>49</v>
      </c>
      <c r="O345" s="33" t="n">
        <f>5206</f>
        <v>5206.0</v>
      </c>
      <c r="P345" s="34" t="s">
        <v>160</v>
      </c>
      <c r="Q345" s="33" t="n">
        <f>5409</f>
        <v>5409.0</v>
      </c>
      <c r="R345" s="34" t="s">
        <v>50</v>
      </c>
      <c r="S345" s="35" t="n">
        <f>5368.1</f>
        <v>5368.1</v>
      </c>
      <c r="T345" s="32" t="n">
        <f>161370</f>
        <v>161370.0</v>
      </c>
      <c r="U345" s="32" t="str">
        <f>"－"</f>
        <v>－</v>
      </c>
      <c r="V345" s="32" t="n">
        <f>871764175</f>
        <v>8.71764175E8</v>
      </c>
      <c r="W345" s="32" t="str">
        <f>"－"</f>
        <v>－</v>
      </c>
      <c r="X345" s="36" t="n">
        <f>21</f>
        <v>21.0</v>
      </c>
    </row>
    <row r="346">
      <c r="A346" s="27" t="s">
        <v>42</v>
      </c>
      <c r="B346" s="27" t="s">
        <v>1080</v>
      </c>
      <c r="C346" s="27" t="s">
        <v>1081</v>
      </c>
      <c r="D346" s="27" t="s">
        <v>1082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922</f>
        <v>922.0</v>
      </c>
      <c r="L346" s="34" t="s">
        <v>48</v>
      </c>
      <c r="M346" s="33" t="n">
        <f>940</f>
        <v>940.0</v>
      </c>
      <c r="N346" s="34" t="s">
        <v>82</v>
      </c>
      <c r="O346" s="33" t="n">
        <f>749</f>
        <v>749.0</v>
      </c>
      <c r="P346" s="34" t="s">
        <v>78</v>
      </c>
      <c r="Q346" s="33" t="n">
        <f>861</f>
        <v>861.0</v>
      </c>
      <c r="R346" s="34" t="s">
        <v>50</v>
      </c>
      <c r="S346" s="35" t="n">
        <f>833.19</f>
        <v>833.19</v>
      </c>
      <c r="T346" s="32" t="n">
        <f>591665</f>
        <v>591665.0</v>
      </c>
      <c r="U346" s="32" t="str">
        <f>"－"</f>
        <v>－</v>
      </c>
      <c r="V346" s="32" t="n">
        <f>496406574</f>
        <v>4.96406574E8</v>
      </c>
      <c r="W346" s="32" t="str">
        <f>"－"</f>
        <v>－</v>
      </c>
      <c r="X346" s="36" t="n">
        <f>21</f>
        <v>21.0</v>
      </c>
    </row>
    <row r="347">
      <c r="A347" s="27" t="s">
        <v>42</v>
      </c>
      <c r="B347" s="27" t="s">
        <v>1083</v>
      </c>
      <c r="C347" s="27" t="s">
        <v>1084</v>
      </c>
      <c r="D347" s="27" t="s">
        <v>1085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1658</f>
        <v>1658.0</v>
      </c>
      <c r="L347" s="34" t="s">
        <v>48</v>
      </c>
      <c r="M347" s="33" t="n">
        <f>1682</f>
        <v>1682.0</v>
      </c>
      <c r="N347" s="34" t="s">
        <v>82</v>
      </c>
      <c r="O347" s="33" t="n">
        <f>1380</f>
        <v>1380.0</v>
      </c>
      <c r="P347" s="34" t="s">
        <v>49</v>
      </c>
      <c r="Q347" s="33" t="n">
        <f>1602</f>
        <v>1602.0</v>
      </c>
      <c r="R347" s="34" t="s">
        <v>50</v>
      </c>
      <c r="S347" s="35" t="n">
        <f>1545.24</f>
        <v>1545.24</v>
      </c>
      <c r="T347" s="32" t="n">
        <f>4624750</f>
        <v>4624750.0</v>
      </c>
      <c r="U347" s="32" t="n">
        <f>464150</f>
        <v>464150.0</v>
      </c>
      <c r="V347" s="32" t="n">
        <f>6974703840</f>
        <v>6.97470384E9</v>
      </c>
      <c r="W347" s="32" t="n">
        <f>711580879</f>
        <v>7.11580879E8</v>
      </c>
      <c r="X347" s="36" t="n">
        <f>21</f>
        <v>21.0</v>
      </c>
    </row>
    <row r="348">
      <c r="A348" s="27" t="s">
        <v>42</v>
      </c>
      <c r="B348" s="27" t="s">
        <v>1086</v>
      </c>
      <c r="C348" s="27" t="s">
        <v>1087</v>
      </c>
      <c r="D348" s="27" t="s">
        <v>1088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1152</f>
        <v>1152.0</v>
      </c>
      <c r="L348" s="34" t="s">
        <v>48</v>
      </c>
      <c r="M348" s="33" t="n">
        <f>1175</f>
        <v>1175.0</v>
      </c>
      <c r="N348" s="34" t="s">
        <v>82</v>
      </c>
      <c r="O348" s="33" t="n">
        <f>982</f>
        <v>982.0</v>
      </c>
      <c r="P348" s="34" t="s">
        <v>49</v>
      </c>
      <c r="Q348" s="33" t="n">
        <f>1165</f>
        <v>1165.0</v>
      </c>
      <c r="R348" s="34" t="s">
        <v>50</v>
      </c>
      <c r="S348" s="35" t="n">
        <f>1112.48</f>
        <v>1112.48</v>
      </c>
      <c r="T348" s="32" t="n">
        <f>4386707</f>
        <v>4386707.0</v>
      </c>
      <c r="U348" s="32" t="n">
        <f>621800</f>
        <v>621800.0</v>
      </c>
      <c r="V348" s="32" t="n">
        <f>4799383719</f>
        <v>4.799383719E9</v>
      </c>
      <c r="W348" s="32" t="n">
        <f>704837675</f>
        <v>7.04837675E8</v>
      </c>
      <c r="X348" s="36" t="n">
        <f>21</f>
        <v>21.0</v>
      </c>
    </row>
    <row r="349">
      <c r="A349" s="27" t="s">
        <v>42</v>
      </c>
      <c r="B349" s="27" t="s">
        <v>1089</v>
      </c>
      <c r="C349" s="27" t="s">
        <v>1090</v>
      </c>
      <c r="D349" s="27" t="s">
        <v>1091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19245</f>
        <v>19245.0</v>
      </c>
      <c r="L349" s="34" t="s">
        <v>48</v>
      </c>
      <c r="M349" s="33" t="n">
        <f>22100</f>
        <v>22100.0</v>
      </c>
      <c r="N349" s="34" t="s">
        <v>49</v>
      </c>
      <c r="O349" s="33" t="n">
        <f>18320</f>
        <v>18320.0</v>
      </c>
      <c r="P349" s="34" t="s">
        <v>50</v>
      </c>
      <c r="Q349" s="33" t="n">
        <f>18340</f>
        <v>18340.0</v>
      </c>
      <c r="R349" s="34" t="s">
        <v>50</v>
      </c>
      <c r="S349" s="35" t="n">
        <f>19565.48</f>
        <v>19565.48</v>
      </c>
      <c r="T349" s="32" t="n">
        <f>455886</f>
        <v>455886.0</v>
      </c>
      <c r="U349" s="32" t="n">
        <f>80</f>
        <v>80.0</v>
      </c>
      <c r="V349" s="32" t="n">
        <f>9081570235</f>
        <v>9.081570235E9</v>
      </c>
      <c r="W349" s="32" t="n">
        <f>1552550</f>
        <v>1552550.0</v>
      </c>
      <c r="X349" s="36" t="n">
        <f>21</f>
        <v>21.0</v>
      </c>
    </row>
    <row r="350">
      <c r="A350" s="27" t="s">
        <v>42</v>
      </c>
      <c r="B350" s="27" t="s">
        <v>1092</v>
      </c>
      <c r="C350" s="27" t="s">
        <v>1093</v>
      </c>
      <c r="D350" s="27" t="s">
        <v>1094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3996</f>
        <v>3996.0</v>
      </c>
      <c r="L350" s="34" t="s">
        <v>48</v>
      </c>
      <c r="M350" s="33" t="n">
        <f>4173</f>
        <v>4173.0</v>
      </c>
      <c r="N350" s="34" t="s">
        <v>224</v>
      </c>
      <c r="O350" s="33" t="n">
        <f>3986</f>
        <v>3986.0</v>
      </c>
      <c r="P350" s="34" t="s">
        <v>78</v>
      </c>
      <c r="Q350" s="33" t="n">
        <f>4108</f>
        <v>4108.0</v>
      </c>
      <c r="R350" s="34" t="s">
        <v>50</v>
      </c>
      <c r="S350" s="35" t="n">
        <f>4045.21</f>
        <v>4045.21</v>
      </c>
      <c r="T350" s="32" t="n">
        <f>1685120</f>
        <v>1685120.0</v>
      </c>
      <c r="U350" s="32" t="n">
        <f>1607000</f>
        <v>1607000.0</v>
      </c>
      <c r="V350" s="32" t="n">
        <f>6828995990</f>
        <v>6.82899599E9</v>
      </c>
      <c r="W350" s="32" t="n">
        <f>6515902900</f>
        <v>6.5159029E9</v>
      </c>
      <c r="X350" s="36" t="n">
        <f>19</f>
        <v>19.0</v>
      </c>
    </row>
    <row r="351">
      <c r="A351" s="27" t="s">
        <v>42</v>
      </c>
      <c r="B351" s="27" t="s">
        <v>1095</v>
      </c>
      <c r="C351" s="27" t="s">
        <v>1096</v>
      </c>
      <c r="D351" s="27" t="s">
        <v>1097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4901</f>
        <v>4901.0</v>
      </c>
      <c r="L351" s="34" t="s">
        <v>48</v>
      </c>
      <c r="M351" s="33" t="n">
        <f>4945</f>
        <v>4945.0</v>
      </c>
      <c r="N351" s="34" t="s">
        <v>82</v>
      </c>
      <c r="O351" s="33" t="n">
        <f>4512</f>
        <v>4512.0</v>
      </c>
      <c r="P351" s="34" t="s">
        <v>78</v>
      </c>
      <c r="Q351" s="33" t="n">
        <f>4860</f>
        <v>4860.0</v>
      </c>
      <c r="R351" s="34" t="s">
        <v>50</v>
      </c>
      <c r="S351" s="35" t="n">
        <f>4790</f>
        <v>4790.0</v>
      </c>
      <c r="T351" s="32" t="n">
        <f>155340</f>
        <v>155340.0</v>
      </c>
      <c r="U351" s="32" t="n">
        <f>41200</f>
        <v>41200.0</v>
      </c>
      <c r="V351" s="32" t="n">
        <f>732482858</f>
        <v>7.32482858E8</v>
      </c>
      <c r="W351" s="32" t="n">
        <f>193666888</f>
        <v>1.93666888E8</v>
      </c>
      <c r="X351" s="36" t="n">
        <f>21</f>
        <v>21.0</v>
      </c>
    </row>
    <row r="352">
      <c r="A352" s="27" t="s">
        <v>42</v>
      </c>
      <c r="B352" s="27" t="s">
        <v>1098</v>
      </c>
      <c r="C352" s="27" t="s">
        <v>1099</v>
      </c>
      <c r="D352" s="27" t="s">
        <v>1100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2414.5</f>
        <v>2414.5</v>
      </c>
      <c r="L352" s="34" t="s">
        <v>48</v>
      </c>
      <c r="M352" s="33" t="n">
        <f>2451.5</f>
        <v>2451.5</v>
      </c>
      <c r="N352" s="34" t="s">
        <v>82</v>
      </c>
      <c r="O352" s="33" t="n">
        <f>2077</f>
        <v>2077.0</v>
      </c>
      <c r="P352" s="34" t="s">
        <v>49</v>
      </c>
      <c r="Q352" s="33" t="n">
        <f>2437.5</f>
        <v>2437.5</v>
      </c>
      <c r="R352" s="34" t="s">
        <v>50</v>
      </c>
      <c r="S352" s="35" t="n">
        <f>2331.14</f>
        <v>2331.14</v>
      </c>
      <c r="T352" s="32" t="n">
        <f>2460790</f>
        <v>2460790.0</v>
      </c>
      <c r="U352" s="32" t="n">
        <f>112300</f>
        <v>112300.0</v>
      </c>
      <c r="V352" s="32" t="n">
        <f>5602855686</f>
        <v>5.602855686E9</v>
      </c>
      <c r="W352" s="32" t="n">
        <f>241230906</f>
        <v>2.41230906E8</v>
      </c>
      <c r="X352" s="36" t="n">
        <f>21</f>
        <v>21.0</v>
      </c>
    </row>
    <row r="353">
      <c r="A353" s="27" t="s">
        <v>42</v>
      </c>
      <c r="B353" s="27" t="s">
        <v>1101</v>
      </c>
      <c r="C353" s="27" t="s">
        <v>1102</v>
      </c>
      <c r="D353" s="27" t="s">
        <v>1103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2127</f>
        <v>2127.0</v>
      </c>
      <c r="L353" s="34" t="s">
        <v>48</v>
      </c>
      <c r="M353" s="33" t="n">
        <f>2127</f>
        <v>2127.0</v>
      </c>
      <c r="N353" s="34" t="s">
        <v>48</v>
      </c>
      <c r="O353" s="33" t="n">
        <f>1860</f>
        <v>1860.0</v>
      </c>
      <c r="P353" s="34" t="s">
        <v>78</v>
      </c>
      <c r="Q353" s="33" t="n">
        <f>2040.5</f>
        <v>2040.5</v>
      </c>
      <c r="R353" s="34" t="s">
        <v>50</v>
      </c>
      <c r="S353" s="35" t="n">
        <f>2012.43</f>
        <v>2012.43</v>
      </c>
      <c r="T353" s="32" t="n">
        <f>1854740</f>
        <v>1854740.0</v>
      </c>
      <c r="U353" s="32" t="n">
        <f>1232390</f>
        <v>1232390.0</v>
      </c>
      <c r="V353" s="32" t="n">
        <f>3731784129</f>
        <v>3.731784129E9</v>
      </c>
      <c r="W353" s="32" t="n">
        <f>2493060629</f>
        <v>2.493060629E9</v>
      </c>
      <c r="X353" s="36" t="n">
        <f>21</f>
        <v>21.0</v>
      </c>
    </row>
    <row r="354">
      <c r="A354" s="27" t="s">
        <v>42</v>
      </c>
      <c r="B354" s="27" t="s">
        <v>1104</v>
      </c>
      <c r="C354" s="27" t="s">
        <v>1105</v>
      </c>
      <c r="D354" s="27" t="s">
        <v>1106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1840</f>
        <v>1840.0</v>
      </c>
      <c r="L354" s="34" t="s">
        <v>48</v>
      </c>
      <c r="M354" s="33" t="n">
        <f>1877</f>
        <v>1877.0</v>
      </c>
      <c r="N354" s="34" t="s">
        <v>50</v>
      </c>
      <c r="O354" s="33" t="n">
        <f>1393</f>
        <v>1393.0</v>
      </c>
      <c r="P354" s="34" t="s">
        <v>49</v>
      </c>
      <c r="Q354" s="33" t="n">
        <f>1876</f>
        <v>1876.0</v>
      </c>
      <c r="R354" s="34" t="s">
        <v>50</v>
      </c>
      <c r="S354" s="35" t="n">
        <f>1762.86</f>
        <v>1762.86</v>
      </c>
      <c r="T354" s="32" t="n">
        <f>4259</f>
        <v>4259.0</v>
      </c>
      <c r="U354" s="32" t="str">
        <f>"－"</f>
        <v>－</v>
      </c>
      <c r="V354" s="32" t="n">
        <f>6955058</f>
        <v>6955058.0</v>
      </c>
      <c r="W354" s="32" t="str">
        <f>"－"</f>
        <v>－</v>
      </c>
      <c r="X354" s="36" t="n">
        <f>21</f>
        <v>21.0</v>
      </c>
    </row>
    <row r="355">
      <c r="A355" s="27" t="s">
        <v>42</v>
      </c>
      <c r="B355" s="27" t="s">
        <v>1107</v>
      </c>
      <c r="C355" s="27" t="s">
        <v>1108</v>
      </c>
      <c r="D355" s="27" t="s">
        <v>1109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2058</f>
        <v>2058.0</v>
      </c>
      <c r="L355" s="34" t="s">
        <v>48</v>
      </c>
      <c r="M355" s="33" t="n">
        <f>2286</f>
        <v>2286.0</v>
      </c>
      <c r="N355" s="34" t="s">
        <v>223</v>
      </c>
      <c r="O355" s="33" t="n">
        <f>1792</f>
        <v>1792.0</v>
      </c>
      <c r="P355" s="34" t="s">
        <v>49</v>
      </c>
      <c r="Q355" s="33" t="n">
        <f>2046</f>
        <v>2046.0</v>
      </c>
      <c r="R355" s="34" t="s">
        <v>50</v>
      </c>
      <c r="S355" s="35" t="n">
        <f>1951.24</f>
        <v>1951.24</v>
      </c>
      <c r="T355" s="32" t="n">
        <f>23965</f>
        <v>23965.0</v>
      </c>
      <c r="U355" s="32" t="str">
        <f>"－"</f>
        <v>－</v>
      </c>
      <c r="V355" s="32" t="n">
        <f>49143107</f>
        <v>4.9143107E7</v>
      </c>
      <c r="W355" s="32" t="str">
        <f>"－"</f>
        <v>－</v>
      </c>
      <c r="X355" s="36" t="n">
        <f>21</f>
        <v>21.0</v>
      </c>
    </row>
    <row r="356">
      <c r="A356" s="27" t="s">
        <v>42</v>
      </c>
      <c r="B356" s="27" t="s">
        <v>1110</v>
      </c>
      <c r="C356" s="27" t="s">
        <v>1111</v>
      </c>
      <c r="D356" s="27" t="s">
        <v>1112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4390</f>
        <v>4390.0</v>
      </c>
      <c r="L356" s="34" t="s">
        <v>48</v>
      </c>
      <c r="M356" s="33" t="n">
        <f>4435</f>
        <v>4435.0</v>
      </c>
      <c r="N356" s="34" t="s">
        <v>48</v>
      </c>
      <c r="O356" s="33" t="n">
        <f>4000</f>
        <v>4000.0</v>
      </c>
      <c r="P356" s="34" t="s">
        <v>49</v>
      </c>
      <c r="Q356" s="33" t="n">
        <f>4360</f>
        <v>4360.0</v>
      </c>
      <c r="R356" s="34" t="s">
        <v>50</v>
      </c>
      <c r="S356" s="35" t="n">
        <f>4278.33</f>
        <v>4278.33</v>
      </c>
      <c r="T356" s="32" t="n">
        <f>151925</f>
        <v>151925.0</v>
      </c>
      <c r="U356" s="32" t="n">
        <f>100004</f>
        <v>100004.0</v>
      </c>
      <c r="V356" s="32" t="n">
        <f>652940820</f>
        <v>6.5294082E8</v>
      </c>
      <c r="W356" s="32" t="n">
        <f>432038085</f>
        <v>4.32038085E8</v>
      </c>
      <c r="X356" s="36" t="n">
        <f>21</f>
        <v>21.0</v>
      </c>
    </row>
    <row r="357">
      <c r="A357" s="27" t="s">
        <v>42</v>
      </c>
      <c r="B357" s="27" t="s">
        <v>1113</v>
      </c>
      <c r="C357" s="27" t="s">
        <v>1114</v>
      </c>
      <c r="D357" s="27" t="s">
        <v>1115</v>
      </c>
      <c r="E357" s="28" t="s">
        <v>46</v>
      </c>
      <c r="F357" s="29" t="s">
        <v>46</v>
      </c>
      <c r="G357" s="30" t="s">
        <v>46</v>
      </c>
      <c r="H357" s="31" t="s">
        <v>1116</v>
      </c>
      <c r="I357" s="31" t="s">
        <v>47</v>
      </c>
      <c r="J357" s="32" t="n">
        <v>10.0</v>
      </c>
      <c r="K357" s="33" t="n">
        <f>1926.5</f>
        <v>1926.5</v>
      </c>
      <c r="L357" s="34" t="s">
        <v>48</v>
      </c>
      <c r="M357" s="33" t="n">
        <f>1942.5</f>
        <v>1942.5</v>
      </c>
      <c r="N357" s="34" t="s">
        <v>82</v>
      </c>
      <c r="O357" s="33" t="n">
        <f>1639.5</f>
        <v>1639.5</v>
      </c>
      <c r="P357" s="34" t="s">
        <v>49</v>
      </c>
      <c r="Q357" s="33" t="n">
        <f>1920.5</f>
        <v>1920.5</v>
      </c>
      <c r="R357" s="34" t="s">
        <v>50</v>
      </c>
      <c r="S357" s="35" t="n">
        <f>1815.88</f>
        <v>1815.88</v>
      </c>
      <c r="T357" s="32" t="n">
        <f>25680</f>
        <v>25680.0</v>
      </c>
      <c r="U357" s="32" t="n">
        <f>30</f>
        <v>30.0</v>
      </c>
      <c r="V357" s="32" t="n">
        <f>45379504</f>
        <v>4.5379504E7</v>
      </c>
      <c r="W357" s="32" t="n">
        <f>54109</f>
        <v>54109.0</v>
      </c>
      <c r="X357" s="36" t="n">
        <f>21</f>
        <v>21.0</v>
      </c>
    </row>
    <row r="358">
      <c r="A358" s="27" t="s">
        <v>42</v>
      </c>
      <c r="B358" s="27" t="s">
        <v>1117</v>
      </c>
      <c r="C358" s="27" t="s">
        <v>1118</v>
      </c>
      <c r="D358" s="27" t="s">
        <v>1119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273.6</f>
        <v>273.6</v>
      </c>
      <c r="L358" s="34" t="s">
        <v>48</v>
      </c>
      <c r="M358" s="33" t="n">
        <f>274.1</f>
        <v>274.1</v>
      </c>
      <c r="N358" s="34" t="s">
        <v>82</v>
      </c>
      <c r="O358" s="33" t="n">
        <f>230.1</f>
        <v>230.1</v>
      </c>
      <c r="P358" s="34" t="s">
        <v>49</v>
      </c>
      <c r="Q358" s="33" t="n">
        <f>269.5</f>
        <v>269.5</v>
      </c>
      <c r="R358" s="34" t="s">
        <v>50</v>
      </c>
      <c r="S358" s="35" t="n">
        <f>257.36</f>
        <v>257.36</v>
      </c>
      <c r="T358" s="32" t="n">
        <f>196900</f>
        <v>196900.0</v>
      </c>
      <c r="U358" s="32" t="str">
        <f>"－"</f>
        <v>－</v>
      </c>
      <c r="V358" s="32" t="n">
        <f>51410696</f>
        <v>5.1410696E7</v>
      </c>
      <c r="W358" s="32" t="str">
        <f>"－"</f>
        <v>－</v>
      </c>
      <c r="X358" s="36" t="n">
        <f>20</f>
        <v>20.0</v>
      </c>
    </row>
    <row r="359">
      <c r="A359" s="27" t="s">
        <v>42</v>
      </c>
      <c r="B359" s="27" t="s">
        <v>1120</v>
      </c>
      <c r="C359" s="27" t="s">
        <v>1121</v>
      </c>
      <c r="D359" s="27" t="s">
        <v>1122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168.5</f>
        <v>168.5</v>
      </c>
      <c r="L359" s="34" t="s">
        <v>48</v>
      </c>
      <c r="M359" s="33" t="n">
        <f>171.8</f>
        <v>171.8</v>
      </c>
      <c r="N359" s="34" t="s">
        <v>105</v>
      </c>
      <c r="O359" s="33" t="n">
        <f>161</f>
        <v>161.0</v>
      </c>
      <c r="P359" s="34" t="s">
        <v>49</v>
      </c>
      <c r="Q359" s="33" t="n">
        <f>170.8</f>
        <v>170.8</v>
      </c>
      <c r="R359" s="34" t="s">
        <v>50</v>
      </c>
      <c r="S359" s="35" t="n">
        <f>169.05</f>
        <v>169.05</v>
      </c>
      <c r="T359" s="32" t="n">
        <f>170910</f>
        <v>170910.0</v>
      </c>
      <c r="U359" s="32" t="str">
        <f>"－"</f>
        <v>－</v>
      </c>
      <c r="V359" s="32" t="n">
        <f>28574636</f>
        <v>2.8574636E7</v>
      </c>
      <c r="W359" s="32" t="str">
        <f>"－"</f>
        <v>－</v>
      </c>
      <c r="X359" s="36" t="n">
        <f>21</f>
        <v>21.0</v>
      </c>
    </row>
    <row r="360">
      <c r="A360" s="27" t="s">
        <v>42</v>
      </c>
      <c r="B360" s="27" t="s">
        <v>1123</v>
      </c>
      <c r="C360" s="27" t="s">
        <v>1124</v>
      </c>
      <c r="D360" s="27" t="s">
        <v>1125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10.0</v>
      </c>
      <c r="K360" s="33" t="n">
        <f>649.9</f>
        <v>649.9</v>
      </c>
      <c r="L360" s="34" t="s">
        <v>82</v>
      </c>
      <c r="M360" s="33" t="n">
        <f>700</f>
        <v>700.0</v>
      </c>
      <c r="N360" s="34" t="s">
        <v>634</v>
      </c>
      <c r="O360" s="33" t="n">
        <f>609.9</f>
        <v>609.9</v>
      </c>
      <c r="P360" s="34" t="s">
        <v>95</v>
      </c>
      <c r="Q360" s="33" t="n">
        <f>667.6</f>
        <v>667.6</v>
      </c>
      <c r="R360" s="34" t="s">
        <v>50</v>
      </c>
      <c r="S360" s="35" t="n">
        <f>660.77</f>
        <v>660.77</v>
      </c>
      <c r="T360" s="32" t="n">
        <f>2730</f>
        <v>2730.0</v>
      </c>
      <c r="U360" s="32" t="str">
        <f>"－"</f>
        <v>－</v>
      </c>
      <c r="V360" s="32" t="n">
        <f>1778970</f>
        <v>1778970.0</v>
      </c>
      <c r="W360" s="32" t="str">
        <f>"－"</f>
        <v>－</v>
      </c>
      <c r="X360" s="36" t="n">
        <f>18</f>
        <v>18.0</v>
      </c>
    </row>
    <row r="361">
      <c r="A361" s="27" t="s">
        <v>42</v>
      </c>
      <c r="B361" s="27" t="s">
        <v>1126</v>
      </c>
      <c r="C361" s="27" t="s">
        <v>1127</v>
      </c>
      <c r="D361" s="27" t="s">
        <v>1128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1476</f>
        <v>1476.0</v>
      </c>
      <c r="L361" s="34" t="s">
        <v>48</v>
      </c>
      <c r="M361" s="33" t="n">
        <f>1495</f>
        <v>1495.0</v>
      </c>
      <c r="N361" s="34" t="s">
        <v>50</v>
      </c>
      <c r="O361" s="33" t="n">
        <f>1207</f>
        <v>1207.0</v>
      </c>
      <c r="P361" s="34" t="s">
        <v>49</v>
      </c>
      <c r="Q361" s="33" t="n">
        <f>1495</f>
        <v>1495.0</v>
      </c>
      <c r="R361" s="34" t="s">
        <v>50</v>
      </c>
      <c r="S361" s="35" t="n">
        <f>1394.24</f>
        <v>1394.24</v>
      </c>
      <c r="T361" s="32" t="n">
        <f>268250</f>
        <v>268250.0</v>
      </c>
      <c r="U361" s="32" t="n">
        <f>270</f>
        <v>270.0</v>
      </c>
      <c r="V361" s="32" t="n">
        <f>364935678</f>
        <v>3.64935678E8</v>
      </c>
      <c r="W361" s="32" t="n">
        <f>378578</f>
        <v>378578.0</v>
      </c>
      <c r="X361" s="36" t="n">
        <f>21</f>
        <v>21.0</v>
      </c>
    </row>
    <row r="362">
      <c r="A362" s="27" t="s">
        <v>42</v>
      </c>
      <c r="B362" s="27" t="s">
        <v>1129</v>
      </c>
      <c r="C362" s="27" t="s">
        <v>1130</v>
      </c>
      <c r="D362" s="27" t="s">
        <v>1131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896</f>
        <v>896.0</v>
      </c>
      <c r="L362" s="34" t="s">
        <v>48</v>
      </c>
      <c r="M362" s="33" t="n">
        <f>925</f>
        <v>925.0</v>
      </c>
      <c r="N362" s="34" t="s">
        <v>223</v>
      </c>
      <c r="O362" s="33" t="n">
        <f>854</f>
        <v>854.0</v>
      </c>
      <c r="P362" s="34" t="s">
        <v>60</v>
      </c>
      <c r="Q362" s="33" t="n">
        <f>898</f>
        <v>898.0</v>
      </c>
      <c r="R362" s="34" t="s">
        <v>50</v>
      </c>
      <c r="S362" s="35" t="n">
        <f>898.14</f>
        <v>898.14</v>
      </c>
      <c r="T362" s="32" t="n">
        <f>51976</f>
        <v>51976.0</v>
      </c>
      <c r="U362" s="32" t="n">
        <f>3</f>
        <v>3.0</v>
      </c>
      <c r="V362" s="32" t="n">
        <f>46876982</f>
        <v>4.6876982E7</v>
      </c>
      <c r="W362" s="32" t="n">
        <f>2714</f>
        <v>2714.0</v>
      </c>
      <c r="X362" s="36" t="n">
        <f>21</f>
        <v>21.0</v>
      </c>
    </row>
    <row r="363">
      <c r="A363" s="27" t="s">
        <v>42</v>
      </c>
      <c r="B363" s="27" t="s">
        <v>1132</v>
      </c>
      <c r="C363" s="27" t="s">
        <v>1133</v>
      </c>
      <c r="D363" s="27" t="s">
        <v>1134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10.0</v>
      </c>
      <c r="K363" s="33" t="n">
        <f>689.8</f>
        <v>689.8</v>
      </c>
      <c r="L363" s="34" t="s">
        <v>48</v>
      </c>
      <c r="M363" s="33" t="n">
        <f>703.6</f>
        <v>703.6</v>
      </c>
      <c r="N363" s="34" t="s">
        <v>49</v>
      </c>
      <c r="O363" s="33" t="n">
        <f>678.9</f>
        <v>678.9</v>
      </c>
      <c r="P363" s="34" t="s">
        <v>160</v>
      </c>
      <c r="Q363" s="33" t="n">
        <f>690</f>
        <v>690.0</v>
      </c>
      <c r="R363" s="34" t="s">
        <v>50</v>
      </c>
      <c r="S363" s="35" t="n">
        <f>687.66</f>
        <v>687.66</v>
      </c>
      <c r="T363" s="32" t="n">
        <f>2752840</f>
        <v>2752840.0</v>
      </c>
      <c r="U363" s="32" t="n">
        <f>2140430</f>
        <v>2140430.0</v>
      </c>
      <c r="V363" s="32" t="n">
        <f>1920291554</f>
        <v>1.920291554E9</v>
      </c>
      <c r="W363" s="32" t="n">
        <f>1497408185</f>
        <v>1.497408185E9</v>
      </c>
      <c r="X363" s="36" t="n">
        <f>21</f>
        <v>21.0</v>
      </c>
    </row>
    <row r="364">
      <c r="A364" s="27" t="s">
        <v>42</v>
      </c>
      <c r="B364" s="27" t="s">
        <v>1135</v>
      </c>
      <c r="C364" s="27" t="s">
        <v>1136</v>
      </c>
      <c r="D364" s="27" t="s">
        <v>1137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661.1</f>
        <v>661.1</v>
      </c>
      <c r="L364" s="34" t="s">
        <v>48</v>
      </c>
      <c r="M364" s="33" t="n">
        <f>675</f>
        <v>675.0</v>
      </c>
      <c r="N364" s="34" t="s">
        <v>105</v>
      </c>
      <c r="O364" s="33" t="n">
        <f>656.7</f>
        <v>656.7</v>
      </c>
      <c r="P364" s="34" t="s">
        <v>219</v>
      </c>
      <c r="Q364" s="33" t="n">
        <f>665.2</f>
        <v>665.2</v>
      </c>
      <c r="R364" s="34" t="s">
        <v>50</v>
      </c>
      <c r="S364" s="35" t="n">
        <f>665.44</f>
        <v>665.44</v>
      </c>
      <c r="T364" s="32" t="n">
        <f>3870460</f>
        <v>3870460.0</v>
      </c>
      <c r="U364" s="32" t="n">
        <f>3443040</f>
        <v>3443040.0</v>
      </c>
      <c r="V364" s="32" t="n">
        <f>2584584408</f>
        <v>2.584584408E9</v>
      </c>
      <c r="W364" s="32" t="n">
        <f>2299261960</f>
        <v>2.29926196E9</v>
      </c>
      <c r="X364" s="36" t="n">
        <f>21</f>
        <v>21.0</v>
      </c>
    </row>
    <row r="365">
      <c r="A365" s="27" t="s">
        <v>42</v>
      </c>
      <c r="B365" s="27" t="s">
        <v>1138</v>
      </c>
      <c r="C365" s="27" t="s">
        <v>1139</v>
      </c>
      <c r="D365" s="27" t="s">
        <v>1140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1195</f>
        <v>1195.0</v>
      </c>
      <c r="L365" s="34" t="s">
        <v>48</v>
      </c>
      <c r="M365" s="33" t="n">
        <f>1195</f>
        <v>1195.0</v>
      </c>
      <c r="N365" s="34" t="s">
        <v>48</v>
      </c>
      <c r="O365" s="33" t="n">
        <f>1022</f>
        <v>1022.0</v>
      </c>
      <c r="P365" s="34" t="s">
        <v>49</v>
      </c>
      <c r="Q365" s="33" t="n">
        <f>1157</f>
        <v>1157.0</v>
      </c>
      <c r="R365" s="34" t="s">
        <v>50</v>
      </c>
      <c r="S365" s="35" t="n">
        <f>1131.43</f>
        <v>1131.43</v>
      </c>
      <c r="T365" s="32" t="n">
        <f>26490</f>
        <v>26490.0</v>
      </c>
      <c r="U365" s="32" t="str">
        <f>"－"</f>
        <v>－</v>
      </c>
      <c r="V365" s="32" t="n">
        <f>29449824</f>
        <v>2.9449824E7</v>
      </c>
      <c r="W365" s="32" t="str">
        <f>"－"</f>
        <v>－</v>
      </c>
      <c r="X365" s="36" t="n">
        <f>21</f>
        <v>21.0</v>
      </c>
    </row>
    <row r="366">
      <c r="A366" s="27" t="s">
        <v>42</v>
      </c>
      <c r="B366" s="27" t="s">
        <v>1141</v>
      </c>
      <c r="C366" s="27" t="s">
        <v>1142</v>
      </c>
      <c r="D366" s="27" t="s">
        <v>1143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10.0</v>
      </c>
      <c r="K366" s="33" t="n">
        <f>2720</f>
        <v>2720.0</v>
      </c>
      <c r="L366" s="34" t="s">
        <v>48</v>
      </c>
      <c r="M366" s="33" t="n">
        <f>2780</f>
        <v>2780.0</v>
      </c>
      <c r="N366" s="34" t="s">
        <v>71</v>
      </c>
      <c r="O366" s="33" t="n">
        <f>2330</f>
        <v>2330.0</v>
      </c>
      <c r="P366" s="34" t="s">
        <v>78</v>
      </c>
      <c r="Q366" s="33" t="n">
        <f>2658.5</f>
        <v>2658.5</v>
      </c>
      <c r="R366" s="34" t="s">
        <v>50</v>
      </c>
      <c r="S366" s="35" t="n">
        <f>2572.5</f>
        <v>2572.5</v>
      </c>
      <c r="T366" s="32" t="n">
        <f>720160</f>
        <v>720160.0</v>
      </c>
      <c r="U366" s="32" t="n">
        <f>10</f>
        <v>10.0</v>
      </c>
      <c r="V366" s="32" t="n">
        <f>1828583240</f>
        <v>1.82858324E9</v>
      </c>
      <c r="W366" s="32" t="n">
        <f>26420</f>
        <v>26420.0</v>
      </c>
      <c r="X366" s="36" t="n">
        <f>21</f>
        <v>21.0</v>
      </c>
    </row>
    <row r="367">
      <c r="A367" s="27" t="s">
        <v>42</v>
      </c>
      <c r="B367" s="27" t="s">
        <v>1144</v>
      </c>
      <c r="C367" s="27" t="s">
        <v>1145</v>
      </c>
      <c r="D367" s="27" t="s">
        <v>1146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10.0</v>
      </c>
      <c r="K367" s="33" t="n">
        <f>2978.5</f>
        <v>2978.5</v>
      </c>
      <c r="L367" s="34" t="s">
        <v>48</v>
      </c>
      <c r="M367" s="33" t="n">
        <f>3040</f>
        <v>3040.0</v>
      </c>
      <c r="N367" s="34" t="s">
        <v>50</v>
      </c>
      <c r="O367" s="33" t="n">
        <f>2594</f>
        <v>2594.0</v>
      </c>
      <c r="P367" s="34" t="s">
        <v>78</v>
      </c>
      <c r="Q367" s="33" t="n">
        <f>3009</f>
        <v>3009.0</v>
      </c>
      <c r="R367" s="34" t="s">
        <v>50</v>
      </c>
      <c r="S367" s="35" t="n">
        <f>2875.36</f>
        <v>2875.36</v>
      </c>
      <c r="T367" s="32" t="n">
        <f>3105240</f>
        <v>3105240.0</v>
      </c>
      <c r="U367" s="32" t="n">
        <f>600</f>
        <v>600.0</v>
      </c>
      <c r="V367" s="32" t="n">
        <f>8710781050</f>
        <v>8.71078105E9</v>
      </c>
      <c r="W367" s="32" t="n">
        <f>1629870</f>
        <v>1629870.0</v>
      </c>
      <c r="X367" s="36" t="n">
        <f>21</f>
        <v>21.0</v>
      </c>
    </row>
    <row r="368">
      <c r="A368" s="27" t="s">
        <v>42</v>
      </c>
      <c r="B368" s="27" t="s">
        <v>1147</v>
      </c>
      <c r="C368" s="27" t="s">
        <v>1148</v>
      </c>
      <c r="D368" s="27" t="s">
        <v>1149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5232</f>
        <v>5232.0</v>
      </c>
      <c r="L368" s="34" t="s">
        <v>48</v>
      </c>
      <c r="M368" s="33" t="n">
        <f>5414</f>
        <v>5414.0</v>
      </c>
      <c r="N368" s="34" t="s">
        <v>86</v>
      </c>
      <c r="O368" s="33" t="n">
        <f>5174</f>
        <v>5174.0</v>
      </c>
      <c r="P368" s="34" t="s">
        <v>78</v>
      </c>
      <c r="Q368" s="33" t="n">
        <f>5379</f>
        <v>5379.0</v>
      </c>
      <c r="R368" s="34" t="s">
        <v>71</v>
      </c>
      <c r="S368" s="35" t="n">
        <f>5289.08</f>
        <v>5289.08</v>
      </c>
      <c r="T368" s="32" t="n">
        <f>132560</f>
        <v>132560.0</v>
      </c>
      <c r="U368" s="32" t="str">
        <f>"－"</f>
        <v>－</v>
      </c>
      <c r="V368" s="32" t="n">
        <f>689586320</f>
        <v>6.8958632E8</v>
      </c>
      <c r="W368" s="32" t="str">
        <f>"－"</f>
        <v>－</v>
      </c>
      <c r="X368" s="36" t="n">
        <f>12</f>
        <v>12.0</v>
      </c>
    </row>
    <row r="369">
      <c r="A369" s="27" t="s">
        <v>42</v>
      </c>
      <c r="B369" s="27" t="s">
        <v>1150</v>
      </c>
      <c r="C369" s="27" t="s">
        <v>1151</v>
      </c>
      <c r="D369" s="27" t="s">
        <v>1152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10.0</v>
      </c>
      <c r="K369" s="33" t="n">
        <f>4098</f>
        <v>4098.0</v>
      </c>
      <c r="L369" s="34" t="s">
        <v>78</v>
      </c>
      <c r="M369" s="33" t="n">
        <f>4185</f>
        <v>4185.0</v>
      </c>
      <c r="N369" s="34" t="s">
        <v>105</v>
      </c>
      <c r="O369" s="33" t="n">
        <f>4083</f>
        <v>4083.0</v>
      </c>
      <c r="P369" s="34" t="s">
        <v>78</v>
      </c>
      <c r="Q369" s="33" t="n">
        <f>4164</f>
        <v>4164.0</v>
      </c>
      <c r="R369" s="34" t="s">
        <v>71</v>
      </c>
      <c r="S369" s="35" t="n">
        <f>4136.5</f>
        <v>4136.5</v>
      </c>
      <c r="T369" s="32" t="n">
        <f>100</f>
        <v>100.0</v>
      </c>
      <c r="U369" s="32" t="str">
        <f>"－"</f>
        <v>－</v>
      </c>
      <c r="V369" s="32" t="n">
        <f>412210</f>
        <v>412210.0</v>
      </c>
      <c r="W369" s="32" t="str">
        <f>"－"</f>
        <v>－</v>
      </c>
      <c r="X369" s="36" t="n">
        <f>4</f>
        <v>4.0</v>
      </c>
    </row>
    <row r="370">
      <c r="A370" s="27" t="s">
        <v>42</v>
      </c>
      <c r="B370" s="27" t="s">
        <v>1153</v>
      </c>
      <c r="C370" s="27" t="s">
        <v>1154</v>
      </c>
      <c r="D370" s="27" t="s">
        <v>1155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10.0</v>
      </c>
      <c r="K370" s="33" t="n">
        <f>1862.5</f>
        <v>1862.5</v>
      </c>
      <c r="L370" s="34" t="s">
        <v>48</v>
      </c>
      <c r="M370" s="33" t="n">
        <f>1874.5</f>
        <v>1874.5</v>
      </c>
      <c r="N370" s="34" t="s">
        <v>95</v>
      </c>
      <c r="O370" s="33" t="n">
        <f>1795.5</f>
        <v>1795.5</v>
      </c>
      <c r="P370" s="34" t="s">
        <v>219</v>
      </c>
      <c r="Q370" s="33" t="n">
        <f>1859</f>
        <v>1859.0</v>
      </c>
      <c r="R370" s="34" t="s">
        <v>71</v>
      </c>
      <c r="S370" s="35" t="n">
        <f>1845.59</f>
        <v>1845.59</v>
      </c>
      <c r="T370" s="32" t="n">
        <f>1010</f>
        <v>1010.0</v>
      </c>
      <c r="U370" s="32" t="str">
        <f>"－"</f>
        <v>－</v>
      </c>
      <c r="V370" s="32" t="n">
        <f>1861075</f>
        <v>1861075.0</v>
      </c>
      <c r="W370" s="32" t="str">
        <f>"－"</f>
        <v>－</v>
      </c>
      <c r="X370" s="36" t="n">
        <f>11</f>
        <v>11.0</v>
      </c>
    </row>
    <row r="371">
      <c r="A371" s="27" t="s">
        <v>42</v>
      </c>
      <c r="B371" s="27" t="s">
        <v>1156</v>
      </c>
      <c r="C371" s="27" t="s">
        <v>1157</v>
      </c>
      <c r="D371" s="27" t="s">
        <v>1158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1220</f>
        <v>1220.0</v>
      </c>
      <c r="L371" s="34" t="s">
        <v>48</v>
      </c>
      <c r="M371" s="33" t="n">
        <f>1220</f>
        <v>1220.0</v>
      </c>
      <c r="N371" s="34" t="s">
        <v>48</v>
      </c>
      <c r="O371" s="33" t="n">
        <f>956</f>
        <v>956.0</v>
      </c>
      <c r="P371" s="34" t="s">
        <v>78</v>
      </c>
      <c r="Q371" s="33" t="n">
        <f>1092</f>
        <v>1092.0</v>
      </c>
      <c r="R371" s="34" t="s">
        <v>50</v>
      </c>
      <c r="S371" s="35" t="n">
        <f>1082.57</f>
        <v>1082.57</v>
      </c>
      <c r="T371" s="32" t="n">
        <f>19736</f>
        <v>19736.0</v>
      </c>
      <c r="U371" s="32" t="str">
        <f>"－"</f>
        <v>－</v>
      </c>
      <c r="V371" s="32" t="n">
        <f>21158661</f>
        <v>2.1158661E7</v>
      </c>
      <c r="W371" s="32" t="str">
        <f>"－"</f>
        <v>－</v>
      </c>
      <c r="X371" s="36" t="n">
        <f>21</f>
        <v>21.0</v>
      </c>
    </row>
    <row r="372">
      <c r="A372" s="27" t="s">
        <v>42</v>
      </c>
      <c r="B372" s="27" t="s">
        <v>1159</v>
      </c>
      <c r="C372" s="27" t="s">
        <v>1160</v>
      </c>
      <c r="D372" s="27" t="s">
        <v>1161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1097</f>
        <v>1097.0</v>
      </c>
      <c r="L372" s="34" t="s">
        <v>48</v>
      </c>
      <c r="M372" s="33" t="n">
        <f>1103</f>
        <v>1103.0</v>
      </c>
      <c r="N372" s="34" t="s">
        <v>82</v>
      </c>
      <c r="O372" s="33" t="n">
        <f>920</f>
        <v>920.0</v>
      </c>
      <c r="P372" s="34" t="s">
        <v>78</v>
      </c>
      <c r="Q372" s="33" t="n">
        <f>1023</f>
        <v>1023.0</v>
      </c>
      <c r="R372" s="34" t="s">
        <v>50</v>
      </c>
      <c r="S372" s="35" t="n">
        <f>1018.67</f>
        <v>1018.67</v>
      </c>
      <c r="T372" s="32" t="n">
        <f>10220664</f>
        <v>1.0220664E7</v>
      </c>
      <c r="U372" s="32" t="n">
        <f>1247</f>
        <v>1247.0</v>
      </c>
      <c r="V372" s="32" t="n">
        <f>10175174107</f>
        <v>1.0175174107E10</v>
      </c>
      <c r="W372" s="32" t="n">
        <f>1162953</f>
        <v>1162953.0</v>
      </c>
      <c r="X372" s="36" t="n">
        <f>21</f>
        <v>21.0</v>
      </c>
    </row>
    <row r="373">
      <c r="A373" s="27" t="s">
        <v>42</v>
      </c>
      <c r="B373" s="27" t="s">
        <v>1162</v>
      </c>
      <c r="C373" s="27" t="s">
        <v>1163</v>
      </c>
      <c r="D373" s="27" t="s">
        <v>1164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962</f>
        <v>962.0</v>
      </c>
      <c r="L373" s="34" t="s">
        <v>48</v>
      </c>
      <c r="M373" s="33" t="n">
        <f>962</f>
        <v>962.0</v>
      </c>
      <c r="N373" s="34" t="s">
        <v>48</v>
      </c>
      <c r="O373" s="33" t="n">
        <f>855</f>
        <v>855.0</v>
      </c>
      <c r="P373" s="34" t="s">
        <v>86</v>
      </c>
      <c r="Q373" s="33" t="n">
        <f>900</f>
        <v>900.0</v>
      </c>
      <c r="R373" s="34" t="s">
        <v>50</v>
      </c>
      <c r="S373" s="35" t="n">
        <f>898.95</f>
        <v>898.95</v>
      </c>
      <c r="T373" s="32" t="n">
        <f>2309639</f>
        <v>2309639.0</v>
      </c>
      <c r="U373" s="32" t="n">
        <f>240</f>
        <v>240.0</v>
      </c>
      <c r="V373" s="32" t="n">
        <f>2071362976</f>
        <v>2.071362976E9</v>
      </c>
      <c r="W373" s="32" t="n">
        <f>199530</f>
        <v>199530.0</v>
      </c>
      <c r="X373" s="36" t="n">
        <f>21</f>
        <v>21.0</v>
      </c>
    </row>
    <row r="374">
      <c r="A374" s="27" t="s">
        <v>42</v>
      </c>
      <c r="B374" s="27" t="s">
        <v>1165</v>
      </c>
      <c r="C374" s="27" t="s">
        <v>1166</v>
      </c>
      <c r="D374" s="27" t="s">
        <v>1167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990</f>
        <v>990.0</v>
      </c>
      <c r="L374" s="34" t="s">
        <v>48</v>
      </c>
      <c r="M374" s="33" t="n">
        <f>1201</f>
        <v>1201.0</v>
      </c>
      <c r="N374" s="34" t="s">
        <v>160</v>
      </c>
      <c r="O374" s="33" t="n">
        <f>798</f>
        <v>798.0</v>
      </c>
      <c r="P374" s="34" t="s">
        <v>78</v>
      </c>
      <c r="Q374" s="33" t="n">
        <f>944</f>
        <v>944.0</v>
      </c>
      <c r="R374" s="34" t="s">
        <v>50</v>
      </c>
      <c r="S374" s="35" t="n">
        <f>933.57</f>
        <v>933.57</v>
      </c>
      <c r="T374" s="32" t="n">
        <f>35512</f>
        <v>35512.0</v>
      </c>
      <c r="U374" s="32" t="str">
        <f>"－"</f>
        <v>－</v>
      </c>
      <c r="V374" s="32" t="n">
        <f>33801541</f>
        <v>3.3801541E7</v>
      </c>
      <c r="W374" s="32" t="str">
        <f>"－"</f>
        <v>－</v>
      </c>
      <c r="X374" s="36" t="n">
        <f>21</f>
        <v>21.0</v>
      </c>
    </row>
    <row r="375">
      <c r="A375" s="27" t="s">
        <v>42</v>
      </c>
      <c r="B375" s="27" t="s">
        <v>1168</v>
      </c>
      <c r="C375" s="27" t="s">
        <v>1169</v>
      </c>
      <c r="D375" s="27" t="s">
        <v>1170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1026</f>
        <v>1026.0</v>
      </c>
      <c r="L375" s="34" t="s">
        <v>48</v>
      </c>
      <c r="M375" s="33" t="n">
        <f>1029</f>
        <v>1029.0</v>
      </c>
      <c r="N375" s="34" t="s">
        <v>82</v>
      </c>
      <c r="O375" s="33" t="n">
        <f>865</f>
        <v>865.0</v>
      </c>
      <c r="P375" s="34" t="s">
        <v>78</v>
      </c>
      <c r="Q375" s="33" t="n">
        <f>950</f>
        <v>950.0</v>
      </c>
      <c r="R375" s="34" t="s">
        <v>50</v>
      </c>
      <c r="S375" s="35" t="n">
        <f>945.52</f>
        <v>945.52</v>
      </c>
      <c r="T375" s="32" t="n">
        <f>2572527</f>
        <v>2572527.0</v>
      </c>
      <c r="U375" s="32" t="n">
        <f>131</f>
        <v>131.0</v>
      </c>
      <c r="V375" s="32" t="n">
        <f>2408334838</f>
        <v>2.408334838E9</v>
      </c>
      <c r="W375" s="32" t="n">
        <f>113694</f>
        <v>113694.0</v>
      </c>
      <c r="X375" s="36" t="n">
        <f>21</f>
        <v>21.0</v>
      </c>
    </row>
    <row r="376">
      <c r="A376" s="27" t="s">
        <v>42</v>
      </c>
      <c r="B376" s="27" t="s">
        <v>1171</v>
      </c>
      <c r="C376" s="27" t="s">
        <v>1172</v>
      </c>
      <c r="D376" s="27" t="s">
        <v>1173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37490</f>
        <v>37490.0</v>
      </c>
      <c r="L376" s="34" t="s">
        <v>48</v>
      </c>
      <c r="M376" s="33" t="n">
        <f>38490</f>
        <v>38490.0</v>
      </c>
      <c r="N376" s="34" t="s">
        <v>82</v>
      </c>
      <c r="O376" s="33" t="n">
        <f>27850</f>
        <v>27850.0</v>
      </c>
      <c r="P376" s="34" t="s">
        <v>49</v>
      </c>
      <c r="Q376" s="33" t="n">
        <f>37550</f>
        <v>37550.0</v>
      </c>
      <c r="R376" s="34" t="s">
        <v>50</v>
      </c>
      <c r="S376" s="35" t="n">
        <f>34371.67</f>
        <v>34371.67</v>
      </c>
      <c r="T376" s="32" t="n">
        <f>753226</f>
        <v>753226.0</v>
      </c>
      <c r="U376" s="32" t="n">
        <f>1104</f>
        <v>1104.0</v>
      </c>
      <c r="V376" s="32" t="n">
        <f>24961914780</f>
        <v>2.496191478E10</v>
      </c>
      <c r="W376" s="32" t="n">
        <f>36469120</f>
        <v>3.646912E7</v>
      </c>
      <c r="X376" s="36" t="n">
        <f>21</f>
        <v>21.0</v>
      </c>
    </row>
    <row r="377">
      <c r="A377" s="27" t="s">
        <v>42</v>
      </c>
      <c r="B377" s="27" t="s">
        <v>1174</v>
      </c>
      <c r="C377" s="27" t="s">
        <v>1175</v>
      </c>
      <c r="D377" s="27" t="s">
        <v>1176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20800</f>
        <v>20800.0</v>
      </c>
      <c r="L377" s="34" t="s">
        <v>48</v>
      </c>
      <c r="M377" s="33" t="n">
        <f>27160</f>
        <v>27160.0</v>
      </c>
      <c r="N377" s="34" t="s">
        <v>49</v>
      </c>
      <c r="O377" s="33" t="n">
        <f>18105</f>
        <v>18105.0</v>
      </c>
      <c r="P377" s="34" t="s">
        <v>50</v>
      </c>
      <c r="Q377" s="33" t="n">
        <f>18135</f>
        <v>18135.0</v>
      </c>
      <c r="R377" s="34" t="s">
        <v>50</v>
      </c>
      <c r="S377" s="35" t="n">
        <f>21037.14</f>
        <v>21037.14</v>
      </c>
      <c r="T377" s="32" t="n">
        <f>1197325</f>
        <v>1197325.0</v>
      </c>
      <c r="U377" s="32" t="n">
        <f>117</f>
        <v>117.0</v>
      </c>
      <c r="V377" s="32" t="n">
        <f>26649937540</f>
        <v>2.664993754E10</v>
      </c>
      <c r="W377" s="32" t="n">
        <f>2502175</f>
        <v>2502175.0</v>
      </c>
      <c r="X377" s="36" t="n">
        <f>21</f>
        <v>21.0</v>
      </c>
    </row>
    <row r="378">
      <c r="A378" s="27" t="s">
        <v>42</v>
      </c>
      <c r="B378" s="27" t="s">
        <v>1177</v>
      </c>
      <c r="C378" s="27" t="s">
        <v>1178</v>
      </c>
      <c r="D378" s="27" t="s">
        <v>1179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1999</f>
        <v>1999.0</v>
      </c>
      <c r="L378" s="34" t="s">
        <v>48</v>
      </c>
      <c r="M378" s="33" t="n">
        <f>2226</f>
        <v>2226.0</v>
      </c>
      <c r="N378" s="34" t="s">
        <v>49</v>
      </c>
      <c r="O378" s="33" t="n">
        <f>1706</f>
        <v>1706.0</v>
      </c>
      <c r="P378" s="34" t="s">
        <v>49</v>
      </c>
      <c r="Q378" s="33" t="n">
        <f>1997</f>
        <v>1997.0</v>
      </c>
      <c r="R378" s="34" t="s">
        <v>50</v>
      </c>
      <c r="S378" s="35" t="n">
        <f>1880.39</f>
        <v>1880.39</v>
      </c>
      <c r="T378" s="32" t="n">
        <f>1237</f>
        <v>1237.0</v>
      </c>
      <c r="U378" s="32" t="str">
        <f>"－"</f>
        <v>－</v>
      </c>
      <c r="V378" s="32" t="n">
        <f>2260199</f>
        <v>2260199.0</v>
      </c>
      <c r="W378" s="32" t="str">
        <f>"－"</f>
        <v>－</v>
      </c>
      <c r="X378" s="36" t="n">
        <f>18</f>
        <v>18.0</v>
      </c>
    </row>
    <row r="379">
      <c r="A379" s="27" t="s">
        <v>42</v>
      </c>
      <c r="B379" s="27" t="s">
        <v>1180</v>
      </c>
      <c r="C379" s="27" t="s">
        <v>1181</v>
      </c>
      <c r="D379" s="27" t="s">
        <v>1182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10060</f>
        <v>10060.0</v>
      </c>
      <c r="L379" s="34" t="s">
        <v>48</v>
      </c>
      <c r="M379" s="33" t="n">
        <f>10060</f>
        <v>10060.0</v>
      </c>
      <c r="N379" s="34" t="s">
        <v>48</v>
      </c>
      <c r="O379" s="33" t="n">
        <f>8030</f>
        <v>8030.0</v>
      </c>
      <c r="P379" s="34" t="s">
        <v>49</v>
      </c>
      <c r="Q379" s="33" t="n">
        <f>9245</f>
        <v>9245.0</v>
      </c>
      <c r="R379" s="34" t="s">
        <v>50</v>
      </c>
      <c r="S379" s="35" t="n">
        <f>9282.62</f>
        <v>9282.62</v>
      </c>
      <c r="T379" s="32" t="n">
        <f>5274</f>
        <v>5274.0</v>
      </c>
      <c r="U379" s="32" t="n">
        <f>1</f>
        <v>1.0</v>
      </c>
      <c r="V379" s="32" t="n">
        <f>47567703</f>
        <v>4.7567703E7</v>
      </c>
      <c r="W379" s="32" t="n">
        <f>9970</f>
        <v>9970.0</v>
      </c>
      <c r="X379" s="36" t="n">
        <f>21</f>
        <v>21.0</v>
      </c>
    </row>
    <row r="380">
      <c r="A380" s="27" t="s">
        <v>42</v>
      </c>
      <c r="B380" s="27" t="s">
        <v>1183</v>
      </c>
      <c r="C380" s="27" t="s">
        <v>1184</v>
      </c>
      <c r="D380" s="27" t="s">
        <v>1185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114700</f>
        <v>114700.0</v>
      </c>
      <c r="L380" s="34" t="s">
        <v>48</v>
      </c>
      <c r="M380" s="33" t="n">
        <f>115900</f>
        <v>115900.0</v>
      </c>
      <c r="N380" s="34" t="s">
        <v>48</v>
      </c>
      <c r="O380" s="33" t="n">
        <f>108000</f>
        <v>108000.0</v>
      </c>
      <c r="P380" s="34" t="s">
        <v>49</v>
      </c>
      <c r="Q380" s="33" t="n">
        <f>112500</f>
        <v>112500.0</v>
      </c>
      <c r="R380" s="34" t="s">
        <v>50</v>
      </c>
      <c r="S380" s="35" t="n">
        <f>112390.48</f>
        <v>112390.48</v>
      </c>
      <c r="T380" s="32" t="n">
        <f>18454</f>
        <v>18454.0</v>
      </c>
      <c r="U380" s="32" t="n">
        <f>2767</f>
        <v>2767.0</v>
      </c>
      <c r="V380" s="32" t="n">
        <f>2067479818</f>
        <v>2.067479818E9</v>
      </c>
      <c r="W380" s="32" t="n">
        <f>309747618</f>
        <v>3.09747618E8</v>
      </c>
      <c r="X380" s="36" t="n">
        <f>21</f>
        <v>21.0</v>
      </c>
    </row>
    <row r="381">
      <c r="A381" s="27" t="s">
        <v>42</v>
      </c>
      <c r="B381" s="27" t="s">
        <v>1186</v>
      </c>
      <c r="C381" s="27" t="s">
        <v>1187</v>
      </c>
      <c r="D381" s="27" t="s">
        <v>1188</v>
      </c>
      <c r="E381" s="28" t="s">
        <v>46</v>
      </c>
      <c r="F381" s="29" t="s">
        <v>46</v>
      </c>
      <c r="G381" s="30" t="s">
        <v>46</v>
      </c>
      <c r="H381" s="31"/>
      <c r="I381" s="31" t="s">
        <v>416</v>
      </c>
      <c r="J381" s="32" t="n">
        <v>1.0</v>
      </c>
      <c r="K381" s="33" t="n">
        <f>85600</f>
        <v>85600.0</v>
      </c>
      <c r="L381" s="34" t="s">
        <v>48</v>
      </c>
      <c r="M381" s="33" t="n">
        <f>90000</f>
        <v>90000.0</v>
      </c>
      <c r="N381" s="34" t="s">
        <v>105</v>
      </c>
      <c r="O381" s="33" t="n">
        <f>79700</f>
        <v>79700.0</v>
      </c>
      <c r="P381" s="34" t="s">
        <v>49</v>
      </c>
      <c r="Q381" s="33" t="n">
        <f>88400</f>
        <v>88400.0</v>
      </c>
      <c r="R381" s="34" t="s">
        <v>50</v>
      </c>
      <c r="S381" s="35" t="n">
        <f>86700</f>
        <v>86700.0</v>
      </c>
      <c r="T381" s="32" t="n">
        <f>37824</f>
        <v>37824.0</v>
      </c>
      <c r="U381" s="32" t="n">
        <f>5468</f>
        <v>5468.0</v>
      </c>
      <c r="V381" s="32" t="n">
        <f>3267250551</f>
        <v>3.267250551E9</v>
      </c>
      <c r="W381" s="32" t="n">
        <f>474413351</f>
        <v>4.74413351E8</v>
      </c>
      <c r="X381" s="36" t="n">
        <f>21</f>
        <v>21.0</v>
      </c>
    </row>
    <row r="382">
      <c r="A382" s="27" t="s">
        <v>42</v>
      </c>
      <c r="B382" s="27" t="s">
        <v>1189</v>
      </c>
      <c r="C382" s="27" t="s">
        <v>1190</v>
      </c>
      <c r="D382" s="27" t="s">
        <v>1191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109500</f>
        <v>109500.0</v>
      </c>
      <c r="L382" s="34" t="s">
        <v>48</v>
      </c>
      <c r="M382" s="33" t="n">
        <f>111500</f>
        <v>111500.0</v>
      </c>
      <c r="N382" s="34" t="s">
        <v>105</v>
      </c>
      <c r="O382" s="33" t="n">
        <f>104200</f>
        <v>104200.0</v>
      </c>
      <c r="P382" s="34" t="s">
        <v>49</v>
      </c>
      <c r="Q382" s="33" t="n">
        <f>110500</f>
        <v>110500.0</v>
      </c>
      <c r="R382" s="34" t="s">
        <v>50</v>
      </c>
      <c r="S382" s="35" t="n">
        <f>109195.24</f>
        <v>109195.24</v>
      </c>
      <c r="T382" s="32" t="n">
        <f>46538</f>
        <v>46538.0</v>
      </c>
      <c r="U382" s="32" t="n">
        <f>9081</f>
        <v>9081.0</v>
      </c>
      <c r="V382" s="32" t="n">
        <f>5064923395</f>
        <v>5.064923395E9</v>
      </c>
      <c r="W382" s="32" t="n">
        <f>988812195</f>
        <v>9.88812195E8</v>
      </c>
      <c r="X382" s="36" t="n">
        <f>21</f>
        <v>21.0</v>
      </c>
    </row>
    <row r="383">
      <c r="A383" s="27" t="s">
        <v>42</v>
      </c>
      <c r="B383" s="27" t="s">
        <v>1192</v>
      </c>
      <c r="C383" s="27" t="s">
        <v>1193</v>
      </c>
      <c r="D383" s="27" t="s">
        <v>1194</v>
      </c>
      <c r="E383" s="28" t="s">
        <v>46</v>
      </c>
      <c r="F383" s="29" t="s">
        <v>46</v>
      </c>
      <c r="G383" s="30" t="s">
        <v>46</v>
      </c>
      <c r="H383" s="31"/>
      <c r="I383" s="31" t="s">
        <v>416</v>
      </c>
      <c r="J383" s="32" t="n">
        <v>1.0</v>
      </c>
      <c r="K383" s="33" t="n">
        <f>104900</f>
        <v>104900.0</v>
      </c>
      <c r="L383" s="34" t="s">
        <v>48</v>
      </c>
      <c r="M383" s="33" t="n">
        <f>105200</f>
        <v>105200.0</v>
      </c>
      <c r="N383" s="34" t="s">
        <v>48</v>
      </c>
      <c r="O383" s="33" t="n">
        <f>97000</f>
        <v>97000.0</v>
      </c>
      <c r="P383" s="34" t="s">
        <v>49</v>
      </c>
      <c r="Q383" s="33" t="n">
        <f>103700</f>
        <v>103700.0</v>
      </c>
      <c r="R383" s="34" t="s">
        <v>50</v>
      </c>
      <c r="S383" s="35" t="n">
        <f>102600</f>
        <v>102600.0</v>
      </c>
      <c r="T383" s="32" t="n">
        <f>31233</f>
        <v>31233.0</v>
      </c>
      <c r="U383" s="32" t="n">
        <f>2682</f>
        <v>2682.0</v>
      </c>
      <c r="V383" s="32" t="n">
        <f>3181049575</f>
        <v>3.181049575E9</v>
      </c>
      <c r="W383" s="32" t="n">
        <f>275011375</f>
        <v>2.75011375E8</v>
      </c>
      <c r="X383" s="36" t="n">
        <f>21</f>
        <v>21.0</v>
      </c>
    </row>
    <row r="384">
      <c r="A384" s="27" t="s">
        <v>42</v>
      </c>
      <c r="B384" s="27" t="s">
        <v>1195</v>
      </c>
      <c r="C384" s="27" t="s">
        <v>1196</v>
      </c>
      <c r="D384" s="27" t="s">
        <v>1197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10.0</v>
      </c>
      <c r="K384" s="33" t="n">
        <f>175</f>
        <v>175.0</v>
      </c>
      <c r="L384" s="34" t="s">
        <v>48</v>
      </c>
      <c r="M384" s="33" t="n">
        <f>177.2</f>
        <v>177.2</v>
      </c>
      <c r="N384" s="34" t="s">
        <v>82</v>
      </c>
      <c r="O384" s="33" t="n">
        <f>146.1</f>
        <v>146.1</v>
      </c>
      <c r="P384" s="34" t="s">
        <v>49</v>
      </c>
      <c r="Q384" s="33" t="n">
        <f>167.6</f>
        <v>167.6</v>
      </c>
      <c r="R384" s="34" t="s">
        <v>50</v>
      </c>
      <c r="S384" s="35" t="n">
        <f>162.87</f>
        <v>162.87</v>
      </c>
      <c r="T384" s="32" t="n">
        <f>16638870</f>
        <v>1.663887E7</v>
      </c>
      <c r="U384" s="32" t="n">
        <f>3120</f>
        <v>3120.0</v>
      </c>
      <c r="V384" s="32" t="n">
        <f>2669799403</f>
        <v>2.669799403E9</v>
      </c>
      <c r="W384" s="32" t="n">
        <f>520325</f>
        <v>520325.0</v>
      </c>
      <c r="X384" s="36" t="n">
        <f>21</f>
        <v>21.0</v>
      </c>
    </row>
    <row r="385">
      <c r="A385" s="27" t="s">
        <v>42</v>
      </c>
      <c r="B385" s="27" t="s">
        <v>1198</v>
      </c>
      <c r="C385" s="27" t="s">
        <v>1199</v>
      </c>
      <c r="D385" s="27" t="s">
        <v>1200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10.0</v>
      </c>
      <c r="K385" s="33" t="n">
        <f>223.6</f>
        <v>223.6</v>
      </c>
      <c r="L385" s="34" t="s">
        <v>48</v>
      </c>
      <c r="M385" s="33" t="n">
        <f>233.2</f>
        <v>233.2</v>
      </c>
      <c r="N385" s="34" t="s">
        <v>86</v>
      </c>
      <c r="O385" s="33" t="n">
        <f>205.2</f>
        <v>205.2</v>
      </c>
      <c r="P385" s="34" t="s">
        <v>49</v>
      </c>
      <c r="Q385" s="33" t="n">
        <f>224.1</f>
        <v>224.1</v>
      </c>
      <c r="R385" s="34" t="s">
        <v>50</v>
      </c>
      <c r="S385" s="35" t="n">
        <f>221.15</f>
        <v>221.15</v>
      </c>
      <c r="T385" s="32" t="n">
        <f>33545440</f>
        <v>3.354544E7</v>
      </c>
      <c r="U385" s="32" t="n">
        <f>8144290</f>
        <v>8144290.0</v>
      </c>
      <c r="V385" s="32" t="n">
        <f>7453907918</f>
        <v>7.453907918E9</v>
      </c>
      <c r="W385" s="32" t="n">
        <f>1829659315</f>
        <v>1.829659315E9</v>
      </c>
      <c r="X385" s="36" t="n">
        <f>21</f>
        <v>21.0</v>
      </c>
    </row>
    <row r="386">
      <c r="A386" s="27" t="s">
        <v>42</v>
      </c>
      <c r="B386" s="27" t="s">
        <v>1201</v>
      </c>
      <c r="C386" s="27" t="s">
        <v>1202</v>
      </c>
      <c r="D386" s="27" t="s">
        <v>1203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1054</f>
        <v>1054.0</v>
      </c>
      <c r="L386" s="34" t="s">
        <v>48</v>
      </c>
      <c r="M386" s="33" t="n">
        <f>1054</f>
        <v>1054.0</v>
      </c>
      <c r="N386" s="34" t="s">
        <v>48</v>
      </c>
      <c r="O386" s="33" t="n">
        <f>711</f>
        <v>711.0</v>
      </c>
      <c r="P386" s="34" t="s">
        <v>49</v>
      </c>
      <c r="Q386" s="33" t="n">
        <f>925</f>
        <v>925.0</v>
      </c>
      <c r="R386" s="34" t="s">
        <v>50</v>
      </c>
      <c r="S386" s="35" t="n">
        <f>888.62</f>
        <v>888.62</v>
      </c>
      <c r="T386" s="32" t="n">
        <f>2351936</f>
        <v>2351936.0</v>
      </c>
      <c r="U386" s="32" t="n">
        <f>360443</f>
        <v>360443.0</v>
      </c>
      <c r="V386" s="32" t="n">
        <f>2092941979</f>
        <v>2.092941979E9</v>
      </c>
      <c r="W386" s="32" t="n">
        <f>310178560</f>
        <v>3.1017856E8</v>
      </c>
      <c r="X386" s="36" t="n">
        <f>21</f>
        <v>21.0</v>
      </c>
    </row>
    <row r="387">
      <c r="A387" s="27" t="s">
        <v>42</v>
      </c>
      <c r="B387" s="27" t="s">
        <v>1204</v>
      </c>
      <c r="C387" s="27" t="s">
        <v>1205</v>
      </c>
      <c r="D387" s="27" t="s">
        <v>1206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1593</f>
        <v>1593.0</v>
      </c>
      <c r="L387" s="34" t="s">
        <v>48</v>
      </c>
      <c r="M387" s="33" t="n">
        <f>1645</f>
        <v>1645.0</v>
      </c>
      <c r="N387" s="34" t="s">
        <v>67</v>
      </c>
      <c r="O387" s="33" t="n">
        <f>1307</f>
        <v>1307.0</v>
      </c>
      <c r="P387" s="34" t="s">
        <v>49</v>
      </c>
      <c r="Q387" s="33" t="n">
        <f>1630</f>
        <v>1630.0</v>
      </c>
      <c r="R387" s="34" t="s">
        <v>50</v>
      </c>
      <c r="S387" s="35" t="n">
        <f>1520.71</f>
        <v>1520.71</v>
      </c>
      <c r="T387" s="32" t="n">
        <f>17195418</f>
        <v>1.7195418E7</v>
      </c>
      <c r="U387" s="32" t="n">
        <f>2587</f>
        <v>2587.0</v>
      </c>
      <c r="V387" s="32" t="n">
        <f>25719925960</f>
        <v>2.571992596E10</v>
      </c>
      <c r="W387" s="32" t="n">
        <f>3988491</f>
        <v>3988491.0</v>
      </c>
      <c r="X387" s="36" t="n">
        <f>21</f>
        <v>21.0</v>
      </c>
    </row>
    <row r="388">
      <c r="A388" s="27" t="s">
        <v>42</v>
      </c>
      <c r="B388" s="27" t="s">
        <v>1207</v>
      </c>
      <c r="C388" s="27" t="s">
        <v>1208</v>
      </c>
      <c r="D388" s="27" t="s">
        <v>1209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10.0</v>
      </c>
      <c r="K388" s="33" t="n">
        <f>1030</f>
        <v>1030.0</v>
      </c>
      <c r="L388" s="34" t="s">
        <v>48</v>
      </c>
      <c r="M388" s="33" t="n">
        <f>1710</f>
        <v>1710.0</v>
      </c>
      <c r="N388" s="34" t="s">
        <v>78</v>
      </c>
      <c r="O388" s="33" t="n">
        <f>1016.5</f>
        <v>1016.5</v>
      </c>
      <c r="P388" s="34" t="s">
        <v>82</v>
      </c>
      <c r="Q388" s="33" t="n">
        <f>1190</f>
        <v>1190.0</v>
      </c>
      <c r="R388" s="34" t="s">
        <v>50</v>
      </c>
      <c r="S388" s="35" t="n">
        <f>1305.31</f>
        <v>1305.31</v>
      </c>
      <c r="T388" s="32" t="n">
        <f>8866420</f>
        <v>8866420.0</v>
      </c>
      <c r="U388" s="32" t="n">
        <f>540</f>
        <v>540.0</v>
      </c>
      <c r="V388" s="32" t="n">
        <f>11608525030</f>
        <v>1.160852503E10</v>
      </c>
      <c r="W388" s="32" t="n">
        <f>636890</f>
        <v>636890.0</v>
      </c>
      <c r="X388" s="36" t="n">
        <f>21</f>
        <v>21.0</v>
      </c>
    </row>
    <row r="389">
      <c r="A389" s="27" t="s">
        <v>42</v>
      </c>
      <c r="B389" s="27" t="s">
        <v>1210</v>
      </c>
      <c r="C389" s="27" t="s">
        <v>1211</v>
      </c>
      <c r="D389" s="27" t="s">
        <v>1212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110100</f>
        <v>110100.0</v>
      </c>
      <c r="L389" s="34" t="s">
        <v>48</v>
      </c>
      <c r="M389" s="33" t="n">
        <f>119000</f>
        <v>119000.0</v>
      </c>
      <c r="N389" s="34" t="s">
        <v>634</v>
      </c>
      <c r="O389" s="33" t="n">
        <f>106700</f>
        <v>106700.0</v>
      </c>
      <c r="P389" s="34" t="s">
        <v>49</v>
      </c>
      <c r="Q389" s="33" t="n">
        <f>116500</f>
        <v>116500.0</v>
      </c>
      <c r="R389" s="34" t="s">
        <v>50</v>
      </c>
      <c r="S389" s="35" t="n">
        <f>113995.24</f>
        <v>113995.24</v>
      </c>
      <c r="T389" s="32" t="n">
        <f>173900</f>
        <v>173900.0</v>
      </c>
      <c r="U389" s="32" t="n">
        <f>35837</f>
        <v>35837.0</v>
      </c>
      <c r="V389" s="32" t="n">
        <f>19716278572</f>
        <v>1.9716278572E10</v>
      </c>
      <c r="W389" s="32" t="n">
        <f>4057346272</f>
        <v>4.057346272E9</v>
      </c>
      <c r="X389" s="36" t="n">
        <f>21</f>
        <v>21.0</v>
      </c>
    </row>
    <row r="390">
      <c r="A390" s="27" t="s">
        <v>42</v>
      </c>
      <c r="B390" s="27" t="s">
        <v>1213</v>
      </c>
      <c r="C390" s="27" t="s">
        <v>1214</v>
      </c>
      <c r="D390" s="27" t="s">
        <v>1215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133700</f>
        <v>133700.0</v>
      </c>
      <c r="L390" s="34" t="s">
        <v>48</v>
      </c>
      <c r="M390" s="33" t="n">
        <f>134700</f>
        <v>134700.0</v>
      </c>
      <c r="N390" s="34" t="s">
        <v>48</v>
      </c>
      <c r="O390" s="33" t="n">
        <f>126900</f>
        <v>126900.0</v>
      </c>
      <c r="P390" s="34" t="s">
        <v>49</v>
      </c>
      <c r="Q390" s="33" t="n">
        <f>131400</f>
        <v>131400.0</v>
      </c>
      <c r="R390" s="34" t="s">
        <v>50</v>
      </c>
      <c r="S390" s="35" t="n">
        <f>131838.1</f>
        <v>131838.1</v>
      </c>
      <c r="T390" s="32" t="n">
        <f>108640</f>
        <v>108640.0</v>
      </c>
      <c r="U390" s="32" t="n">
        <f>23450</f>
        <v>23450.0</v>
      </c>
      <c r="V390" s="32" t="n">
        <f>14296005625</f>
        <v>1.4296005625E10</v>
      </c>
      <c r="W390" s="32" t="n">
        <f>3086055325</f>
        <v>3.086055325E9</v>
      </c>
      <c r="X390" s="36" t="n">
        <f>21</f>
        <v>21.0</v>
      </c>
    </row>
    <row r="391">
      <c r="A391" s="27" t="s">
        <v>42</v>
      </c>
      <c r="B391" s="27" t="s">
        <v>1216</v>
      </c>
      <c r="C391" s="27" t="s">
        <v>1217</v>
      </c>
      <c r="D391" s="27" t="s">
        <v>1218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117500</f>
        <v>117500.0</v>
      </c>
      <c r="L391" s="34" t="s">
        <v>48</v>
      </c>
      <c r="M391" s="33" t="n">
        <f>119000</f>
        <v>119000.0</v>
      </c>
      <c r="N391" s="34" t="s">
        <v>48</v>
      </c>
      <c r="O391" s="33" t="n">
        <f>110900</f>
        <v>110900.0</v>
      </c>
      <c r="P391" s="34" t="s">
        <v>49</v>
      </c>
      <c r="Q391" s="33" t="n">
        <f>116800</f>
        <v>116800.0</v>
      </c>
      <c r="R391" s="34" t="s">
        <v>50</v>
      </c>
      <c r="S391" s="35" t="n">
        <f>115490.48</f>
        <v>115490.48</v>
      </c>
      <c r="T391" s="32" t="n">
        <f>198380</f>
        <v>198380.0</v>
      </c>
      <c r="U391" s="32" t="n">
        <f>34325</f>
        <v>34325.0</v>
      </c>
      <c r="V391" s="32" t="n">
        <f>22900456968</f>
        <v>2.2900456968E10</v>
      </c>
      <c r="W391" s="32" t="n">
        <f>3965831468</f>
        <v>3.965831468E9</v>
      </c>
      <c r="X391" s="36" t="n">
        <f>21</f>
        <v>21.0</v>
      </c>
    </row>
    <row r="392">
      <c r="A392" s="27" t="s">
        <v>42</v>
      </c>
      <c r="B392" s="27" t="s">
        <v>1219</v>
      </c>
      <c r="C392" s="27" t="s">
        <v>1220</v>
      </c>
      <c r="D392" s="27" t="s">
        <v>1221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143500</f>
        <v>143500.0</v>
      </c>
      <c r="L392" s="34" t="s">
        <v>48</v>
      </c>
      <c r="M392" s="33" t="n">
        <f>151000</f>
        <v>151000.0</v>
      </c>
      <c r="N392" s="34" t="s">
        <v>105</v>
      </c>
      <c r="O392" s="33" t="n">
        <f>138600</f>
        <v>138600.0</v>
      </c>
      <c r="P392" s="34" t="s">
        <v>49</v>
      </c>
      <c r="Q392" s="33" t="n">
        <f>147300</f>
        <v>147300.0</v>
      </c>
      <c r="R392" s="34" t="s">
        <v>50</v>
      </c>
      <c r="S392" s="35" t="n">
        <f>145990.48</f>
        <v>145990.48</v>
      </c>
      <c r="T392" s="32" t="n">
        <f>206861</f>
        <v>206861.0</v>
      </c>
      <c r="U392" s="32" t="n">
        <f>50573</f>
        <v>50573.0</v>
      </c>
      <c r="V392" s="32" t="n">
        <f>30012442504</f>
        <v>3.0012442504E10</v>
      </c>
      <c r="W392" s="32" t="n">
        <f>7298327704</f>
        <v>7.298327704E9</v>
      </c>
      <c r="X392" s="36" t="n">
        <f>21</f>
        <v>21.0</v>
      </c>
    </row>
    <row r="393">
      <c r="A393" s="27" t="s">
        <v>42</v>
      </c>
      <c r="B393" s="27" t="s">
        <v>1222</v>
      </c>
      <c r="C393" s="27" t="s">
        <v>1223</v>
      </c>
      <c r="D393" s="27" t="s">
        <v>1224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342000</f>
        <v>342000.0</v>
      </c>
      <c r="L393" s="34" t="s">
        <v>48</v>
      </c>
      <c r="M393" s="33" t="n">
        <f>345500</f>
        <v>345500.0</v>
      </c>
      <c r="N393" s="34" t="s">
        <v>105</v>
      </c>
      <c r="O393" s="33" t="n">
        <f>315000</f>
        <v>315000.0</v>
      </c>
      <c r="P393" s="34" t="s">
        <v>49</v>
      </c>
      <c r="Q393" s="33" t="n">
        <f>342500</f>
        <v>342500.0</v>
      </c>
      <c r="R393" s="34" t="s">
        <v>50</v>
      </c>
      <c r="S393" s="35" t="n">
        <f>337666.67</f>
        <v>337666.67</v>
      </c>
      <c r="T393" s="32" t="n">
        <f>47982</f>
        <v>47982.0</v>
      </c>
      <c r="U393" s="32" t="n">
        <f>8716</f>
        <v>8716.0</v>
      </c>
      <c r="V393" s="32" t="n">
        <f>16123710794</f>
        <v>1.6123710794E10</v>
      </c>
      <c r="W393" s="32" t="n">
        <f>2932904294</f>
        <v>2.932904294E9</v>
      </c>
      <c r="X393" s="36" t="n">
        <f>21</f>
        <v>21.0</v>
      </c>
    </row>
    <row r="394">
      <c r="A394" s="27" t="s">
        <v>42</v>
      </c>
      <c r="B394" s="27" t="s">
        <v>1225</v>
      </c>
      <c r="C394" s="27" t="s">
        <v>1226</v>
      </c>
      <c r="D394" s="27" t="s">
        <v>1227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121200</f>
        <v>121200.0</v>
      </c>
      <c r="L394" s="34" t="s">
        <v>48</v>
      </c>
      <c r="M394" s="33" t="n">
        <f>126000</f>
        <v>126000.0</v>
      </c>
      <c r="N394" s="34" t="s">
        <v>160</v>
      </c>
      <c r="O394" s="33" t="n">
        <f>117200</f>
        <v>117200.0</v>
      </c>
      <c r="P394" s="34" t="s">
        <v>49</v>
      </c>
      <c r="Q394" s="33" t="n">
        <f>123200</f>
        <v>123200.0</v>
      </c>
      <c r="R394" s="34" t="s">
        <v>50</v>
      </c>
      <c r="S394" s="35" t="n">
        <f>122357.14</f>
        <v>122357.14</v>
      </c>
      <c r="T394" s="32" t="n">
        <f>317429</f>
        <v>317429.0</v>
      </c>
      <c r="U394" s="32" t="n">
        <f>81367</f>
        <v>81367.0</v>
      </c>
      <c r="V394" s="32" t="n">
        <f>38714178335</f>
        <v>3.8714178335E10</v>
      </c>
      <c r="W394" s="32" t="n">
        <f>9928157835</f>
        <v>9.928157835E9</v>
      </c>
      <c r="X394" s="36" t="n">
        <f>21</f>
        <v>21.0</v>
      </c>
    </row>
    <row r="395">
      <c r="A395" s="27" t="s">
        <v>42</v>
      </c>
      <c r="B395" s="27" t="s">
        <v>1228</v>
      </c>
      <c r="C395" s="27" t="s">
        <v>1229</v>
      </c>
      <c r="D395" s="27" t="s">
        <v>1230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264500</f>
        <v>264500.0</v>
      </c>
      <c r="L395" s="34" t="s">
        <v>48</v>
      </c>
      <c r="M395" s="33" t="n">
        <f>283200</f>
        <v>283200.0</v>
      </c>
      <c r="N395" s="34" t="s">
        <v>105</v>
      </c>
      <c r="O395" s="33" t="n">
        <f>259400</f>
        <v>259400.0</v>
      </c>
      <c r="P395" s="34" t="s">
        <v>49</v>
      </c>
      <c r="Q395" s="33" t="n">
        <f>277800</f>
        <v>277800.0</v>
      </c>
      <c r="R395" s="34" t="s">
        <v>50</v>
      </c>
      <c r="S395" s="35" t="n">
        <f>273923.81</f>
        <v>273923.81</v>
      </c>
      <c r="T395" s="32" t="n">
        <f>67628</f>
        <v>67628.0</v>
      </c>
      <c r="U395" s="32" t="n">
        <f>11728</f>
        <v>11728.0</v>
      </c>
      <c r="V395" s="32" t="n">
        <f>18420400536</f>
        <v>1.8420400536E10</v>
      </c>
      <c r="W395" s="32" t="n">
        <f>3207004736</f>
        <v>3.207004736E9</v>
      </c>
      <c r="X395" s="36" t="n">
        <f>21</f>
        <v>21.0</v>
      </c>
    </row>
    <row r="396">
      <c r="A396" s="27" t="s">
        <v>42</v>
      </c>
      <c r="B396" s="27" t="s">
        <v>1231</v>
      </c>
      <c r="C396" s="27" t="s">
        <v>1232</v>
      </c>
      <c r="D396" s="27" t="s">
        <v>1233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236100</f>
        <v>236100.0</v>
      </c>
      <c r="L396" s="34" t="s">
        <v>48</v>
      </c>
      <c r="M396" s="33" t="n">
        <f>238800</f>
        <v>238800.0</v>
      </c>
      <c r="N396" s="34" t="s">
        <v>160</v>
      </c>
      <c r="O396" s="33" t="n">
        <f>224600</f>
        <v>224600.0</v>
      </c>
      <c r="P396" s="34" t="s">
        <v>49</v>
      </c>
      <c r="Q396" s="33" t="n">
        <f>236100</f>
        <v>236100.0</v>
      </c>
      <c r="R396" s="34" t="s">
        <v>50</v>
      </c>
      <c r="S396" s="35" t="n">
        <f>235080.95</f>
        <v>235080.95</v>
      </c>
      <c r="T396" s="32" t="n">
        <f>197643</f>
        <v>197643.0</v>
      </c>
      <c r="U396" s="32" t="n">
        <f>55328</f>
        <v>55328.0</v>
      </c>
      <c r="V396" s="32" t="n">
        <f>46291659480</f>
        <v>4.629165948E10</v>
      </c>
      <c r="W396" s="32" t="n">
        <f>12963238580</f>
        <v>1.296323858E10</v>
      </c>
      <c r="X396" s="36" t="n">
        <f>21</f>
        <v>21.0</v>
      </c>
    </row>
    <row r="397">
      <c r="A397" s="27" t="s">
        <v>42</v>
      </c>
      <c r="B397" s="27" t="s">
        <v>1234</v>
      </c>
      <c r="C397" s="27" t="s">
        <v>1235</v>
      </c>
      <c r="D397" s="27" t="s">
        <v>1236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202500</f>
        <v>202500.0</v>
      </c>
      <c r="L397" s="34" t="s">
        <v>48</v>
      </c>
      <c r="M397" s="33" t="n">
        <f>219900</f>
        <v>219900.0</v>
      </c>
      <c r="N397" s="34" t="s">
        <v>50</v>
      </c>
      <c r="O397" s="33" t="n">
        <f>185400</f>
        <v>185400.0</v>
      </c>
      <c r="P397" s="34" t="s">
        <v>49</v>
      </c>
      <c r="Q397" s="33" t="n">
        <f>219600</f>
        <v>219600.0</v>
      </c>
      <c r="R397" s="34" t="s">
        <v>50</v>
      </c>
      <c r="S397" s="35" t="n">
        <f>207228.57</f>
        <v>207228.57</v>
      </c>
      <c r="T397" s="32" t="n">
        <f>73672</f>
        <v>73672.0</v>
      </c>
      <c r="U397" s="32" t="n">
        <f>17456</f>
        <v>17456.0</v>
      </c>
      <c r="V397" s="32" t="n">
        <f>15173815506</f>
        <v>1.5173815506E10</v>
      </c>
      <c r="W397" s="32" t="n">
        <f>3584131506</f>
        <v>3.584131506E9</v>
      </c>
      <c r="X397" s="36" t="n">
        <f>21</f>
        <v>21.0</v>
      </c>
    </row>
    <row r="398">
      <c r="A398" s="27" t="s">
        <v>42</v>
      </c>
      <c r="B398" s="27" t="s">
        <v>1237</v>
      </c>
      <c r="C398" s="27" t="s">
        <v>1238</v>
      </c>
      <c r="D398" s="27" t="s">
        <v>1239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1027</f>
        <v>1027.0</v>
      </c>
      <c r="L398" s="34" t="s">
        <v>48</v>
      </c>
      <c r="M398" s="33" t="n">
        <f>1084</f>
        <v>1084.0</v>
      </c>
      <c r="N398" s="34" t="s">
        <v>50</v>
      </c>
      <c r="O398" s="33" t="n">
        <f>920</f>
        <v>920.0</v>
      </c>
      <c r="P398" s="34" t="s">
        <v>49</v>
      </c>
      <c r="Q398" s="33" t="n">
        <f>1080</f>
        <v>1080.0</v>
      </c>
      <c r="R398" s="34" t="s">
        <v>50</v>
      </c>
      <c r="S398" s="35" t="n">
        <f>1011.71</f>
        <v>1011.71</v>
      </c>
      <c r="T398" s="32" t="n">
        <f>176190</f>
        <v>176190.0</v>
      </c>
      <c r="U398" s="32" t="n">
        <f>80000</f>
        <v>80000.0</v>
      </c>
      <c r="V398" s="32" t="n">
        <f>178811359</f>
        <v>1.78811359E8</v>
      </c>
      <c r="W398" s="32" t="n">
        <f>82239704</f>
        <v>8.2239704E7</v>
      </c>
      <c r="X398" s="36" t="n">
        <f>21</f>
        <v>21.0</v>
      </c>
    </row>
    <row r="399">
      <c r="A399" s="27" t="s">
        <v>42</v>
      </c>
      <c r="B399" s="27" t="s">
        <v>1240</v>
      </c>
      <c r="C399" s="27" t="s">
        <v>1241</v>
      </c>
      <c r="D399" s="27" t="s">
        <v>1242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244700</f>
        <v>244700.0</v>
      </c>
      <c r="L399" s="34" t="s">
        <v>48</v>
      </c>
      <c r="M399" s="33" t="n">
        <f>248500</f>
        <v>248500.0</v>
      </c>
      <c r="N399" s="34" t="s">
        <v>160</v>
      </c>
      <c r="O399" s="33" t="n">
        <f>231400</f>
        <v>231400.0</v>
      </c>
      <c r="P399" s="34" t="s">
        <v>49</v>
      </c>
      <c r="Q399" s="33" t="n">
        <f>240400</f>
        <v>240400.0</v>
      </c>
      <c r="R399" s="34" t="s">
        <v>50</v>
      </c>
      <c r="S399" s="35" t="n">
        <f>242671.43</f>
        <v>242671.43</v>
      </c>
      <c r="T399" s="32" t="n">
        <f>18614</f>
        <v>18614.0</v>
      </c>
      <c r="U399" s="32" t="n">
        <f>2794</f>
        <v>2794.0</v>
      </c>
      <c r="V399" s="32" t="n">
        <f>4499128851</f>
        <v>4.499128851E9</v>
      </c>
      <c r="W399" s="32" t="n">
        <f>676184151</f>
        <v>6.76184151E8</v>
      </c>
      <c r="X399" s="36" t="n">
        <f>21</f>
        <v>21.0</v>
      </c>
    </row>
    <row r="400">
      <c r="A400" s="27" t="s">
        <v>42</v>
      </c>
      <c r="B400" s="27" t="s">
        <v>1243</v>
      </c>
      <c r="C400" s="27" t="s">
        <v>1244</v>
      </c>
      <c r="D400" s="27" t="s">
        <v>1245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125000</f>
        <v>125000.0</v>
      </c>
      <c r="L400" s="34" t="s">
        <v>48</v>
      </c>
      <c r="M400" s="33" t="n">
        <f>127700</f>
        <v>127700.0</v>
      </c>
      <c r="N400" s="34" t="s">
        <v>105</v>
      </c>
      <c r="O400" s="33" t="n">
        <f>120900</f>
        <v>120900.0</v>
      </c>
      <c r="P400" s="34" t="s">
        <v>49</v>
      </c>
      <c r="Q400" s="33" t="n">
        <f>125000</f>
        <v>125000.0</v>
      </c>
      <c r="R400" s="34" t="s">
        <v>50</v>
      </c>
      <c r="S400" s="35" t="n">
        <f>125100</f>
        <v>125100.0</v>
      </c>
      <c r="T400" s="32" t="n">
        <f>88028</f>
        <v>88028.0</v>
      </c>
      <c r="U400" s="32" t="n">
        <f>14579</f>
        <v>14579.0</v>
      </c>
      <c r="V400" s="32" t="n">
        <f>10978526306</f>
        <v>1.0978526306E10</v>
      </c>
      <c r="W400" s="32" t="n">
        <f>1817787306</f>
        <v>1.817787306E9</v>
      </c>
      <c r="X400" s="36" t="n">
        <f>21</f>
        <v>21.0</v>
      </c>
    </row>
    <row r="401">
      <c r="A401" s="27" t="s">
        <v>42</v>
      </c>
      <c r="B401" s="27" t="s">
        <v>1246</v>
      </c>
      <c r="C401" s="27" t="s">
        <v>1247</v>
      </c>
      <c r="D401" s="27" t="s">
        <v>1248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144300</f>
        <v>144300.0</v>
      </c>
      <c r="L401" s="34" t="s">
        <v>48</v>
      </c>
      <c r="M401" s="33" t="n">
        <f>147800</f>
        <v>147800.0</v>
      </c>
      <c r="N401" s="34" t="s">
        <v>444</v>
      </c>
      <c r="O401" s="33" t="n">
        <f>138200</f>
        <v>138200.0</v>
      </c>
      <c r="P401" s="34" t="s">
        <v>49</v>
      </c>
      <c r="Q401" s="33" t="n">
        <f>146300</f>
        <v>146300.0</v>
      </c>
      <c r="R401" s="34" t="s">
        <v>50</v>
      </c>
      <c r="S401" s="35" t="n">
        <f>144819.05</f>
        <v>144819.05</v>
      </c>
      <c r="T401" s="32" t="n">
        <f>74203</f>
        <v>74203.0</v>
      </c>
      <c r="U401" s="32" t="n">
        <f>14271</f>
        <v>14271.0</v>
      </c>
      <c r="V401" s="32" t="n">
        <f>10714829116</f>
        <v>1.0714829116E10</v>
      </c>
      <c r="W401" s="32" t="n">
        <f>2059887016</f>
        <v>2.059887016E9</v>
      </c>
      <c r="X401" s="36" t="n">
        <f>21</f>
        <v>21.0</v>
      </c>
    </row>
    <row r="402">
      <c r="A402" s="27" t="s">
        <v>42</v>
      </c>
      <c r="B402" s="27" t="s">
        <v>1249</v>
      </c>
      <c r="C402" s="27" t="s">
        <v>1250</v>
      </c>
      <c r="D402" s="27" t="s">
        <v>1251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82800</f>
        <v>82800.0</v>
      </c>
      <c r="L402" s="34" t="s">
        <v>48</v>
      </c>
      <c r="M402" s="33" t="n">
        <f>84600</f>
        <v>84600.0</v>
      </c>
      <c r="N402" s="34" t="s">
        <v>219</v>
      </c>
      <c r="O402" s="33" t="n">
        <f>77800</f>
        <v>77800.0</v>
      </c>
      <c r="P402" s="34" t="s">
        <v>49</v>
      </c>
      <c r="Q402" s="33" t="n">
        <f>83400</f>
        <v>83400.0</v>
      </c>
      <c r="R402" s="34" t="s">
        <v>50</v>
      </c>
      <c r="S402" s="35" t="n">
        <f>82957.14</f>
        <v>82957.14</v>
      </c>
      <c r="T402" s="32" t="n">
        <f>119227</f>
        <v>119227.0</v>
      </c>
      <c r="U402" s="32" t="n">
        <f>25424</f>
        <v>25424.0</v>
      </c>
      <c r="V402" s="32" t="n">
        <f>9856591130</f>
        <v>9.85659113E9</v>
      </c>
      <c r="W402" s="32" t="n">
        <f>2103804030</f>
        <v>2.10380403E9</v>
      </c>
      <c r="X402" s="36" t="n">
        <f>21</f>
        <v>21.0</v>
      </c>
    </row>
    <row r="403">
      <c r="A403" s="27" t="s">
        <v>42</v>
      </c>
      <c r="B403" s="27" t="s">
        <v>1252</v>
      </c>
      <c r="C403" s="27" t="s">
        <v>1253</v>
      </c>
      <c r="D403" s="27" t="s">
        <v>1254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80500</f>
        <v>80500.0</v>
      </c>
      <c r="L403" s="34" t="s">
        <v>48</v>
      </c>
      <c r="M403" s="33" t="n">
        <f>81100</f>
        <v>81100.0</v>
      </c>
      <c r="N403" s="34" t="s">
        <v>48</v>
      </c>
      <c r="O403" s="33" t="n">
        <f>75800</f>
        <v>75800.0</v>
      </c>
      <c r="P403" s="34" t="s">
        <v>49</v>
      </c>
      <c r="Q403" s="33" t="n">
        <f>77000</f>
        <v>77000.0</v>
      </c>
      <c r="R403" s="34" t="s">
        <v>50</v>
      </c>
      <c r="S403" s="35" t="n">
        <f>78742.86</f>
        <v>78742.86</v>
      </c>
      <c r="T403" s="32" t="n">
        <f>299081</f>
        <v>299081.0</v>
      </c>
      <c r="U403" s="32" t="n">
        <f>59333</f>
        <v>59333.0</v>
      </c>
      <c r="V403" s="32" t="n">
        <f>23470890570</f>
        <v>2.347089057E10</v>
      </c>
      <c r="W403" s="32" t="n">
        <f>4662632170</f>
        <v>4.66263217E9</v>
      </c>
      <c r="X403" s="36" t="n">
        <f>21</f>
        <v>21.0</v>
      </c>
    </row>
    <row r="404">
      <c r="A404" s="27" t="s">
        <v>42</v>
      </c>
      <c r="B404" s="27" t="s">
        <v>1255</v>
      </c>
      <c r="C404" s="27" t="s">
        <v>1256</v>
      </c>
      <c r="D404" s="27" t="s">
        <v>1257</v>
      </c>
      <c r="E404" s="28" t="s">
        <v>46</v>
      </c>
      <c r="F404" s="29" t="s">
        <v>46</v>
      </c>
      <c r="G404" s="30" t="s">
        <v>46</v>
      </c>
      <c r="H404" s="31"/>
      <c r="I404" s="31" t="s">
        <v>416</v>
      </c>
      <c r="J404" s="32" t="n">
        <v>1.0</v>
      </c>
      <c r="K404" s="33" t="n">
        <f>131600</f>
        <v>131600.0</v>
      </c>
      <c r="L404" s="34" t="s">
        <v>48</v>
      </c>
      <c r="M404" s="33" t="n">
        <f>132100</f>
        <v>132100.0</v>
      </c>
      <c r="N404" s="34" t="s">
        <v>48</v>
      </c>
      <c r="O404" s="33" t="n">
        <f>122600</f>
        <v>122600.0</v>
      </c>
      <c r="P404" s="34" t="s">
        <v>49</v>
      </c>
      <c r="Q404" s="33" t="n">
        <f>125300</f>
        <v>125300.0</v>
      </c>
      <c r="R404" s="34" t="s">
        <v>50</v>
      </c>
      <c r="S404" s="35" t="n">
        <f>128485.71</f>
        <v>128485.71</v>
      </c>
      <c r="T404" s="32" t="n">
        <f>27764</f>
        <v>27764.0</v>
      </c>
      <c r="U404" s="32" t="n">
        <f>2790</f>
        <v>2790.0</v>
      </c>
      <c r="V404" s="32" t="n">
        <f>3548768202</f>
        <v>3.548768202E9</v>
      </c>
      <c r="W404" s="32" t="n">
        <f>357300702</f>
        <v>3.57300702E8</v>
      </c>
      <c r="X404" s="36" t="n">
        <f>21</f>
        <v>21.0</v>
      </c>
    </row>
    <row r="405">
      <c r="A405" s="27" t="s">
        <v>42</v>
      </c>
      <c r="B405" s="27" t="s">
        <v>1258</v>
      </c>
      <c r="C405" s="27" t="s">
        <v>1259</v>
      </c>
      <c r="D405" s="27" t="s">
        <v>1260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109300</f>
        <v>109300.0</v>
      </c>
      <c r="L405" s="34" t="s">
        <v>48</v>
      </c>
      <c r="M405" s="33" t="n">
        <f>112600</f>
        <v>112600.0</v>
      </c>
      <c r="N405" s="34" t="s">
        <v>941</v>
      </c>
      <c r="O405" s="33" t="n">
        <f>102200</f>
        <v>102200.0</v>
      </c>
      <c r="P405" s="34" t="s">
        <v>49</v>
      </c>
      <c r="Q405" s="33" t="n">
        <f>109800</f>
        <v>109800.0</v>
      </c>
      <c r="R405" s="34" t="s">
        <v>50</v>
      </c>
      <c r="S405" s="35" t="n">
        <f>109171.43</f>
        <v>109171.43</v>
      </c>
      <c r="T405" s="32" t="n">
        <f>19794</f>
        <v>19794.0</v>
      </c>
      <c r="U405" s="32" t="n">
        <f>2166</f>
        <v>2166.0</v>
      </c>
      <c r="V405" s="32" t="n">
        <f>2151003932</f>
        <v>2.151003932E9</v>
      </c>
      <c r="W405" s="32" t="n">
        <f>235383532</f>
        <v>2.35383532E8</v>
      </c>
      <c r="X405" s="36" t="n">
        <f>21</f>
        <v>21.0</v>
      </c>
    </row>
    <row r="406">
      <c r="A406" s="27" t="s">
        <v>42</v>
      </c>
      <c r="B406" s="27" t="s">
        <v>1261</v>
      </c>
      <c r="C406" s="27" t="s">
        <v>1262</v>
      </c>
      <c r="D406" s="27" t="s">
        <v>1263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93400</f>
        <v>93400.0</v>
      </c>
      <c r="L406" s="34" t="s">
        <v>48</v>
      </c>
      <c r="M406" s="33" t="n">
        <f>95200</f>
        <v>95200.0</v>
      </c>
      <c r="N406" s="34" t="s">
        <v>86</v>
      </c>
      <c r="O406" s="33" t="n">
        <f>87800</f>
        <v>87800.0</v>
      </c>
      <c r="P406" s="34" t="s">
        <v>49</v>
      </c>
      <c r="Q406" s="33" t="n">
        <f>92700</f>
        <v>92700.0</v>
      </c>
      <c r="R406" s="34" t="s">
        <v>50</v>
      </c>
      <c r="S406" s="35" t="n">
        <f>92704.76</f>
        <v>92704.76</v>
      </c>
      <c r="T406" s="32" t="n">
        <f>25310</f>
        <v>25310.0</v>
      </c>
      <c r="U406" s="32" t="n">
        <f>3106</f>
        <v>3106.0</v>
      </c>
      <c r="V406" s="32" t="n">
        <f>2331571084</f>
        <v>2.331571084E9</v>
      </c>
      <c r="W406" s="32" t="n">
        <f>287121284</f>
        <v>2.87121284E8</v>
      </c>
      <c r="X406" s="36" t="n">
        <f>21</f>
        <v>21.0</v>
      </c>
    </row>
    <row r="407">
      <c r="A407" s="27" t="s">
        <v>42</v>
      </c>
      <c r="B407" s="27" t="s">
        <v>1264</v>
      </c>
      <c r="C407" s="27" t="s">
        <v>1265</v>
      </c>
      <c r="D407" s="27" t="s">
        <v>1266</v>
      </c>
      <c r="E407" s="28" t="s">
        <v>46</v>
      </c>
      <c r="F407" s="29" t="s">
        <v>46</v>
      </c>
      <c r="G407" s="30" t="s">
        <v>46</v>
      </c>
      <c r="H407" s="31"/>
      <c r="I407" s="31" t="s">
        <v>416</v>
      </c>
      <c r="J407" s="32" t="n">
        <v>1.0</v>
      </c>
      <c r="K407" s="33" t="n">
        <f>9980</f>
        <v>9980.0</v>
      </c>
      <c r="L407" s="34" t="s">
        <v>48</v>
      </c>
      <c r="M407" s="33" t="n">
        <f>9980</f>
        <v>9980.0</v>
      </c>
      <c r="N407" s="34" t="s">
        <v>48</v>
      </c>
      <c r="O407" s="33" t="n">
        <f>8510</f>
        <v>8510.0</v>
      </c>
      <c r="P407" s="34" t="s">
        <v>49</v>
      </c>
      <c r="Q407" s="33" t="n">
        <f>9906</f>
        <v>9906.0</v>
      </c>
      <c r="R407" s="34" t="s">
        <v>50</v>
      </c>
      <c r="S407" s="35" t="n">
        <f>9506.76</f>
        <v>9506.76</v>
      </c>
      <c r="T407" s="32" t="n">
        <f>14109</f>
        <v>14109.0</v>
      </c>
      <c r="U407" s="32" t="str">
        <f>"－"</f>
        <v>－</v>
      </c>
      <c r="V407" s="32" t="n">
        <f>131828534</f>
        <v>1.31828534E8</v>
      </c>
      <c r="W407" s="32" t="str">
        <f>"－"</f>
        <v>－</v>
      </c>
      <c r="X407" s="36" t="n">
        <f>21</f>
        <v>21.0</v>
      </c>
    </row>
    <row r="408">
      <c r="A408" s="27" t="s">
        <v>42</v>
      </c>
      <c r="B408" s="27" t="s">
        <v>1267</v>
      </c>
      <c r="C408" s="27" t="s">
        <v>1268</v>
      </c>
      <c r="D408" s="27" t="s">
        <v>1269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144400</f>
        <v>144400.0</v>
      </c>
      <c r="L408" s="34" t="s">
        <v>48</v>
      </c>
      <c r="M408" s="33" t="n">
        <f>145400</f>
        <v>145400.0</v>
      </c>
      <c r="N408" s="34" t="s">
        <v>105</v>
      </c>
      <c r="O408" s="33" t="n">
        <f>135500</f>
        <v>135500.0</v>
      </c>
      <c r="P408" s="34" t="s">
        <v>49</v>
      </c>
      <c r="Q408" s="33" t="n">
        <f>142200</f>
        <v>142200.0</v>
      </c>
      <c r="R408" s="34" t="s">
        <v>50</v>
      </c>
      <c r="S408" s="35" t="n">
        <f>142000</f>
        <v>142000.0</v>
      </c>
      <c r="T408" s="32" t="n">
        <f>236010</f>
        <v>236010.0</v>
      </c>
      <c r="U408" s="32" t="n">
        <f>51255</f>
        <v>51255.0</v>
      </c>
      <c r="V408" s="32" t="n">
        <f>33407689569</f>
        <v>3.3407689569E10</v>
      </c>
      <c r="W408" s="32" t="n">
        <f>7244410669</f>
        <v>7.244410669E9</v>
      </c>
      <c r="X408" s="36" t="n">
        <f>21</f>
        <v>21.0</v>
      </c>
    </row>
    <row r="409">
      <c r="A409" s="27" t="s">
        <v>42</v>
      </c>
      <c r="B409" s="27" t="s">
        <v>1270</v>
      </c>
      <c r="C409" s="27" t="s">
        <v>1271</v>
      </c>
      <c r="D409" s="27" t="s">
        <v>1272</v>
      </c>
      <c r="E409" s="28" t="s">
        <v>46</v>
      </c>
      <c r="F409" s="29" t="s">
        <v>46</v>
      </c>
      <c r="G409" s="30" t="s">
        <v>46</v>
      </c>
      <c r="H409" s="31"/>
      <c r="I409" s="31" t="s">
        <v>416</v>
      </c>
      <c r="J409" s="32" t="n">
        <v>1.0</v>
      </c>
      <c r="K409" s="33" t="n">
        <f>124500</f>
        <v>124500.0</v>
      </c>
      <c r="L409" s="34" t="s">
        <v>48</v>
      </c>
      <c r="M409" s="33" t="n">
        <f>124900</f>
        <v>124900.0</v>
      </c>
      <c r="N409" s="34" t="s">
        <v>48</v>
      </c>
      <c r="O409" s="33" t="n">
        <f>109200</f>
        <v>109200.0</v>
      </c>
      <c r="P409" s="34" t="s">
        <v>49</v>
      </c>
      <c r="Q409" s="33" t="n">
        <f>121000</f>
        <v>121000.0</v>
      </c>
      <c r="R409" s="34" t="s">
        <v>50</v>
      </c>
      <c r="S409" s="35" t="n">
        <f>118633.33</f>
        <v>118633.33</v>
      </c>
      <c r="T409" s="32" t="n">
        <f>37621</f>
        <v>37621.0</v>
      </c>
      <c r="U409" s="32" t="n">
        <f>2584</f>
        <v>2584.0</v>
      </c>
      <c r="V409" s="32" t="n">
        <f>4429163468</f>
        <v>4.429163468E9</v>
      </c>
      <c r="W409" s="32" t="n">
        <f>305700168</f>
        <v>3.05700168E8</v>
      </c>
      <c r="X409" s="36" t="n">
        <f>21</f>
        <v>21.0</v>
      </c>
    </row>
    <row r="410">
      <c r="A410" s="27" t="s">
        <v>42</v>
      </c>
      <c r="B410" s="27" t="s">
        <v>1273</v>
      </c>
      <c r="C410" s="27" t="s">
        <v>1274</v>
      </c>
      <c r="D410" s="27" t="s">
        <v>1275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141500</f>
        <v>141500.0</v>
      </c>
      <c r="L410" s="34" t="s">
        <v>48</v>
      </c>
      <c r="M410" s="33" t="n">
        <f>141500</f>
        <v>141500.0</v>
      </c>
      <c r="N410" s="34" t="s">
        <v>48</v>
      </c>
      <c r="O410" s="33" t="n">
        <f>133600</f>
        <v>133600.0</v>
      </c>
      <c r="P410" s="34" t="s">
        <v>78</v>
      </c>
      <c r="Q410" s="33" t="n">
        <f>136100</f>
        <v>136100.0</v>
      </c>
      <c r="R410" s="34" t="s">
        <v>50</v>
      </c>
      <c r="S410" s="35" t="n">
        <f>138014.29</f>
        <v>138014.29</v>
      </c>
      <c r="T410" s="32" t="n">
        <f>132228</f>
        <v>132228.0</v>
      </c>
      <c r="U410" s="32" t="n">
        <f>24884</f>
        <v>24884.0</v>
      </c>
      <c r="V410" s="32" t="n">
        <f>18201648425</f>
        <v>1.8201648425E10</v>
      </c>
      <c r="W410" s="32" t="n">
        <f>3425643825</f>
        <v>3.425643825E9</v>
      </c>
      <c r="X410" s="36" t="n">
        <f>21</f>
        <v>21.0</v>
      </c>
    </row>
    <row r="411">
      <c r="A411" s="27" t="s">
        <v>42</v>
      </c>
      <c r="B411" s="27" t="s">
        <v>1276</v>
      </c>
      <c r="C411" s="27" t="s">
        <v>1277</v>
      </c>
      <c r="D411" s="27" t="s">
        <v>1278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54500</f>
        <v>54500.0</v>
      </c>
      <c r="L411" s="34" t="s">
        <v>48</v>
      </c>
      <c r="M411" s="33" t="n">
        <f>54800</f>
        <v>54800.0</v>
      </c>
      <c r="N411" s="34" t="s">
        <v>48</v>
      </c>
      <c r="O411" s="33" t="n">
        <f>50800</f>
        <v>50800.0</v>
      </c>
      <c r="P411" s="34" t="s">
        <v>49</v>
      </c>
      <c r="Q411" s="33" t="n">
        <f>54700</f>
        <v>54700.0</v>
      </c>
      <c r="R411" s="34" t="s">
        <v>50</v>
      </c>
      <c r="S411" s="35" t="n">
        <f>53628.57</f>
        <v>53628.57</v>
      </c>
      <c r="T411" s="32" t="n">
        <f>191824</f>
        <v>191824.0</v>
      </c>
      <c r="U411" s="32" t="n">
        <f>40259</f>
        <v>40259.0</v>
      </c>
      <c r="V411" s="32" t="n">
        <f>10243425347</f>
        <v>1.0243425347E10</v>
      </c>
      <c r="W411" s="32" t="n">
        <f>2154605647</f>
        <v>2.154605647E9</v>
      </c>
      <c r="X411" s="36" t="n">
        <f>21</f>
        <v>21.0</v>
      </c>
    </row>
    <row r="412">
      <c r="A412" s="27" t="s">
        <v>42</v>
      </c>
      <c r="B412" s="27" t="s">
        <v>1279</v>
      </c>
      <c r="C412" s="27" t="s">
        <v>1280</v>
      </c>
      <c r="D412" s="27" t="s">
        <v>1281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1823</f>
        <v>1823.0</v>
      </c>
      <c r="L412" s="34" t="s">
        <v>48</v>
      </c>
      <c r="M412" s="33" t="n">
        <f>1840</f>
        <v>1840.0</v>
      </c>
      <c r="N412" s="34" t="s">
        <v>82</v>
      </c>
      <c r="O412" s="33" t="n">
        <f>1366</f>
        <v>1366.0</v>
      </c>
      <c r="P412" s="34" t="s">
        <v>49</v>
      </c>
      <c r="Q412" s="33" t="n">
        <f>1739</f>
        <v>1739.0</v>
      </c>
      <c r="R412" s="34" t="s">
        <v>50</v>
      </c>
      <c r="S412" s="35" t="n">
        <f>1677.71</f>
        <v>1677.71</v>
      </c>
      <c r="T412" s="32" t="n">
        <f>2017454</f>
        <v>2017454.0</v>
      </c>
      <c r="U412" s="32" t="str">
        <f>"－"</f>
        <v>－</v>
      </c>
      <c r="V412" s="32" t="n">
        <f>3344502757</f>
        <v>3.344502757E9</v>
      </c>
      <c r="W412" s="32" t="str">
        <f>"－"</f>
        <v>－</v>
      </c>
      <c r="X412" s="36" t="n">
        <f>21</f>
        <v>21.0</v>
      </c>
    </row>
    <row r="413">
      <c r="A413" s="27" t="s">
        <v>42</v>
      </c>
      <c r="B413" s="27" t="s">
        <v>1282</v>
      </c>
      <c r="C413" s="27" t="s">
        <v>1283</v>
      </c>
      <c r="D413" s="27" t="s">
        <v>1284</v>
      </c>
      <c r="E413" s="28" t="s">
        <v>46</v>
      </c>
      <c r="F413" s="29" t="s">
        <v>46</v>
      </c>
      <c r="G413" s="30" t="s">
        <v>46</v>
      </c>
      <c r="H413" s="31"/>
      <c r="I413" s="31" t="s">
        <v>416</v>
      </c>
      <c r="J413" s="32" t="n">
        <v>1.0</v>
      </c>
      <c r="K413" s="33" t="n">
        <f>106000</f>
        <v>106000.0</v>
      </c>
      <c r="L413" s="34" t="s">
        <v>48</v>
      </c>
      <c r="M413" s="33" t="n">
        <f>106500</f>
        <v>106500.0</v>
      </c>
      <c r="N413" s="34" t="s">
        <v>48</v>
      </c>
      <c r="O413" s="33" t="n">
        <f>95700</f>
        <v>95700.0</v>
      </c>
      <c r="P413" s="34" t="s">
        <v>49</v>
      </c>
      <c r="Q413" s="33" t="n">
        <f>102200</f>
        <v>102200.0</v>
      </c>
      <c r="R413" s="34" t="s">
        <v>50</v>
      </c>
      <c r="S413" s="35" t="n">
        <f>102166.67</f>
        <v>102166.67</v>
      </c>
      <c r="T413" s="32" t="n">
        <f>25376</f>
        <v>25376.0</v>
      </c>
      <c r="U413" s="32" t="n">
        <f>1924</f>
        <v>1924.0</v>
      </c>
      <c r="V413" s="32" t="n">
        <f>2575235048</f>
        <v>2.575235048E9</v>
      </c>
      <c r="W413" s="32" t="n">
        <f>195490848</f>
        <v>1.95490848E8</v>
      </c>
      <c r="X413" s="36" t="n">
        <f>21</f>
        <v>21.0</v>
      </c>
    </row>
    <row r="414">
      <c r="A414" s="27" t="s">
        <v>42</v>
      </c>
      <c r="B414" s="27" t="s">
        <v>1285</v>
      </c>
      <c r="C414" s="27" t="s">
        <v>1286</v>
      </c>
      <c r="D414" s="27" t="s">
        <v>1287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103900</f>
        <v>103900.0</v>
      </c>
      <c r="L414" s="34" t="s">
        <v>48</v>
      </c>
      <c r="M414" s="33" t="n">
        <f>104400</f>
        <v>104400.0</v>
      </c>
      <c r="N414" s="34" t="s">
        <v>48</v>
      </c>
      <c r="O414" s="33" t="n">
        <f>97100</f>
        <v>97100.0</v>
      </c>
      <c r="P414" s="34" t="s">
        <v>49</v>
      </c>
      <c r="Q414" s="33" t="n">
        <f>101900</f>
        <v>101900.0</v>
      </c>
      <c r="R414" s="34" t="s">
        <v>50</v>
      </c>
      <c r="S414" s="35" t="n">
        <f>100876.19</f>
        <v>100876.19</v>
      </c>
      <c r="T414" s="32" t="n">
        <f>234309</f>
        <v>234309.0</v>
      </c>
      <c r="U414" s="32" t="n">
        <f>55422</f>
        <v>55422.0</v>
      </c>
      <c r="V414" s="32" t="n">
        <f>23631212313</f>
        <v>2.3631212313E10</v>
      </c>
      <c r="W414" s="32" t="n">
        <f>5592641813</f>
        <v>5.592641813E9</v>
      </c>
      <c r="X414" s="36" t="n">
        <f>21</f>
        <v>21.0</v>
      </c>
    </row>
    <row r="415">
      <c r="A415" s="27" t="s">
        <v>42</v>
      </c>
      <c r="B415" s="27" t="s">
        <v>1288</v>
      </c>
      <c r="C415" s="27" t="s">
        <v>1289</v>
      </c>
      <c r="D415" s="27" t="s">
        <v>1290</v>
      </c>
      <c r="E415" s="28" t="s">
        <v>46</v>
      </c>
      <c r="F415" s="29" t="s">
        <v>46</v>
      </c>
      <c r="G415" s="30" t="s">
        <v>46</v>
      </c>
      <c r="H415" s="31"/>
      <c r="I415" s="31" t="s">
        <v>416</v>
      </c>
      <c r="J415" s="32" t="n">
        <v>1.0</v>
      </c>
      <c r="K415" s="33" t="n">
        <f>68400</f>
        <v>68400.0</v>
      </c>
      <c r="L415" s="34" t="s">
        <v>48</v>
      </c>
      <c r="M415" s="33" t="n">
        <f>68800</f>
        <v>68800.0</v>
      </c>
      <c r="N415" s="34" t="s">
        <v>50</v>
      </c>
      <c r="O415" s="33" t="n">
        <f>61100</f>
        <v>61100.0</v>
      </c>
      <c r="P415" s="34" t="s">
        <v>49</v>
      </c>
      <c r="Q415" s="33" t="n">
        <f>68600</f>
        <v>68600.0</v>
      </c>
      <c r="R415" s="34" t="s">
        <v>50</v>
      </c>
      <c r="S415" s="35" t="n">
        <f>66209.52</f>
        <v>66209.52</v>
      </c>
      <c r="T415" s="32" t="n">
        <f>31784</f>
        <v>31784.0</v>
      </c>
      <c r="U415" s="32" t="n">
        <f>2333</f>
        <v>2333.0</v>
      </c>
      <c r="V415" s="32" t="n">
        <f>2094369627</f>
        <v>2.094369627E9</v>
      </c>
      <c r="W415" s="32" t="n">
        <f>153517427</f>
        <v>1.53517427E8</v>
      </c>
      <c r="X415" s="36" t="n">
        <f>21</f>
        <v>21.0</v>
      </c>
    </row>
    <row r="416">
      <c r="A416" s="27" t="s">
        <v>42</v>
      </c>
      <c r="B416" s="27" t="s">
        <v>1291</v>
      </c>
      <c r="C416" s="27" t="s">
        <v>1292</v>
      </c>
      <c r="D416" s="27" t="s">
        <v>1293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42750</f>
        <v>42750.0</v>
      </c>
      <c r="L416" s="34" t="s">
        <v>48</v>
      </c>
      <c r="M416" s="33" t="n">
        <f>43050</f>
        <v>43050.0</v>
      </c>
      <c r="N416" s="34" t="s">
        <v>48</v>
      </c>
      <c r="O416" s="33" t="n">
        <f>40150</f>
        <v>40150.0</v>
      </c>
      <c r="P416" s="34" t="s">
        <v>49</v>
      </c>
      <c r="Q416" s="33" t="n">
        <f>41500</f>
        <v>41500.0</v>
      </c>
      <c r="R416" s="34" t="s">
        <v>50</v>
      </c>
      <c r="S416" s="35" t="n">
        <f>42059.52</f>
        <v>42059.52</v>
      </c>
      <c r="T416" s="32" t="n">
        <f>167911</f>
        <v>167911.0</v>
      </c>
      <c r="U416" s="32" t="n">
        <f>17503</f>
        <v>17503.0</v>
      </c>
      <c r="V416" s="32" t="n">
        <f>7040133941</f>
        <v>7.040133941E9</v>
      </c>
      <c r="W416" s="32" t="n">
        <f>733896041</f>
        <v>7.33896041E8</v>
      </c>
      <c r="X416" s="36" t="n">
        <f>21</f>
        <v>21.0</v>
      </c>
    </row>
    <row r="417">
      <c r="A417" s="27" t="s">
        <v>42</v>
      </c>
      <c r="B417" s="27" t="s">
        <v>1294</v>
      </c>
      <c r="C417" s="27" t="s">
        <v>1295</v>
      </c>
      <c r="D417" s="27" t="s">
        <v>1296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115900</f>
        <v>115900.0</v>
      </c>
      <c r="L417" s="34" t="s">
        <v>48</v>
      </c>
      <c r="M417" s="33" t="n">
        <f>118600</f>
        <v>118600.0</v>
      </c>
      <c r="N417" s="34" t="s">
        <v>224</v>
      </c>
      <c r="O417" s="33" t="n">
        <f>108900</f>
        <v>108900.0</v>
      </c>
      <c r="P417" s="34" t="s">
        <v>49</v>
      </c>
      <c r="Q417" s="33" t="n">
        <f>116600</f>
        <v>116600.0</v>
      </c>
      <c r="R417" s="34" t="s">
        <v>50</v>
      </c>
      <c r="S417" s="35" t="n">
        <f>115171.43</f>
        <v>115171.43</v>
      </c>
      <c r="T417" s="32" t="n">
        <f>112516</f>
        <v>112516.0</v>
      </c>
      <c r="U417" s="32" t="n">
        <f>18808</f>
        <v>18808.0</v>
      </c>
      <c r="V417" s="32" t="n">
        <f>12917052131</f>
        <v>1.2917052131E10</v>
      </c>
      <c r="W417" s="32" t="n">
        <f>2162081731</f>
        <v>2.162081731E9</v>
      </c>
      <c r="X417" s="36" t="n">
        <f>21</f>
        <v>21.0</v>
      </c>
    </row>
    <row r="418">
      <c r="A418" s="27" t="s">
        <v>42</v>
      </c>
      <c r="B418" s="27" t="s">
        <v>1297</v>
      </c>
      <c r="C418" s="27" t="s">
        <v>1298</v>
      </c>
      <c r="D418" s="27" t="s">
        <v>1299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146600</f>
        <v>146600.0</v>
      </c>
      <c r="L418" s="34" t="s">
        <v>48</v>
      </c>
      <c r="M418" s="33" t="n">
        <f>147400</f>
        <v>147400.0</v>
      </c>
      <c r="N418" s="34" t="s">
        <v>48</v>
      </c>
      <c r="O418" s="33" t="n">
        <f>136300</f>
        <v>136300.0</v>
      </c>
      <c r="P418" s="34" t="s">
        <v>49</v>
      </c>
      <c r="Q418" s="33" t="n">
        <f>143400</f>
        <v>143400.0</v>
      </c>
      <c r="R418" s="34" t="s">
        <v>50</v>
      </c>
      <c r="S418" s="35" t="n">
        <f>142785.71</f>
        <v>142785.71</v>
      </c>
      <c r="T418" s="32" t="n">
        <f>44651</f>
        <v>44651.0</v>
      </c>
      <c r="U418" s="32" t="n">
        <f>6839</f>
        <v>6839.0</v>
      </c>
      <c r="V418" s="32" t="n">
        <f>6365411137</f>
        <v>6.365411137E9</v>
      </c>
      <c r="W418" s="32" t="n">
        <f>974964137</f>
        <v>9.74964137E8</v>
      </c>
      <c r="X418" s="36" t="n">
        <f>21</f>
        <v>21.0</v>
      </c>
    </row>
    <row r="419">
      <c r="A419" s="27" t="s">
        <v>42</v>
      </c>
      <c r="B419" s="27" t="s">
        <v>1300</v>
      </c>
      <c r="C419" s="27" t="s">
        <v>1301</v>
      </c>
      <c r="D419" s="27" t="s">
        <v>1302</v>
      </c>
      <c r="E419" s="28" t="s">
        <v>46</v>
      </c>
      <c r="F419" s="29" t="s">
        <v>46</v>
      </c>
      <c r="G419" s="30" t="s">
        <v>46</v>
      </c>
      <c r="H419" s="31"/>
      <c r="I419" s="31" t="s">
        <v>416</v>
      </c>
      <c r="J419" s="32" t="n">
        <v>1.0</v>
      </c>
      <c r="K419" s="33" t="n">
        <f>112500</f>
        <v>112500.0</v>
      </c>
      <c r="L419" s="34" t="s">
        <v>48</v>
      </c>
      <c r="M419" s="33" t="n">
        <f>112900</f>
        <v>112900.0</v>
      </c>
      <c r="N419" s="34" t="s">
        <v>48</v>
      </c>
      <c r="O419" s="33" t="n">
        <f>103800</f>
        <v>103800.0</v>
      </c>
      <c r="P419" s="34" t="s">
        <v>49</v>
      </c>
      <c r="Q419" s="33" t="n">
        <f>109700</f>
        <v>109700.0</v>
      </c>
      <c r="R419" s="34" t="s">
        <v>50</v>
      </c>
      <c r="S419" s="35" t="n">
        <f>109476.19</f>
        <v>109476.19</v>
      </c>
      <c r="T419" s="32" t="n">
        <f>17703</f>
        <v>17703.0</v>
      </c>
      <c r="U419" s="32" t="n">
        <f>1848</f>
        <v>1848.0</v>
      </c>
      <c r="V419" s="32" t="n">
        <f>1929224111</f>
        <v>1.929224111E9</v>
      </c>
      <c r="W419" s="32" t="n">
        <f>202194411</f>
        <v>2.02194411E8</v>
      </c>
      <c r="X419" s="36" t="n">
        <f>21</f>
        <v>21.0</v>
      </c>
    </row>
    <row r="420">
      <c r="A420" s="27" t="s">
        <v>42</v>
      </c>
      <c r="B420" s="27" t="s">
        <v>1303</v>
      </c>
      <c r="C420" s="27" t="s">
        <v>1304</v>
      </c>
      <c r="D420" s="27" t="s">
        <v>1305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10.0</v>
      </c>
      <c r="K420" s="33" t="n">
        <f>198</f>
        <v>198.0</v>
      </c>
      <c r="L420" s="34" t="s">
        <v>48</v>
      </c>
      <c r="M420" s="33" t="n">
        <f>198</f>
        <v>198.0</v>
      </c>
      <c r="N420" s="34" t="s">
        <v>48</v>
      </c>
      <c r="O420" s="33" t="n">
        <f>165.1</f>
        <v>165.1</v>
      </c>
      <c r="P420" s="34" t="s">
        <v>49</v>
      </c>
      <c r="Q420" s="33" t="n">
        <f>192.8</f>
        <v>192.8</v>
      </c>
      <c r="R420" s="34" t="s">
        <v>50</v>
      </c>
      <c r="S420" s="35" t="n">
        <f>185.75</f>
        <v>185.75</v>
      </c>
      <c r="T420" s="32" t="n">
        <f>3015110</f>
        <v>3015110.0</v>
      </c>
      <c r="U420" s="32" t="n">
        <f>280</f>
        <v>280.0</v>
      </c>
      <c r="V420" s="32" t="n">
        <f>558538659</f>
        <v>5.58538659E8</v>
      </c>
      <c r="W420" s="32" t="n">
        <f>48950</f>
        <v>48950.0</v>
      </c>
      <c r="X420" s="36" t="n">
        <f>21</f>
        <v>21.0</v>
      </c>
    </row>
    <row r="421">
      <c r="A421" s="27" t="s">
        <v>42</v>
      </c>
      <c r="B421" s="27" t="s">
        <v>1306</v>
      </c>
      <c r="C421" s="27" t="s">
        <v>1307</v>
      </c>
      <c r="D421" s="27" t="s">
        <v>1308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86900</f>
        <v>86900.0</v>
      </c>
      <c r="L421" s="34" t="s">
        <v>48</v>
      </c>
      <c r="M421" s="33" t="n">
        <f>87000</f>
        <v>87000.0</v>
      </c>
      <c r="N421" s="34" t="s">
        <v>48</v>
      </c>
      <c r="O421" s="33" t="n">
        <f>80300</f>
        <v>80300.0</v>
      </c>
      <c r="P421" s="34" t="s">
        <v>49</v>
      </c>
      <c r="Q421" s="33" t="n">
        <f>85100</f>
        <v>85100.0</v>
      </c>
      <c r="R421" s="34" t="s">
        <v>50</v>
      </c>
      <c r="S421" s="35" t="n">
        <f>85052.38</f>
        <v>85052.38</v>
      </c>
      <c r="T421" s="32" t="n">
        <f>81794</f>
        <v>81794.0</v>
      </c>
      <c r="U421" s="32" t="n">
        <f>9419</f>
        <v>9419.0</v>
      </c>
      <c r="V421" s="32" t="n">
        <f>6914618940</f>
        <v>6.91461894E9</v>
      </c>
      <c r="W421" s="32" t="n">
        <f>798703340</f>
        <v>7.9870334E8</v>
      </c>
      <c r="X421" s="36" t="n">
        <f>21</f>
        <v>21.0</v>
      </c>
    </row>
    <row r="422">
      <c r="A422" s="27" t="s">
        <v>42</v>
      </c>
      <c r="B422" s="27" t="s">
        <v>1309</v>
      </c>
      <c r="C422" s="27" t="s">
        <v>1310</v>
      </c>
      <c r="D422" s="27" t="s">
        <v>1311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10.0</v>
      </c>
      <c r="K422" s="33" t="n">
        <f>486.2</f>
        <v>486.2</v>
      </c>
      <c r="L422" s="34" t="s">
        <v>48</v>
      </c>
      <c r="M422" s="33" t="n">
        <f>487</f>
        <v>487.0</v>
      </c>
      <c r="N422" s="34" t="s">
        <v>48</v>
      </c>
      <c r="O422" s="33" t="n">
        <f>387</f>
        <v>387.0</v>
      </c>
      <c r="P422" s="34" t="s">
        <v>49</v>
      </c>
      <c r="Q422" s="33" t="n">
        <f>481.4</f>
        <v>481.4</v>
      </c>
      <c r="R422" s="34" t="s">
        <v>50</v>
      </c>
      <c r="S422" s="35" t="n">
        <f>457.21</f>
        <v>457.21</v>
      </c>
      <c r="T422" s="32" t="n">
        <f>957620</f>
        <v>957620.0</v>
      </c>
      <c r="U422" s="32" t="str">
        <f>"－"</f>
        <v>－</v>
      </c>
      <c r="V422" s="32" t="n">
        <f>439517464</f>
        <v>4.39517464E8</v>
      </c>
      <c r="W422" s="32" t="str">
        <f>"－"</f>
        <v>－</v>
      </c>
      <c r="X422" s="36" t="n">
        <f>21</f>
        <v>21.0</v>
      </c>
    </row>
    <row r="423">
      <c r="A423" s="27" t="s">
        <v>42</v>
      </c>
      <c r="B423" s="27" t="s">
        <v>1312</v>
      </c>
      <c r="C423" s="27" t="s">
        <v>1313</v>
      </c>
      <c r="D423" s="27" t="s">
        <v>1314</v>
      </c>
      <c r="E423" s="28" t="s">
        <v>1315</v>
      </c>
      <c r="F423" s="29" t="s">
        <v>1316</v>
      </c>
      <c r="G423" s="30" t="s">
        <v>1317</v>
      </c>
      <c r="H423" s="31"/>
      <c r="I423" s="31" t="s">
        <v>47</v>
      </c>
      <c r="J423" s="32" t="n">
        <v>1.0</v>
      </c>
      <c r="K423" s="33" t="n">
        <f>2011</f>
        <v>2011.0</v>
      </c>
      <c r="L423" s="34" t="s">
        <v>444</v>
      </c>
      <c r="M423" s="33" t="n">
        <f>2121</f>
        <v>2121.0</v>
      </c>
      <c r="N423" s="34" t="s">
        <v>71</v>
      </c>
      <c r="O423" s="33" t="n">
        <f>2011</f>
        <v>2011.0</v>
      </c>
      <c r="P423" s="34" t="s">
        <v>444</v>
      </c>
      <c r="Q423" s="33" t="n">
        <f>2107</f>
        <v>2107.0</v>
      </c>
      <c r="R423" s="34" t="s">
        <v>50</v>
      </c>
      <c r="S423" s="35" t="n">
        <f>2067.67</f>
        <v>2067.67</v>
      </c>
      <c r="T423" s="32" t="n">
        <f>101740</f>
        <v>101740.0</v>
      </c>
      <c r="U423" s="32" t="n">
        <f>30000</f>
        <v>30000.0</v>
      </c>
      <c r="V423" s="32" t="n">
        <f>210843900</f>
        <v>2.108439E8</v>
      </c>
      <c r="W423" s="32" t="n">
        <f>63155169</f>
        <v>6.3155169E7</v>
      </c>
      <c r="X423" s="36" t="n">
        <f>9</f>
        <v>9.0</v>
      </c>
    </row>
    <row r="424">
      <c r="A424" s="27" t="s">
        <v>42</v>
      </c>
      <c r="B424" s="27" t="s">
        <v>1318</v>
      </c>
      <c r="C424" s="27" t="s">
        <v>1319</v>
      </c>
      <c r="D424" s="27" t="s">
        <v>1320</v>
      </c>
      <c r="E424" s="28" t="s">
        <v>1315</v>
      </c>
      <c r="F424" s="29" t="s">
        <v>1316</v>
      </c>
      <c r="G424" s="30" t="s">
        <v>1321</v>
      </c>
      <c r="H424" s="31"/>
      <c r="I424" s="31" t="s">
        <v>47</v>
      </c>
      <c r="J424" s="32" t="n">
        <v>1.0</v>
      </c>
      <c r="K424" s="33" t="n">
        <f>996</f>
        <v>996.0</v>
      </c>
      <c r="L424" s="34" t="s">
        <v>240</v>
      </c>
      <c r="M424" s="33" t="n">
        <f>1041</f>
        <v>1041.0</v>
      </c>
      <c r="N424" s="34" t="s">
        <v>50</v>
      </c>
      <c r="O424" s="33" t="n">
        <f>940</f>
        <v>940.0</v>
      </c>
      <c r="P424" s="34" t="s">
        <v>86</v>
      </c>
      <c r="Q424" s="33" t="n">
        <f>1033</f>
        <v>1033.0</v>
      </c>
      <c r="R424" s="34" t="s">
        <v>50</v>
      </c>
      <c r="S424" s="35" t="n">
        <f>992</f>
        <v>992.0</v>
      </c>
      <c r="T424" s="32" t="n">
        <f>44772</f>
        <v>44772.0</v>
      </c>
      <c r="U424" s="32" t="str">
        <f>"－"</f>
        <v>－</v>
      </c>
      <c r="V424" s="32" t="n">
        <f>44412952</f>
        <v>4.4412952E7</v>
      </c>
      <c r="W424" s="32" t="str">
        <f>"－"</f>
        <v>－</v>
      </c>
      <c r="X424" s="36" t="n">
        <f>10</f>
        <v>10.0</v>
      </c>
    </row>
    <row r="425">
      <c r="A425" s="27" t="s">
        <v>42</v>
      </c>
      <c r="B425" s="27" t="s">
        <v>1322</v>
      </c>
      <c r="C425" s="27" t="s">
        <v>1323</v>
      </c>
      <c r="D425" s="27" t="s">
        <v>1324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128000</f>
        <v>128000.0</v>
      </c>
      <c r="L425" s="34" t="s">
        <v>48</v>
      </c>
      <c r="M425" s="33" t="n">
        <f>134800</f>
        <v>134800.0</v>
      </c>
      <c r="N425" s="34" t="s">
        <v>160</v>
      </c>
      <c r="O425" s="33" t="n">
        <f>124200</f>
        <v>124200.0</v>
      </c>
      <c r="P425" s="34" t="s">
        <v>49</v>
      </c>
      <c r="Q425" s="33" t="n">
        <f>132600</f>
        <v>132600.0</v>
      </c>
      <c r="R425" s="34" t="s">
        <v>50</v>
      </c>
      <c r="S425" s="35" t="n">
        <f>131409.52</f>
        <v>131409.52</v>
      </c>
      <c r="T425" s="32" t="n">
        <f>609653</f>
        <v>609653.0</v>
      </c>
      <c r="U425" s="32" t="n">
        <f>145854</f>
        <v>145854.0</v>
      </c>
      <c r="V425" s="32" t="n">
        <f>79627340312</f>
        <v>7.9627340312E10</v>
      </c>
      <c r="W425" s="32" t="n">
        <f>18903365912</f>
        <v>1.8903365912E10</v>
      </c>
      <c r="X425" s="36" t="n">
        <f>21</f>
        <v>21.0</v>
      </c>
    </row>
    <row r="426">
      <c r="A426" s="27" t="s">
        <v>42</v>
      </c>
      <c r="B426" s="27" t="s">
        <v>1325</v>
      </c>
      <c r="C426" s="27" t="s">
        <v>1326</v>
      </c>
      <c r="D426" s="27" t="s">
        <v>1327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108000</f>
        <v>108000.0</v>
      </c>
      <c r="L426" s="34" t="s">
        <v>48</v>
      </c>
      <c r="M426" s="33" t="n">
        <f>114200</f>
        <v>114200.0</v>
      </c>
      <c r="N426" s="34" t="s">
        <v>444</v>
      </c>
      <c r="O426" s="33" t="n">
        <f>102400</f>
        <v>102400.0</v>
      </c>
      <c r="P426" s="34" t="s">
        <v>49</v>
      </c>
      <c r="Q426" s="33" t="n">
        <f>113300</f>
        <v>113300.0</v>
      </c>
      <c r="R426" s="34" t="s">
        <v>50</v>
      </c>
      <c r="S426" s="35" t="n">
        <f>110723.81</f>
        <v>110723.81</v>
      </c>
      <c r="T426" s="32" t="n">
        <f>617681</f>
        <v>617681.0</v>
      </c>
      <c r="U426" s="32" t="n">
        <f>146256</f>
        <v>146256.0</v>
      </c>
      <c r="V426" s="32" t="n">
        <f>67824283372</f>
        <v>6.7824283372E10</v>
      </c>
      <c r="W426" s="32" t="n">
        <f>16126373672</f>
        <v>1.6126373672E10</v>
      </c>
      <c r="X426" s="36" t="n">
        <f>21</f>
        <v>21.0</v>
      </c>
    </row>
    <row r="427">
      <c r="A427" s="27" t="s">
        <v>42</v>
      </c>
      <c r="B427" s="27" t="s">
        <v>1328</v>
      </c>
      <c r="C427" s="27" t="s">
        <v>1329</v>
      </c>
      <c r="D427" s="27" t="s">
        <v>1330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96800</f>
        <v>96800.0</v>
      </c>
      <c r="L427" s="34" t="s">
        <v>48</v>
      </c>
      <c r="M427" s="33" t="n">
        <f>97700</f>
        <v>97700.0</v>
      </c>
      <c r="N427" s="34" t="s">
        <v>86</v>
      </c>
      <c r="O427" s="33" t="n">
        <f>92000</f>
        <v>92000.0</v>
      </c>
      <c r="P427" s="34" t="s">
        <v>49</v>
      </c>
      <c r="Q427" s="33" t="n">
        <f>95100</f>
        <v>95100.0</v>
      </c>
      <c r="R427" s="34" t="s">
        <v>50</v>
      </c>
      <c r="S427" s="35" t="n">
        <f>95361.9</f>
        <v>95361.9</v>
      </c>
      <c r="T427" s="32" t="n">
        <f>582884</f>
        <v>582884.0</v>
      </c>
      <c r="U427" s="32" t="n">
        <f>130579</f>
        <v>130579.0</v>
      </c>
      <c r="V427" s="32" t="n">
        <f>55340989513</f>
        <v>5.5340989513E10</v>
      </c>
      <c r="W427" s="32" t="n">
        <f>12399978913</f>
        <v>1.2399978913E10</v>
      </c>
      <c r="X427" s="36" t="n">
        <f>21</f>
        <v>21.0</v>
      </c>
    </row>
    <row r="428">
      <c r="A428" s="27" t="s">
        <v>42</v>
      </c>
      <c r="B428" s="27" t="s">
        <v>1331</v>
      </c>
      <c r="C428" s="27" t="s">
        <v>1332</v>
      </c>
      <c r="D428" s="27" t="s">
        <v>1333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177900</f>
        <v>177900.0</v>
      </c>
      <c r="L428" s="34" t="s">
        <v>48</v>
      </c>
      <c r="M428" s="33" t="n">
        <f>183600</f>
        <v>183600.0</v>
      </c>
      <c r="N428" s="34" t="s">
        <v>105</v>
      </c>
      <c r="O428" s="33" t="n">
        <f>171600</f>
        <v>171600.0</v>
      </c>
      <c r="P428" s="34" t="s">
        <v>49</v>
      </c>
      <c r="Q428" s="33" t="n">
        <f>179800</f>
        <v>179800.0</v>
      </c>
      <c r="R428" s="34" t="s">
        <v>50</v>
      </c>
      <c r="S428" s="35" t="n">
        <f>178685.71</f>
        <v>178685.71</v>
      </c>
      <c r="T428" s="32" t="n">
        <f>247535</f>
        <v>247535.0</v>
      </c>
      <c r="U428" s="32" t="n">
        <f>42386</f>
        <v>42386.0</v>
      </c>
      <c r="V428" s="32" t="n">
        <f>44197461971</f>
        <v>4.4197461971E10</v>
      </c>
      <c r="W428" s="32" t="n">
        <f>7568454271</f>
        <v>7.568454271E9</v>
      </c>
      <c r="X428" s="36" t="n">
        <f>21</f>
        <v>21.0</v>
      </c>
    </row>
    <row r="429">
      <c r="A429" s="27" t="s">
        <v>42</v>
      </c>
      <c r="B429" s="27" t="s">
        <v>1334</v>
      </c>
      <c r="C429" s="27" t="s">
        <v>1335</v>
      </c>
      <c r="D429" s="27" t="s">
        <v>1336</v>
      </c>
      <c r="E429" s="28" t="s">
        <v>46</v>
      </c>
      <c r="F429" s="29" t="s">
        <v>46</v>
      </c>
      <c r="G429" s="30" t="s">
        <v>46</v>
      </c>
      <c r="H429" s="31"/>
      <c r="I429" s="31" t="s">
        <v>47</v>
      </c>
      <c r="J429" s="32" t="n">
        <v>1.0</v>
      </c>
      <c r="K429" s="33" t="n">
        <f>342000</f>
        <v>342000.0</v>
      </c>
      <c r="L429" s="34" t="s">
        <v>48</v>
      </c>
      <c r="M429" s="33" t="n">
        <f>358500</f>
        <v>358500.0</v>
      </c>
      <c r="N429" s="34" t="s">
        <v>105</v>
      </c>
      <c r="O429" s="33" t="n">
        <f>331500</f>
        <v>331500.0</v>
      </c>
      <c r="P429" s="34" t="s">
        <v>49</v>
      </c>
      <c r="Q429" s="33" t="n">
        <f>353000</f>
        <v>353000.0</v>
      </c>
      <c r="R429" s="34" t="s">
        <v>50</v>
      </c>
      <c r="S429" s="35" t="n">
        <f>349047.62</f>
        <v>349047.62</v>
      </c>
      <c r="T429" s="32" t="n">
        <f>67774</f>
        <v>67774.0</v>
      </c>
      <c r="U429" s="32" t="n">
        <f>19152</f>
        <v>19152.0</v>
      </c>
      <c r="V429" s="32" t="n">
        <f>23571282484</f>
        <v>2.3571282484E10</v>
      </c>
      <c r="W429" s="32" t="n">
        <f>6651214484</f>
        <v>6.651214484E9</v>
      </c>
      <c r="X429" s="36" t="n">
        <f>21</f>
        <v>21.0</v>
      </c>
    </row>
    <row r="430">
      <c r="A430" s="27" t="s">
        <v>42</v>
      </c>
      <c r="B430" s="27" t="s">
        <v>1337</v>
      </c>
      <c r="C430" s="27" t="s">
        <v>1338</v>
      </c>
      <c r="D430" s="27" t="s">
        <v>1339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134000</f>
        <v>134000.0</v>
      </c>
      <c r="L430" s="34" t="s">
        <v>48</v>
      </c>
      <c r="M430" s="33" t="n">
        <f>138500</f>
        <v>138500.0</v>
      </c>
      <c r="N430" s="34" t="s">
        <v>219</v>
      </c>
      <c r="O430" s="33" t="n">
        <f>128800</f>
        <v>128800.0</v>
      </c>
      <c r="P430" s="34" t="s">
        <v>49</v>
      </c>
      <c r="Q430" s="33" t="n">
        <f>134200</f>
        <v>134200.0</v>
      </c>
      <c r="R430" s="34" t="s">
        <v>50</v>
      </c>
      <c r="S430" s="35" t="n">
        <f>132995.24</f>
        <v>132995.24</v>
      </c>
      <c r="T430" s="32" t="n">
        <f>109533</f>
        <v>109533.0</v>
      </c>
      <c r="U430" s="32" t="n">
        <f>17421</f>
        <v>17421.0</v>
      </c>
      <c r="V430" s="32" t="n">
        <f>14542094705</f>
        <v>1.4542094705E10</v>
      </c>
      <c r="W430" s="32" t="n">
        <f>2301169205</f>
        <v>2.301169205E9</v>
      </c>
      <c r="X430" s="36" t="n">
        <f>21</f>
        <v>21.0</v>
      </c>
    </row>
    <row r="431">
      <c r="A431" s="27" t="s">
        <v>42</v>
      </c>
      <c r="B431" s="27" t="s">
        <v>1340</v>
      </c>
      <c r="C431" s="27" t="s">
        <v>1341</v>
      </c>
      <c r="D431" s="27" t="s">
        <v>1342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174300</f>
        <v>174300.0</v>
      </c>
      <c r="L431" s="34" t="s">
        <v>48</v>
      </c>
      <c r="M431" s="33" t="n">
        <f>182100</f>
        <v>182100.0</v>
      </c>
      <c r="N431" s="34" t="s">
        <v>105</v>
      </c>
      <c r="O431" s="33" t="n">
        <f>162900</f>
        <v>162900.0</v>
      </c>
      <c r="P431" s="34" t="s">
        <v>49</v>
      </c>
      <c r="Q431" s="33" t="n">
        <f>178800</f>
        <v>178800.0</v>
      </c>
      <c r="R431" s="34" t="s">
        <v>50</v>
      </c>
      <c r="S431" s="35" t="n">
        <f>175271.43</f>
        <v>175271.43</v>
      </c>
      <c r="T431" s="32" t="n">
        <f>79755</f>
        <v>79755.0</v>
      </c>
      <c r="U431" s="32" t="n">
        <f>11411</f>
        <v>11411.0</v>
      </c>
      <c r="V431" s="32" t="n">
        <f>13896066159</f>
        <v>1.3896066159E10</v>
      </c>
      <c r="W431" s="32" t="n">
        <f>1990394359</f>
        <v>1.990394359E9</v>
      </c>
      <c r="X431" s="36" t="n">
        <f>21</f>
        <v>21.0</v>
      </c>
    </row>
    <row r="432">
      <c r="A432" s="27" t="s">
        <v>42</v>
      </c>
      <c r="B432" s="27" t="s">
        <v>1343</v>
      </c>
      <c r="C432" s="27" t="s">
        <v>1344</v>
      </c>
      <c r="D432" s="27" t="s">
        <v>1345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115000</f>
        <v>115000.0</v>
      </c>
      <c r="L432" s="34" t="s">
        <v>48</v>
      </c>
      <c r="M432" s="33" t="n">
        <f>122000</f>
        <v>122000.0</v>
      </c>
      <c r="N432" s="34" t="s">
        <v>160</v>
      </c>
      <c r="O432" s="33" t="n">
        <f>108800</f>
        <v>108800.0</v>
      </c>
      <c r="P432" s="34" t="s">
        <v>49</v>
      </c>
      <c r="Q432" s="33" t="n">
        <f>119300</f>
        <v>119300.0</v>
      </c>
      <c r="R432" s="34" t="s">
        <v>50</v>
      </c>
      <c r="S432" s="35" t="n">
        <f>118142.86</f>
        <v>118142.86</v>
      </c>
      <c r="T432" s="32" t="n">
        <f>128962</f>
        <v>128962.0</v>
      </c>
      <c r="U432" s="32" t="n">
        <f>12667</f>
        <v>12667.0</v>
      </c>
      <c r="V432" s="32" t="n">
        <f>15124598231</f>
        <v>1.5124598231E10</v>
      </c>
      <c r="W432" s="32" t="n">
        <f>1486423931</f>
        <v>1.486423931E9</v>
      </c>
      <c r="X432" s="36" t="n">
        <f>21</f>
        <v>21.0</v>
      </c>
    </row>
    <row r="433">
      <c r="A433" s="27" t="s">
        <v>42</v>
      </c>
      <c r="B433" s="27" t="s">
        <v>1346</v>
      </c>
      <c r="C433" s="27" t="s">
        <v>1347</v>
      </c>
      <c r="D433" s="27" t="s">
        <v>1348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149700</f>
        <v>149700.0</v>
      </c>
      <c r="L433" s="34" t="s">
        <v>48</v>
      </c>
      <c r="M433" s="33" t="n">
        <f>151200</f>
        <v>151200.0</v>
      </c>
      <c r="N433" s="34" t="s">
        <v>224</v>
      </c>
      <c r="O433" s="33" t="n">
        <f>138400</f>
        <v>138400.0</v>
      </c>
      <c r="P433" s="34" t="s">
        <v>49</v>
      </c>
      <c r="Q433" s="33" t="n">
        <f>150200</f>
        <v>150200.0</v>
      </c>
      <c r="R433" s="34" t="s">
        <v>50</v>
      </c>
      <c r="S433" s="35" t="n">
        <f>147809.52</f>
        <v>147809.52</v>
      </c>
      <c r="T433" s="32" t="n">
        <f>195577</f>
        <v>195577.0</v>
      </c>
      <c r="U433" s="32" t="n">
        <f>40497</f>
        <v>40497.0</v>
      </c>
      <c r="V433" s="32" t="n">
        <f>28680610458</f>
        <v>2.8680610458E10</v>
      </c>
      <c r="W433" s="32" t="n">
        <f>5941098358</f>
        <v>5.941098358E9</v>
      </c>
      <c r="X433" s="36" t="n">
        <f>21</f>
        <v>21.0</v>
      </c>
    </row>
    <row r="434">
      <c r="A434" s="27" t="s">
        <v>42</v>
      </c>
      <c r="B434" s="27" t="s">
        <v>1349</v>
      </c>
      <c r="C434" s="27" t="s">
        <v>1350</v>
      </c>
      <c r="D434" s="27" t="s">
        <v>1351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62600</f>
        <v>62600.0</v>
      </c>
      <c r="L434" s="34" t="s">
        <v>48</v>
      </c>
      <c r="M434" s="33" t="n">
        <f>63900</f>
        <v>63900.0</v>
      </c>
      <c r="N434" s="34" t="s">
        <v>105</v>
      </c>
      <c r="O434" s="33" t="n">
        <f>59400</f>
        <v>59400.0</v>
      </c>
      <c r="P434" s="34" t="s">
        <v>49</v>
      </c>
      <c r="Q434" s="33" t="n">
        <f>63400</f>
        <v>63400.0</v>
      </c>
      <c r="R434" s="34" t="s">
        <v>50</v>
      </c>
      <c r="S434" s="35" t="n">
        <f>62514.29</f>
        <v>62514.29</v>
      </c>
      <c r="T434" s="32" t="n">
        <f>160597</f>
        <v>160597.0</v>
      </c>
      <c r="U434" s="32" t="n">
        <f>34349</f>
        <v>34349.0</v>
      </c>
      <c r="V434" s="32" t="n">
        <f>9995367493</f>
        <v>9.995367493E9</v>
      </c>
      <c r="W434" s="32" t="n">
        <f>2137564693</f>
        <v>2.137564693E9</v>
      </c>
      <c r="X434" s="36" t="n">
        <f>21</f>
        <v>21.0</v>
      </c>
    </row>
    <row r="435">
      <c r="A435" s="27" t="s">
        <v>42</v>
      </c>
      <c r="B435" s="27" t="s">
        <v>1352</v>
      </c>
      <c r="C435" s="27" t="s">
        <v>1353</v>
      </c>
      <c r="D435" s="27" t="s">
        <v>1354</v>
      </c>
      <c r="E435" s="28" t="s">
        <v>46</v>
      </c>
      <c r="F435" s="29" t="s">
        <v>46</v>
      </c>
      <c r="G435" s="30" t="s">
        <v>46</v>
      </c>
      <c r="H435" s="31"/>
      <c r="I435" s="31" t="s">
        <v>47</v>
      </c>
      <c r="J435" s="32" t="n">
        <v>1.0</v>
      </c>
      <c r="K435" s="33" t="n">
        <f>64000</f>
        <v>64000.0</v>
      </c>
      <c r="L435" s="34" t="s">
        <v>48</v>
      </c>
      <c r="M435" s="33" t="n">
        <f>64100</f>
        <v>64100.0</v>
      </c>
      <c r="N435" s="34" t="s">
        <v>48</v>
      </c>
      <c r="O435" s="33" t="n">
        <f>55700</f>
        <v>55700.0</v>
      </c>
      <c r="P435" s="34" t="s">
        <v>49</v>
      </c>
      <c r="Q435" s="33" t="n">
        <f>59000</f>
        <v>59000.0</v>
      </c>
      <c r="R435" s="34" t="s">
        <v>50</v>
      </c>
      <c r="S435" s="35" t="n">
        <f>58728.57</f>
        <v>58728.57</v>
      </c>
      <c r="T435" s="32" t="n">
        <f>822677</f>
        <v>822677.0</v>
      </c>
      <c r="U435" s="32" t="n">
        <f>160983</f>
        <v>160983.0</v>
      </c>
      <c r="V435" s="32" t="n">
        <f>48273402558</f>
        <v>4.8273402558E10</v>
      </c>
      <c r="W435" s="32" t="n">
        <f>9451831758</f>
        <v>9.451831758E9</v>
      </c>
      <c r="X435" s="36" t="n">
        <f>21</f>
        <v>21.0</v>
      </c>
    </row>
    <row r="436">
      <c r="A436" s="27" t="s">
        <v>42</v>
      </c>
      <c r="B436" s="27" t="s">
        <v>1355</v>
      </c>
      <c r="C436" s="27" t="s">
        <v>1356</v>
      </c>
      <c r="D436" s="27" t="s">
        <v>1357</v>
      </c>
      <c r="E436" s="28" t="s">
        <v>46</v>
      </c>
      <c r="F436" s="29" t="s">
        <v>46</v>
      </c>
      <c r="G436" s="30" t="s">
        <v>46</v>
      </c>
      <c r="H436" s="31"/>
      <c r="I436" s="31" t="s">
        <v>47</v>
      </c>
      <c r="J436" s="32" t="n">
        <v>1.0</v>
      </c>
      <c r="K436" s="33" t="n">
        <f>79500</f>
        <v>79500.0</v>
      </c>
      <c r="L436" s="34" t="s">
        <v>48</v>
      </c>
      <c r="M436" s="33" t="n">
        <f>81500</f>
        <v>81500.0</v>
      </c>
      <c r="N436" s="34" t="s">
        <v>105</v>
      </c>
      <c r="O436" s="33" t="n">
        <f>75300</f>
        <v>75300.0</v>
      </c>
      <c r="P436" s="34" t="s">
        <v>49</v>
      </c>
      <c r="Q436" s="33" t="n">
        <f>79300</f>
        <v>79300.0</v>
      </c>
      <c r="R436" s="34" t="s">
        <v>50</v>
      </c>
      <c r="S436" s="35" t="n">
        <f>79409.52</f>
        <v>79409.52</v>
      </c>
      <c r="T436" s="32" t="n">
        <f>155515</f>
        <v>155515.0</v>
      </c>
      <c r="U436" s="32" t="n">
        <f>35086</f>
        <v>35086.0</v>
      </c>
      <c r="V436" s="32" t="n">
        <f>12298319163</f>
        <v>1.2298319163E10</v>
      </c>
      <c r="W436" s="32" t="n">
        <f>2777121863</f>
        <v>2.777121863E9</v>
      </c>
      <c r="X436" s="36" t="n">
        <f>21</f>
        <v>21.0</v>
      </c>
    </row>
    <row r="437">
      <c r="A437" s="27" t="s">
        <v>42</v>
      </c>
      <c r="B437" s="27" t="s">
        <v>1358</v>
      </c>
      <c r="C437" s="27" t="s">
        <v>1359</v>
      </c>
      <c r="D437" s="27" t="s">
        <v>1360</v>
      </c>
      <c r="E437" s="28" t="s">
        <v>46</v>
      </c>
      <c r="F437" s="29" t="s">
        <v>46</v>
      </c>
      <c r="G437" s="30" t="s">
        <v>46</v>
      </c>
      <c r="H437" s="31"/>
      <c r="I437" s="31" t="s">
        <v>47</v>
      </c>
      <c r="J437" s="32" t="n">
        <v>1.0</v>
      </c>
      <c r="K437" s="33" t="n">
        <f>127700</f>
        <v>127700.0</v>
      </c>
      <c r="L437" s="34" t="s">
        <v>48</v>
      </c>
      <c r="M437" s="33" t="n">
        <f>132400</f>
        <v>132400.0</v>
      </c>
      <c r="N437" s="34" t="s">
        <v>105</v>
      </c>
      <c r="O437" s="33" t="n">
        <f>119200</f>
        <v>119200.0</v>
      </c>
      <c r="P437" s="34" t="s">
        <v>49</v>
      </c>
      <c r="Q437" s="33" t="n">
        <f>131600</f>
        <v>131600.0</v>
      </c>
      <c r="R437" s="34" t="s">
        <v>50</v>
      </c>
      <c r="S437" s="35" t="n">
        <f>128380.95</f>
        <v>128380.95</v>
      </c>
      <c r="T437" s="32" t="n">
        <f>80862</f>
        <v>80862.0</v>
      </c>
      <c r="U437" s="32" t="n">
        <f>15904</f>
        <v>15904.0</v>
      </c>
      <c r="V437" s="32" t="n">
        <f>10296728988</f>
        <v>1.0296728988E10</v>
      </c>
      <c r="W437" s="32" t="n">
        <f>2018900588</f>
        <v>2.018900588E9</v>
      </c>
      <c r="X437" s="36" t="n">
        <f>21</f>
        <v>21.0</v>
      </c>
    </row>
    <row r="438">
      <c r="A438" s="27" t="s">
        <v>42</v>
      </c>
      <c r="B438" s="27" t="s">
        <v>1361</v>
      </c>
      <c r="C438" s="27" t="s">
        <v>1362</v>
      </c>
      <c r="D438" s="27" t="s">
        <v>1363</v>
      </c>
      <c r="E438" s="28" t="s">
        <v>46</v>
      </c>
      <c r="F438" s="29" t="s">
        <v>46</v>
      </c>
      <c r="G438" s="30" t="s">
        <v>46</v>
      </c>
      <c r="H438" s="31"/>
      <c r="I438" s="31" t="s">
        <v>47</v>
      </c>
      <c r="J438" s="32" t="n">
        <v>1.0</v>
      </c>
      <c r="K438" s="33" t="n">
        <f>93000</f>
        <v>93000.0</v>
      </c>
      <c r="L438" s="34" t="s">
        <v>48</v>
      </c>
      <c r="M438" s="33" t="n">
        <f>94400</f>
        <v>94400.0</v>
      </c>
      <c r="N438" s="34" t="s">
        <v>82</v>
      </c>
      <c r="O438" s="33" t="n">
        <f>89300</f>
        <v>89300.0</v>
      </c>
      <c r="P438" s="34" t="s">
        <v>49</v>
      </c>
      <c r="Q438" s="33" t="n">
        <f>93500</f>
        <v>93500.0</v>
      </c>
      <c r="R438" s="34" t="s">
        <v>50</v>
      </c>
      <c r="S438" s="35" t="n">
        <f>92838.1</f>
        <v>92838.1</v>
      </c>
      <c r="T438" s="32" t="n">
        <f>139527</f>
        <v>139527.0</v>
      </c>
      <c r="U438" s="32" t="n">
        <f>31054</f>
        <v>31054.0</v>
      </c>
      <c r="V438" s="32" t="n">
        <f>12943498990</f>
        <v>1.294349899E10</v>
      </c>
      <c r="W438" s="32" t="n">
        <f>2880761190</f>
        <v>2.88076119E9</v>
      </c>
      <c r="X438" s="36" t="n">
        <f>21</f>
        <v>21.0</v>
      </c>
    </row>
    <row r="439">
      <c r="A439" s="27" t="s">
        <v>42</v>
      </c>
      <c r="B439" s="27" t="s">
        <v>1364</v>
      </c>
      <c r="C439" s="27" t="s">
        <v>1365</v>
      </c>
      <c r="D439" s="27" t="s">
        <v>1366</v>
      </c>
      <c r="E439" s="28" t="s">
        <v>46</v>
      </c>
      <c r="F439" s="29" t="s">
        <v>46</v>
      </c>
      <c r="G439" s="30" t="s">
        <v>46</v>
      </c>
      <c r="H439" s="31"/>
      <c r="I439" s="31" t="s">
        <v>47</v>
      </c>
      <c r="J439" s="32" t="n">
        <v>1.0</v>
      </c>
      <c r="K439" s="33" t="n">
        <f>148800</f>
        <v>148800.0</v>
      </c>
      <c r="L439" s="34" t="s">
        <v>48</v>
      </c>
      <c r="M439" s="33" t="n">
        <f>156600</f>
        <v>156600.0</v>
      </c>
      <c r="N439" s="34" t="s">
        <v>50</v>
      </c>
      <c r="O439" s="33" t="n">
        <f>139900</f>
        <v>139900.0</v>
      </c>
      <c r="P439" s="34" t="s">
        <v>49</v>
      </c>
      <c r="Q439" s="33" t="n">
        <f>156300</f>
        <v>156300.0</v>
      </c>
      <c r="R439" s="34" t="s">
        <v>50</v>
      </c>
      <c r="S439" s="35" t="n">
        <f>149290.48</f>
        <v>149290.48</v>
      </c>
      <c r="T439" s="32" t="n">
        <f>56685</f>
        <v>56685.0</v>
      </c>
      <c r="U439" s="32" t="n">
        <f>10508</f>
        <v>10508.0</v>
      </c>
      <c r="V439" s="32" t="n">
        <f>8462733747</f>
        <v>8.462733747E9</v>
      </c>
      <c r="W439" s="32" t="n">
        <f>1572482947</f>
        <v>1.572482947E9</v>
      </c>
      <c r="X439" s="36" t="n">
        <f>21</f>
        <v>21.0</v>
      </c>
    </row>
    <row r="440">
      <c r="A440" s="27" t="s">
        <v>42</v>
      </c>
      <c r="B440" s="27" t="s">
        <v>1367</v>
      </c>
      <c r="C440" s="27" t="s">
        <v>1368</v>
      </c>
      <c r="D440" s="27" t="s">
        <v>1369</v>
      </c>
      <c r="E440" s="28" t="s">
        <v>46</v>
      </c>
      <c r="F440" s="29" t="s">
        <v>46</v>
      </c>
      <c r="G440" s="30" t="s">
        <v>46</v>
      </c>
      <c r="H440" s="31"/>
      <c r="I440" s="31" t="s">
        <v>47</v>
      </c>
      <c r="J440" s="32" t="n">
        <v>1.0</v>
      </c>
      <c r="K440" s="33" t="n">
        <f>148200</f>
        <v>148200.0</v>
      </c>
      <c r="L440" s="34" t="s">
        <v>48</v>
      </c>
      <c r="M440" s="33" t="n">
        <f>151500</f>
        <v>151500.0</v>
      </c>
      <c r="N440" s="34" t="s">
        <v>105</v>
      </c>
      <c r="O440" s="33" t="n">
        <f>140800</f>
        <v>140800.0</v>
      </c>
      <c r="P440" s="34" t="s">
        <v>49</v>
      </c>
      <c r="Q440" s="33" t="n">
        <f>148600</f>
        <v>148600.0</v>
      </c>
      <c r="R440" s="34" t="s">
        <v>50</v>
      </c>
      <c r="S440" s="35" t="n">
        <f>148152.38</f>
        <v>148152.38</v>
      </c>
      <c r="T440" s="32" t="n">
        <f>309066</f>
        <v>309066.0</v>
      </c>
      <c r="U440" s="32" t="n">
        <f>67515</f>
        <v>67515.0</v>
      </c>
      <c r="V440" s="32" t="n">
        <f>45686468249</f>
        <v>4.5686468249E10</v>
      </c>
      <c r="W440" s="32" t="n">
        <f>9983234649</f>
        <v>9.983234649E9</v>
      </c>
      <c r="X440" s="36" t="n">
        <f>21</f>
        <v>21.0</v>
      </c>
    </row>
    <row r="441">
      <c r="A441" s="27" t="s">
        <v>42</v>
      </c>
      <c r="B441" s="27" t="s">
        <v>1370</v>
      </c>
      <c r="C441" s="27" t="s">
        <v>1371</v>
      </c>
      <c r="D441" s="27" t="s">
        <v>1372</v>
      </c>
      <c r="E441" s="28" t="s">
        <v>46</v>
      </c>
      <c r="F441" s="29" t="s">
        <v>46</v>
      </c>
      <c r="G441" s="30" t="s">
        <v>46</v>
      </c>
      <c r="H441" s="31"/>
      <c r="I441" s="31" t="s">
        <v>47</v>
      </c>
      <c r="J441" s="32" t="n">
        <v>1.0</v>
      </c>
      <c r="K441" s="33" t="n">
        <f>86400</f>
        <v>86400.0</v>
      </c>
      <c r="L441" s="34" t="s">
        <v>48</v>
      </c>
      <c r="M441" s="33" t="n">
        <f>86700</f>
        <v>86700.0</v>
      </c>
      <c r="N441" s="34" t="s">
        <v>82</v>
      </c>
      <c r="O441" s="33" t="n">
        <f>81100</f>
        <v>81100.0</v>
      </c>
      <c r="P441" s="34" t="s">
        <v>49</v>
      </c>
      <c r="Q441" s="33" t="n">
        <f>83400</f>
        <v>83400.0</v>
      </c>
      <c r="R441" s="34" t="s">
        <v>50</v>
      </c>
      <c r="S441" s="35" t="n">
        <f>84804.76</f>
        <v>84804.76</v>
      </c>
      <c r="T441" s="32" t="n">
        <f>139412</f>
        <v>139412.0</v>
      </c>
      <c r="U441" s="32" t="n">
        <f>24797</f>
        <v>24797.0</v>
      </c>
      <c r="V441" s="32" t="n">
        <f>11797877186</f>
        <v>1.1797877186E10</v>
      </c>
      <c r="W441" s="32" t="n">
        <f>2102918486</f>
        <v>2.102918486E9</v>
      </c>
      <c r="X441" s="36" t="n">
        <f>21</f>
        <v>21.0</v>
      </c>
    </row>
    <row r="442">
      <c r="A442" s="27" t="s">
        <v>42</v>
      </c>
      <c r="B442" s="27" t="s">
        <v>1373</v>
      </c>
      <c r="C442" s="27" t="s">
        <v>1374</v>
      </c>
      <c r="D442" s="27" t="s">
        <v>1375</v>
      </c>
      <c r="E442" s="28" t="s">
        <v>46</v>
      </c>
      <c r="F442" s="29" t="s">
        <v>46</v>
      </c>
      <c r="G442" s="30" t="s">
        <v>46</v>
      </c>
      <c r="H442" s="31"/>
      <c r="I442" s="31" t="s">
        <v>47</v>
      </c>
      <c r="J442" s="32" t="n">
        <v>1.0</v>
      </c>
      <c r="K442" s="33" t="n">
        <f>297300</f>
        <v>297300.0</v>
      </c>
      <c r="L442" s="34" t="s">
        <v>48</v>
      </c>
      <c r="M442" s="33" t="n">
        <f>307500</f>
        <v>307500.0</v>
      </c>
      <c r="N442" s="34" t="s">
        <v>86</v>
      </c>
      <c r="O442" s="33" t="n">
        <f>281200</f>
        <v>281200.0</v>
      </c>
      <c r="P442" s="34" t="s">
        <v>49</v>
      </c>
      <c r="Q442" s="33" t="n">
        <f>306000</f>
        <v>306000.0</v>
      </c>
      <c r="R442" s="34" t="s">
        <v>50</v>
      </c>
      <c r="S442" s="35" t="n">
        <f>299519.05</f>
        <v>299519.05</v>
      </c>
      <c r="T442" s="32" t="n">
        <f>46742</f>
        <v>46742.0</v>
      </c>
      <c r="U442" s="32" t="n">
        <f>10114</f>
        <v>10114.0</v>
      </c>
      <c r="V442" s="32" t="n">
        <f>13941553918</f>
        <v>1.3941553918E10</v>
      </c>
      <c r="W442" s="32" t="n">
        <f>3027113718</f>
        <v>3.027113718E9</v>
      </c>
      <c r="X442" s="36" t="n">
        <f>21</f>
        <v>21.0</v>
      </c>
    </row>
    <row r="443">
      <c r="A443" s="27" t="s">
        <v>42</v>
      </c>
      <c r="B443" s="27" t="s">
        <v>1376</v>
      </c>
      <c r="C443" s="27" t="s">
        <v>1377</v>
      </c>
      <c r="D443" s="27" t="s">
        <v>1378</v>
      </c>
      <c r="E443" s="28" t="s">
        <v>46</v>
      </c>
      <c r="F443" s="29" t="s">
        <v>46</v>
      </c>
      <c r="G443" s="30" t="s">
        <v>46</v>
      </c>
      <c r="H443" s="31"/>
      <c r="I443" s="31" t="s">
        <v>47</v>
      </c>
      <c r="J443" s="32" t="n">
        <v>1.0</v>
      </c>
      <c r="K443" s="33" t="n">
        <f>149100</f>
        <v>149100.0</v>
      </c>
      <c r="L443" s="34" t="s">
        <v>48</v>
      </c>
      <c r="M443" s="33" t="n">
        <f>150700</f>
        <v>150700.0</v>
      </c>
      <c r="N443" s="34" t="s">
        <v>48</v>
      </c>
      <c r="O443" s="33" t="n">
        <f>139600</f>
        <v>139600.0</v>
      </c>
      <c r="P443" s="34" t="s">
        <v>49</v>
      </c>
      <c r="Q443" s="33" t="n">
        <f>144400</f>
        <v>144400.0</v>
      </c>
      <c r="R443" s="34" t="s">
        <v>50</v>
      </c>
      <c r="S443" s="35" t="n">
        <f>144819.05</f>
        <v>144819.05</v>
      </c>
      <c r="T443" s="32" t="n">
        <f>54835</f>
        <v>54835.0</v>
      </c>
      <c r="U443" s="32" t="n">
        <f>9570</f>
        <v>9570.0</v>
      </c>
      <c r="V443" s="32" t="n">
        <f>7912917359</f>
        <v>7.912917359E9</v>
      </c>
      <c r="W443" s="32" t="n">
        <f>1378029159</f>
        <v>1.378029159E9</v>
      </c>
      <c r="X443" s="36" t="n">
        <f>21</f>
        <v>21.0</v>
      </c>
    </row>
    <row r="444">
      <c r="A444" s="27" t="s">
        <v>42</v>
      </c>
      <c r="B444" s="27" t="s">
        <v>1379</v>
      </c>
      <c r="C444" s="27" t="s">
        <v>1380</v>
      </c>
      <c r="D444" s="27" t="s">
        <v>1381</v>
      </c>
      <c r="E444" s="28" t="s">
        <v>46</v>
      </c>
      <c r="F444" s="29" t="s">
        <v>46</v>
      </c>
      <c r="G444" s="30" t="s">
        <v>46</v>
      </c>
      <c r="H444" s="31"/>
      <c r="I444" s="31" t="s">
        <v>416</v>
      </c>
      <c r="J444" s="32" t="n">
        <v>1.0</v>
      </c>
      <c r="K444" s="33" t="n">
        <f>172800</f>
        <v>172800.0</v>
      </c>
      <c r="L444" s="34" t="s">
        <v>48</v>
      </c>
      <c r="M444" s="33" t="n">
        <f>176900</f>
        <v>176900.0</v>
      </c>
      <c r="N444" s="34" t="s">
        <v>105</v>
      </c>
      <c r="O444" s="33" t="n">
        <f>165600</f>
        <v>165600.0</v>
      </c>
      <c r="P444" s="34" t="s">
        <v>49</v>
      </c>
      <c r="Q444" s="33" t="n">
        <f>169400</f>
        <v>169400.0</v>
      </c>
      <c r="R444" s="34" t="s">
        <v>50</v>
      </c>
      <c r="S444" s="35" t="n">
        <f>173319.05</f>
        <v>173319.05</v>
      </c>
      <c r="T444" s="32" t="n">
        <f>24032</f>
        <v>24032.0</v>
      </c>
      <c r="U444" s="32" t="n">
        <f>2938</f>
        <v>2938.0</v>
      </c>
      <c r="V444" s="32" t="n">
        <f>4144397130</f>
        <v>4.14439713E9</v>
      </c>
      <c r="W444" s="32" t="n">
        <f>507132030</f>
        <v>5.0713203E8</v>
      </c>
      <c r="X444" s="36" t="n">
        <f>21</f>
        <v>21.0</v>
      </c>
    </row>
    <row r="445">
      <c r="A445" s="27" t="s">
        <v>42</v>
      </c>
      <c r="B445" s="27" t="s">
        <v>1382</v>
      </c>
      <c r="C445" s="27" t="s">
        <v>1383</v>
      </c>
      <c r="D445" s="27" t="s">
        <v>1384</v>
      </c>
      <c r="E445" s="28" t="s">
        <v>46</v>
      </c>
      <c r="F445" s="29" t="s">
        <v>46</v>
      </c>
      <c r="G445" s="30" t="s">
        <v>46</v>
      </c>
      <c r="H445" s="31"/>
      <c r="I445" s="31" t="s">
        <v>47</v>
      </c>
      <c r="J445" s="32" t="n">
        <v>1.0</v>
      </c>
      <c r="K445" s="33" t="n">
        <f>237800</f>
        <v>237800.0</v>
      </c>
      <c r="L445" s="34" t="s">
        <v>48</v>
      </c>
      <c r="M445" s="33" t="n">
        <f>245000</f>
        <v>245000.0</v>
      </c>
      <c r="N445" s="34" t="s">
        <v>105</v>
      </c>
      <c r="O445" s="33" t="n">
        <f>226400</f>
        <v>226400.0</v>
      </c>
      <c r="P445" s="34" t="s">
        <v>49</v>
      </c>
      <c r="Q445" s="33" t="n">
        <f>239300</f>
        <v>239300.0</v>
      </c>
      <c r="R445" s="34" t="s">
        <v>50</v>
      </c>
      <c r="S445" s="35" t="n">
        <f>237500</f>
        <v>237500.0</v>
      </c>
      <c r="T445" s="32" t="n">
        <f>181223</f>
        <v>181223.0</v>
      </c>
      <c r="U445" s="32" t="n">
        <f>34760</f>
        <v>34760.0</v>
      </c>
      <c r="V445" s="32" t="n">
        <f>42950299019</f>
        <v>4.2950299019E10</v>
      </c>
      <c r="W445" s="32" t="n">
        <f>8240475419</f>
        <v>8.240475419E9</v>
      </c>
      <c r="X445" s="36" t="n">
        <f>21</f>
        <v>21.0</v>
      </c>
    </row>
    <row r="446">
      <c r="A446" s="27" t="s">
        <v>42</v>
      </c>
      <c r="B446" s="27" t="s">
        <v>1385</v>
      </c>
      <c r="C446" s="27" t="s">
        <v>1386</v>
      </c>
      <c r="D446" s="27" t="s">
        <v>1387</v>
      </c>
      <c r="E446" s="28" t="s">
        <v>46</v>
      </c>
      <c r="F446" s="29" t="s">
        <v>46</v>
      </c>
      <c r="G446" s="30" t="s">
        <v>46</v>
      </c>
      <c r="H446" s="31"/>
      <c r="I446" s="31" t="s">
        <v>47</v>
      </c>
      <c r="J446" s="32" t="n">
        <v>1.0</v>
      </c>
      <c r="K446" s="33" t="n">
        <f>73100</f>
        <v>73100.0</v>
      </c>
      <c r="L446" s="34" t="s">
        <v>48</v>
      </c>
      <c r="M446" s="33" t="n">
        <f>73400</f>
        <v>73400.0</v>
      </c>
      <c r="N446" s="34" t="s">
        <v>48</v>
      </c>
      <c r="O446" s="33" t="n">
        <f>64800</f>
        <v>64800.0</v>
      </c>
      <c r="P446" s="34" t="s">
        <v>49</v>
      </c>
      <c r="Q446" s="33" t="n">
        <f>70600</f>
        <v>70600.0</v>
      </c>
      <c r="R446" s="34" t="s">
        <v>50</v>
      </c>
      <c r="S446" s="35" t="n">
        <f>69585.71</f>
        <v>69585.71</v>
      </c>
      <c r="T446" s="32" t="n">
        <f>523132</f>
        <v>523132.0</v>
      </c>
      <c r="U446" s="32" t="n">
        <f>100349</f>
        <v>100349.0</v>
      </c>
      <c r="V446" s="32" t="n">
        <f>36163024791</f>
        <v>3.6163024791E10</v>
      </c>
      <c r="W446" s="32" t="n">
        <f>6961775391</f>
        <v>6.961775391E9</v>
      </c>
      <c r="X446" s="36" t="n">
        <f>21</f>
        <v>21.0</v>
      </c>
    </row>
    <row r="447">
      <c r="A447" s="27" t="s">
        <v>42</v>
      </c>
      <c r="B447" s="27" t="s">
        <v>1388</v>
      </c>
      <c r="C447" s="27" t="s">
        <v>1389</v>
      </c>
      <c r="D447" s="27" t="s">
        <v>1390</v>
      </c>
      <c r="E447" s="28" t="s">
        <v>46</v>
      </c>
      <c r="F447" s="29" t="s">
        <v>46</v>
      </c>
      <c r="G447" s="30" t="s">
        <v>46</v>
      </c>
      <c r="H447" s="31"/>
      <c r="I447" s="31" t="s">
        <v>47</v>
      </c>
      <c r="J447" s="32" t="n">
        <v>1.0</v>
      </c>
      <c r="K447" s="33" t="n">
        <f>89500</f>
        <v>89500.0</v>
      </c>
      <c r="L447" s="34" t="s">
        <v>48</v>
      </c>
      <c r="M447" s="33" t="n">
        <f>91900</f>
        <v>91900.0</v>
      </c>
      <c r="N447" s="34" t="s">
        <v>160</v>
      </c>
      <c r="O447" s="33" t="n">
        <f>87100</f>
        <v>87100.0</v>
      </c>
      <c r="P447" s="34" t="s">
        <v>49</v>
      </c>
      <c r="Q447" s="33" t="n">
        <f>90200</f>
        <v>90200.0</v>
      </c>
      <c r="R447" s="34" t="s">
        <v>50</v>
      </c>
      <c r="S447" s="35" t="n">
        <f>90219.05</f>
        <v>90219.05</v>
      </c>
      <c r="T447" s="32" t="n">
        <f>147081</f>
        <v>147081.0</v>
      </c>
      <c r="U447" s="32" t="n">
        <f>36723</f>
        <v>36723.0</v>
      </c>
      <c r="V447" s="32" t="n">
        <f>13227434944</f>
        <v>1.3227434944E10</v>
      </c>
      <c r="W447" s="32" t="n">
        <f>3307491644</f>
        <v>3.307491644E9</v>
      </c>
      <c r="X447" s="36" t="n">
        <f>21</f>
        <v>21.0</v>
      </c>
    </row>
    <row r="448">
      <c r="A448" s="27" t="s">
        <v>42</v>
      </c>
      <c r="B448" s="27" t="s">
        <v>1391</v>
      </c>
      <c r="C448" s="27" t="s">
        <v>1392</v>
      </c>
      <c r="D448" s="27" t="s">
        <v>1393</v>
      </c>
      <c r="E448" s="28" t="s">
        <v>46</v>
      </c>
      <c r="F448" s="29" t="s">
        <v>46</v>
      </c>
      <c r="G448" s="30" t="s">
        <v>46</v>
      </c>
      <c r="H448" s="31"/>
      <c r="I448" s="31" t="s">
        <v>47</v>
      </c>
      <c r="J448" s="32" t="n">
        <v>1.0</v>
      </c>
      <c r="K448" s="33" t="n">
        <f>128500</f>
        <v>128500.0</v>
      </c>
      <c r="L448" s="34" t="s">
        <v>48</v>
      </c>
      <c r="M448" s="33" t="n">
        <f>131500</f>
        <v>131500.0</v>
      </c>
      <c r="N448" s="34" t="s">
        <v>105</v>
      </c>
      <c r="O448" s="33" t="n">
        <f>120300</f>
        <v>120300.0</v>
      </c>
      <c r="P448" s="34" t="s">
        <v>49</v>
      </c>
      <c r="Q448" s="33" t="n">
        <f>129100</f>
        <v>129100.0</v>
      </c>
      <c r="R448" s="34" t="s">
        <v>50</v>
      </c>
      <c r="S448" s="35" t="n">
        <f>128052.38</f>
        <v>128052.38</v>
      </c>
      <c r="T448" s="32" t="n">
        <f>80438</f>
        <v>80438.0</v>
      </c>
      <c r="U448" s="32" t="n">
        <f>17093</f>
        <v>17093.0</v>
      </c>
      <c r="V448" s="32" t="n">
        <f>10267192555</f>
        <v>1.0267192555E10</v>
      </c>
      <c r="W448" s="32" t="n">
        <f>2180553455</f>
        <v>2.180553455E9</v>
      </c>
      <c r="X448" s="36" t="n">
        <f>21</f>
        <v>21.0</v>
      </c>
    </row>
    <row r="449">
      <c r="A449" s="27" t="s">
        <v>42</v>
      </c>
      <c r="B449" s="27" t="s">
        <v>1394</v>
      </c>
      <c r="C449" s="27" t="s">
        <v>1395</v>
      </c>
      <c r="D449" s="27" t="s">
        <v>1396</v>
      </c>
      <c r="E449" s="28" t="s">
        <v>46</v>
      </c>
      <c r="F449" s="29" t="s">
        <v>46</v>
      </c>
      <c r="G449" s="30" t="s">
        <v>46</v>
      </c>
      <c r="H449" s="31"/>
      <c r="I449" s="31" t="s">
        <v>416</v>
      </c>
      <c r="J449" s="32" t="n">
        <v>1.0</v>
      </c>
      <c r="K449" s="33" t="n">
        <f>44350</f>
        <v>44350.0</v>
      </c>
      <c r="L449" s="34" t="s">
        <v>48</v>
      </c>
      <c r="M449" s="33" t="n">
        <f>48100</f>
        <v>48100.0</v>
      </c>
      <c r="N449" s="34" t="s">
        <v>71</v>
      </c>
      <c r="O449" s="33" t="n">
        <f>40300</f>
        <v>40300.0</v>
      </c>
      <c r="P449" s="34" t="s">
        <v>49</v>
      </c>
      <c r="Q449" s="33" t="n">
        <f>47400</f>
        <v>47400.0</v>
      </c>
      <c r="R449" s="34" t="s">
        <v>50</v>
      </c>
      <c r="S449" s="35" t="n">
        <f>44914.29</f>
        <v>44914.29</v>
      </c>
      <c r="T449" s="32" t="n">
        <f>5553</f>
        <v>5553.0</v>
      </c>
      <c r="U449" s="32" t="n">
        <f>3</f>
        <v>3.0</v>
      </c>
      <c r="V449" s="32" t="n">
        <f>247246250</f>
        <v>2.4724625E8</v>
      </c>
      <c r="W449" s="32" t="n">
        <f>135600</f>
        <v>135600.0</v>
      </c>
      <c r="X449" s="36" t="n">
        <f>21</f>
        <v>21.0</v>
      </c>
    </row>
    <row r="450">
      <c r="A450" s="27" t="s">
        <v>42</v>
      </c>
      <c r="B450" s="27" t="s">
        <v>1397</v>
      </c>
      <c r="C450" s="27" t="s">
        <v>1398</v>
      </c>
      <c r="D450" s="27" t="s">
        <v>1399</v>
      </c>
      <c r="E450" s="28" t="s">
        <v>46</v>
      </c>
      <c r="F450" s="29" t="s">
        <v>46</v>
      </c>
      <c r="G450" s="30" t="s">
        <v>46</v>
      </c>
      <c r="H450" s="31"/>
      <c r="I450" s="31" t="s">
        <v>416</v>
      </c>
      <c r="J450" s="32" t="n">
        <v>1.0</v>
      </c>
      <c r="K450" s="33" t="n">
        <f>76200</f>
        <v>76200.0</v>
      </c>
      <c r="L450" s="34" t="s">
        <v>48</v>
      </c>
      <c r="M450" s="33" t="n">
        <f>78000</f>
        <v>78000.0</v>
      </c>
      <c r="N450" s="34" t="s">
        <v>82</v>
      </c>
      <c r="O450" s="33" t="n">
        <f>68600</f>
        <v>68600.0</v>
      </c>
      <c r="P450" s="34" t="s">
        <v>78</v>
      </c>
      <c r="Q450" s="33" t="n">
        <f>76200</f>
        <v>76200.0</v>
      </c>
      <c r="R450" s="34" t="s">
        <v>50</v>
      </c>
      <c r="S450" s="35" t="n">
        <f>74176.19</f>
        <v>74176.19</v>
      </c>
      <c r="T450" s="32" t="n">
        <f>45064</f>
        <v>45064.0</v>
      </c>
      <c r="U450" s="32" t="n">
        <f>849</f>
        <v>849.0</v>
      </c>
      <c r="V450" s="32" t="n">
        <f>3299157170</f>
        <v>3.29915717E9</v>
      </c>
      <c r="W450" s="32" t="n">
        <f>60472970</f>
        <v>6.047297E7</v>
      </c>
      <c r="X450" s="36" t="n">
        <f>21</f>
        <v>21.0</v>
      </c>
    </row>
    <row r="451">
      <c r="A451" s="27" t="s">
        <v>42</v>
      </c>
      <c r="B451" s="27" t="s">
        <v>1400</v>
      </c>
      <c r="C451" s="27" t="s">
        <v>1401</v>
      </c>
      <c r="D451" s="27" t="s">
        <v>1402</v>
      </c>
      <c r="E451" s="28" t="s">
        <v>46</v>
      </c>
      <c r="F451" s="29" t="s">
        <v>46</v>
      </c>
      <c r="G451" s="30" t="s">
        <v>46</v>
      </c>
      <c r="H451" s="31"/>
      <c r="I451" s="31" t="s">
        <v>416</v>
      </c>
      <c r="J451" s="32" t="n">
        <v>1.0</v>
      </c>
      <c r="K451" s="33" t="n">
        <f>42700</f>
        <v>42700.0</v>
      </c>
      <c r="L451" s="34" t="s">
        <v>48</v>
      </c>
      <c r="M451" s="33" t="n">
        <f>43800</f>
        <v>43800.0</v>
      </c>
      <c r="N451" s="34" t="s">
        <v>82</v>
      </c>
      <c r="O451" s="33" t="n">
        <f>39050</f>
        <v>39050.0</v>
      </c>
      <c r="P451" s="34" t="s">
        <v>49</v>
      </c>
      <c r="Q451" s="33" t="n">
        <f>42200</f>
        <v>42200.0</v>
      </c>
      <c r="R451" s="34" t="s">
        <v>50</v>
      </c>
      <c r="S451" s="35" t="n">
        <f>41392.86</f>
        <v>41392.86</v>
      </c>
      <c r="T451" s="32" t="n">
        <f>11853</f>
        <v>11853.0</v>
      </c>
      <c r="U451" s="32" t="n">
        <f>226</f>
        <v>226.0</v>
      </c>
      <c r="V451" s="32" t="n">
        <f>488872350</f>
        <v>4.8887235E8</v>
      </c>
      <c r="W451" s="32" t="n">
        <f>9262200</f>
        <v>9262200.0</v>
      </c>
      <c r="X451" s="36" t="n">
        <f>21</f>
        <v>21.0</v>
      </c>
    </row>
    <row r="452">
      <c r="A452" s="27" t="s">
        <v>42</v>
      </c>
      <c r="B452" s="27" t="s">
        <v>1403</v>
      </c>
      <c r="C452" s="27" t="s">
        <v>1404</v>
      </c>
      <c r="D452" s="27" t="s">
        <v>1405</v>
      </c>
      <c r="E452" s="28" t="s">
        <v>46</v>
      </c>
      <c r="F452" s="29" t="s">
        <v>46</v>
      </c>
      <c r="G452" s="30" t="s">
        <v>46</v>
      </c>
      <c r="H452" s="31"/>
      <c r="I452" s="31" t="s">
        <v>47</v>
      </c>
      <c r="J452" s="32" t="n">
        <v>1.0</v>
      </c>
      <c r="K452" s="33" t="n">
        <f>48150</f>
        <v>48150.0</v>
      </c>
      <c r="L452" s="34" t="s">
        <v>48</v>
      </c>
      <c r="M452" s="33" t="n">
        <f>49300</f>
        <v>49300.0</v>
      </c>
      <c r="N452" s="34" t="s">
        <v>82</v>
      </c>
      <c r="O452" s="33" t="n">
        <f>43100</f>
        <v>43100.0</v>
      </c>
      <c r="P452" s="34" t="s">
        <v>78</v>
      </c>
      <c r="Q452" s="33" t="n">
        <f>46800</f>
        <v>46800.0</v>
      </c>
      <c r="R452" s="34" t="s">
        <v>50</v>
      </c>
      <c r="S452" s="35" t="n">
        <f>46392.86</f>
        <v>46392.86</v>
      </c>
      <c r="T452" s="32" t="n">
        <f>47470</f>
        <v>47470.0</v>
      </c>
      <c r="U452" s="32" t="n">
        <f>849</f>
        <v>849.0</v>
      </c>
      <c r="V452" s="32" t="n">
        <f>2183889071</f>
        <v>2.183889071E9</v>
      </c>
      <c r="W452" s="32" t="n">
        <f>37482671</f>
        <v>3.7482671E7</v>
      </c>
      <c r="X452" s="36" t="n">
        <f>21</f>
        <v>21.0</v>
      </c>
    </row>
    <row r="453">
      <c r="A453" s="27" t="s">
        <v>42</v>
      </c>
      <c r="B453" s="27" t="s">
        <v>1406</v>
      </c>
      <c r="C453" s="27" t="s">
        <v>1407</v>
      </c>
      <c r="D453" s="27" t="s">
        <v>1408</v>
      </c>
      <c r="E453" s="28" t="s">
        <v>46</v>
      </c>
      <c r="F453" s="29" t="s">
        <v>46</v>
      </c>
      <c r="G453" s="30" t="s">
        <v>46</v>
      </c>
      <c r="H453" s="31"/>
      <c r="I453" s="31" t="s">
        <v>416</v>
      </c>
      <c r="J453" s="32" t="n">
        <v>1.0</v>
      </c>
      <c r="K453" s="33" t="n">
        <f>43200</f>
        <v>43200.0</v>
      </c>
      <c r="L453" s="34" t="s">
        <v>48</v>
      </c>
      <c r="M453" s="33" t="n">
        <f>43900</f>
        <v>43900.0</v>
      </c>
      <c r="N453" s="34" t="s">
        <v>48</v>
      </c>
      <c r="O453" s="33" t="n">
        <f>39500</f>
        <v>39500.0</v>
      </c>
      <c r="P453" s="34" t="s">
        <v>78</v>
      </c>
      <c r="Q453" s="33" t="n">
        <f>43350</f>
        <v>43350.0</v>
      </c>
      <c r="R453" s="34" t="s">
        <v>50</v>
      </c>
      <c r="S453" s="35" t="n">
        <f>42404.76</f>
        <v>42404.76</v>
      </c>
      <c r="T453" s="32" t="n">
        <f>43340</f>
        <v>43340.0</v>
      </c>
      <c r="U453" s="32" t="n">
        <f>783</f>
        <v>783.0</v>
      </c>
      <c r="V453" s="32" t="n">
        <f>1808386345</f>
        <v>1.808386345E9</v>
      </c>
      <c r="W453" s="32" t="n">
        <f>31546095</f>
        <v>3.1546095E7</v>
      </c>
      <c r="X453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2" fitToHeight="0" orientation="landscape" r:id="rId1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